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8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HYPERLINK("https://www.youtube.com/watch?v=0bcHVUgUk2g", "Video")</f>
        <v/>
      </c>
      <c r="B2" t="inlineStr">
        <is>
          <t>2:25</t>
        </is>
      </c>
      <c r="C2" t="inlineStr">
        <is>
          <t>That would be a bit rubbish.</t>
        </is>
      </c>
      <c r="D2">
        <f>HYPERLINK("https://www.youtube.com/watch?v=0bcHVUgUk2g&amp;t=145s", "Go to time")</f>
        <v/>
      </c>
    </row>
    <row r="3">
      <c r="A3">
        <f>HYPERLINK("https://www.youtube.com/watch?v=Uq4XEWFFSjE", "Video")</f>
        <v/>
      </c>
      <c r="B3" t="inlineStr">
        <is>
          <t>1:34</t>
        </is>
      </c>
      <c r="C3" t="inlineStr">
        <is>
          <t>So when they save that bit of food
and bury it in the grass,</t>
        </is>
      </c>
      <c r="D3">
        <f>HYPERLINK("https://www.youtube.com/watch?v=Uq4XEWFFSjE&amp;t=94s", "Go to time")</f>
        <v/>
      </c>
    </row>
    <row r="4">
      <c r="A4">
        <f>HYPERLINK("https://www.youtube.com/watch?v=Uq4XEWFFSjE", "Video")</f>
        <v/>
      </c>
      <c r="B4" t="inlineStr">
        <is>
          <t>1:58</t>
        </is>
      </c>
      <c r="C4" t="inlineStr">
        <is>
          <t>not only has she got the rotten bit
of food she's cached anyway,</t>
        </is>
      </c>
      <c r="D4">
        <f>HYPERLINK("https://www.youtube.com/watch?v=Uq4XEWFFSjE&amp;t=118s", "Go to time")</f>
        <v/>
      </c>
    </row>
    <row r="5">
      <c r="A5">
        <f>HYPERLINK("https://www.youtube.com/watch?v=lldHCglULYM", "Video")</f>
        <v/>
      </c>
      <c r="B5" t="inlineStr">
        <is>
          <t>1:18</t>
        </is>
      </c>
      <c r="C5" t="inlineStr">
        <is>
          <t>still feel it find a bit weird talking</t>
        </is>
      </c>
      <c r="D5">
        <f>HYPERLINK("https://www.youtube.com/watch?v=lldHCglULYM&amp;t=78s", "Go to time")</f>
        <v/>
      </c>
    </row>
    <row r="6">
      <c r="A6">
        <f>HYPERLINK("https://www.youtube.com/watch?v=uXIf5Siaa3M", "Video")</f>
        <v/>
      </c>
      <c r="B6" t="inlineStr">
        <is>
          <t>1:01</t>
        </is>
      </c>
      <c r="C6" t="inlineStr">
        <is>
          <t>like our sun most orbited by their own</t>
        </is>
      </c>
      <c r="D6">
        <f>HYPERLINK("https://www.youtube.com/watch?v=uXIf5Siaa3M&amp;t=61s", "Go to time")</f>
        <v/>
      </c>
    </row>
    <row r="7">
      <c r="A7">
        <f>HYPERLINK("https://www.youtube.com/watch?v=uXIf5Siaa3M", "Video")</f>
        <v/>
      </c>
      <c r="B7" t="inlineStr">
        <is>
          <t>2:03</t>
        </is>
      </c>
      <c r="C7" t="inlineStr">
        <is>
          <t>a little bit of childlike science will</t>
        </is>
      </c>
      <c r="D7">
        <f>HYPERLINK("https://www.youtube.com/watch?v=uXIf5Siaa3M&amp;t=123s", "Go to time")</f>
        <v/>
      </c>
    </row>
    <row r="8">
      <c r="A8">
        <f>HYPERLINK("https://www.youtube.com/watch?v=9ehs0yJP5no", "Video")</f>
        <v/>
      </c>
      <c r="B8" t="inlineStr">
        <is>
          <t>1:58</t>
        </is>
      </c>
      <c r="C8" t="inlineStr">
        <is>
          <t>And if that's true, then that would
be a bit of good luck for everyone.</t>
        </is>
      </c>
      <c r="D8">
        <f>HYPERLINK("https://www.youtube.com/watch?v=9ehs0yJP5no&amp;t=118s", "Go to time")</f>
        <v/>
      </c>
    </row>
    <row r="9">
      <c r="A9">
        <f>HYPERLINK("https://www.youtube.com/watch?v=LvegAmzDeTc", "Video")</f>
        <v/>
      </c>
      <c r="B9" t="inlineStr">
        <is>
          <t>3:06</t>
        </is>
      </c>
      <c r="C9" t="inlineStr">
        <is>
          <t>all its inhabitants</t>
        </is>
      </c>
      <c r="D9">
        <f>HYPERLINK("https://www.youtube.com/watch?v=LvegAmzDeTc&amp;t=186s", "Go to time")</f>
        <v/>
      </c>
    </row>
    <row r="10">
      <c r="A10">
        <f>HYPERLINK("https://www.youtube.com/watch?v=hryoONc4Pgo", "Video")</f>
        <v/>
      </c>
      <c r="B10" t="inlineStr">
        <is>
          <t>1:14</t>
        </is>
      </c>
      <c r="C10" t="inlineStr">
        <is>
          <t>from trilobites to trees
to tyrannosaurus rex.</t>
        </is>
      </c>
      <c r="D10">
        <f>HYPERLINK("https://www.youtube.com/watch?v=hryoONc4Pgo&amp;t=74s", "Go to time")</f>
        <v/>
      </c>
    </row>
    <row r="11">
      <c r="A11">
        <f>HYPERLINK("https://www.youtube.com/watch?v=vg0oeNtt-K0", "Video")</f>
        <v/>
      </c>
      <c r="B11" t="inlineStr">
        <is>
          <t>3:59</t>
        </is>
      </c>
      <c r="C11" t="inlineStr">
        <is>
          <t>well to be a bit creative with your</t>
        </is>
      </c>
      <c r="D11">
        <f>HYPERLINK("https://www.youtube.com/watch?v=vg0oeNtt-K0&amp;t=239s", "Go to time")</f>
        <v/>
      </c>
    </row>
    <row r="12">
      <c r="A12">
        <f>HYPERLINK("https://www.youtube.com/watch?v=vg0oeNtt-K0", "Video")</f>
        <v/>
      </c>
      <c r="B12" t="inlineStr">
        <is>
          <t>4:33</t>
        </is>
      </c>
      <c r="C12" t="inlineStr">
        <is>
          <t>security and I was a bit nervous with</t>
        </is>
      </c>
      <c r="D12">
        <f>HYPERLINK("https://www.youtube.com/watch?v=vg0oeNtt-K0&amp;t=273s", "Go to time")</f>
        <v/>
      </c>
    </row>
    <row r="13">
      <c r="A13">
        <f>HYPERLINK("https://www.youtube.com/watch?v=sSsb9ypWyIs", "Video")</f>
        <v/>
      </c>
      <c r="B13" t="inlineStr">
        <is>
          <t>0:44</t>
        </is>
      </c>
      <c r="C13" t="inlineStr">
        <is>
          <t>The second best change that anyone can make is to take a lunch break. The habit of eating 'al desco' has</t>
        </is>
      </c>
      <c r="D13">
        <f>HYPERLINK("https://www.youtube.com/watch?v=sSsb9ypWyIs&amp;t=44s", "Go to time")</f>
        <v/>
      </c>
    </row>
    <row r="14">
      <c r="A14">
        <f>HYPERLINK("https://www.youtube.com/watch?v=sSsb9ypWyIs", "Video")</f>
        <v/>
      </c>
      <c r="B14" t="inlineStr">
        <is>
          <t>2:44</t>
        </is>
      </c>
      <c r="C14" t="inlineStr">
        <is>
          <t>at the weekend,
for a bit of refreshment, a bit of</t>
        </is>
      </c>
      <c r="D14">
        <f>HYPERLINK("https://www.youtube.com/watch?v=sSsb9ypWyIs&amp;t=164s", "Go to time")</f>
        <v/>
      </c>
    </row>
    <row r="15">
      <c r="A15">
        <f>HYPERLINK("https://www.youtube.com/watch?v=ZMm_0JhYnMs", "Video")</f>
        <v/>
      </c>
      <c r="B15" t="inlineStr">
        <is>
          <t>0:29</t>
        </is>
      </c>
      <c r="C15" t="inlineStr">
        <is>
          <t>because every day is a bit of
a kind of task to get through it</t>
        </is>
      </c>
      <c r="D15">
        <f>HYPERLINK("https://www.youtube.com/watch?v=ZMm_0JhYnMs&amp;t=29s", "Go to time")</f>
        <v/>
      </c>
    </row>
    <row r="16">
      <c r="A16">
        <f>HYPERLINK("https://www.youtube.com/watch?v=ZMm_0JhYnMs", "Video")</f>
        <v/>
      </c>
      <c r="B16" t="inlineStr">
        <is>
          <t>6:10</t>
        </is>
      </c>
      <c r="C16" t="inlineStr">
        <is>
          <t>The bit I'm really struggling with
is the sort of shame thing,</t>
        </is>
      </c>
      <c r="D16">
        <f>HYPERLINK("https://www.youtube.com/watch?v=ZMm_0JhYnMs&amp;t=370s", "Go to time")</f>
        <v/>
      </c>
    </row>
    <row r="17">
      <c r="A17">
        <f>HYPERLINK("https://www.youtube.com/watch?v=skDuLWKoJLE", "Video")</f>
        <v/>
      </c>
      <c r="B17" t="inlineStr">
        <is>
          <t>4:11</t>
        </is>
      </c>
      <c r="C17" t="inlineStr">
        <is>
          <t>that we need to follow up with
in a bit more detail.</t>
        </is>
      </c>
      <c r="D17">
        <f>HYPERLINK("https://www.youtube.com/watch?v=skDuLWKoJLE&amp;t=251s", "Go to time")</f>
        <v/>
      </c>
    </row>
    <row r="18">
      <c r="A18">
        <f>HYPERLINK("https://www.youtube.com/watch?v=aPh3E8IoHzk", "Video")</f>
        <v/>
      </c>
      <c r="B18" t="inlineStr">
        <is>
          <t>0:53</t>
        </is>
      </c>
      <c r="C18" t="inlineStr">
        <is>
          <t>Instead, we have to exert
a bit of brain power</t>
        </is>
      </c>
      <c r="D18">
        <f>HYPERLINK("https://www.youtube.com/watch?v=aPh3E8IoHzk&amp;t=53s", "Go to time")</f>
        <v/>
      </c>
    </row>
    <row r="19">
      <c r="A19">
        <f>HYPERLINK("https://www.youtube.com/watch?v=aPh3E8IoHzk", "Video")</f>
        <v/>
      </c>
      <c r="B19" t="inlineStr">
        <is>
          <t>3:58</t>
        </is>
      </c>
      <c r="C19" t="inlineStr">
        <is>
          <t>so a final habit is to ask yourself
whether the source</t>
        </is>
      </c>
      <c r="D19">
        <f>HYPERLINK("https://www.youtube.com/watch?v=aPh3E8IoHzk&amp;t=238s", "Go to time")</f>
        <v/>
      </c>
    </row>
    <row r="20">
      <c r="A20">
        <f>HYPERLINK("https://www.youtube.com/watch?v=aPh3E8IoHzk", "Video")</f>
        <v/>
      </c>
      <c r="B20" t="inlineStr">
        <is>
          <t>4:25</t>
        </is>
      </c>
      <c r="C20" t="inlineStr">
        <is>
          <t>Three simple habits - be calm,
get context, and be curious -</t>
        </is>
      </c>
      <c r="D20">
        <f>HYPERLINK("https://www.youtube.com/watch?v=aPh3E8IoHzk&amp;t=265s", "Go to time")</f>
        <v/>
      </c>
    </row>
    <row r="21">
      <c r="A21">
        <f>HYPERLINK("https://www.youtube.com/watch?v=LcoJI1OHfwU", "Video")</f>
        <v/>
      </c>
      <c r="B21" t="inlineStr">
        <is>
          <t>1:46</t>
        </is>
      </c>
      <c r="C21" t="inlineStr">
        <is>
          <t>before to turn bits of random meat into</t>
        </is>
      </c>
      <c r="D21">
        <f>HYPERLINK("https://www.youtube.com/watch?v=LcoJI1OHfwU&amp;t=106s", "Go to time")</f>
        <v/>
      </c>
    </row>
    <row r="22">
      <c r="A22">
        <f>HYPERLINK("https://www.youtube.com/watch?v=vDWhRs_qF8o", "Video")</f>
        <v/>
      </c>
      <c r="B22" t="inlineStr">
        <is>
          <t>1:41</t>
        </is>
      </c>
      <c r="C22" t="inlineStr">
        <is>
          <t>Love a bit of jerk and twerk.</t>
        </is>
      </c>
      <c r="D22">
        <f>HYPERLINK("https://www.youtube.com/watch?v=vDWhRs_qF8o&amp;t=101s", "Go to time")</f>
        <v/>
      </c>
    </row>
    <row r="23">
      <c r="A23">
        <f>HYPERLINK("https://www.youtube.com/watch?v=XINQvKbqzq0", "Video")</f>
        <v/>
      </c>
      <c r="B23" t="inlineStr">
        <is>
          <t>1:33</t>
        </is>
      </c>
      <c r="C23" t="inlineStr">
        <is>
          <t>makes everything feel a bit more one or</t>
        </is>
      </c>
      <c r="D23">
        <f>HYPERLINK("https://www.youtube.com/watch?v=XINQvKbqzq0&amp;t=93s", "Go to time")</f>
        <v/>
      </c>
    </row>
    <row r="24">
      <c r="A24">
        <f>HYPERLINK("https://www.youtube.com/watch?v=DAyXeXVFSbw", "Video")</f>
        <v/>
      </c>
      <c r="B24" t="inlineStr">
        <is>
          <t>3:45</t>
        </is>
      </c>
      <c r="C24" t="inlineStr">
        <is>
          <t>habitable or not habitable to</t>
        </is>
      </c>
      <c r="D24">
        <f>HYPERLINK("https://www.youtube.com/watch?v=DAyXeXVFSbw&amp;t=225s", "Go to time")</f>
        <v/>
      </c>
    </row>
    <row r="25">
      <c r="A25">
        <f>HYPERLINK("https://www.youtube.com/watch?v=xg14IN280BI", "Video")</f>
        <v/>
      </c>
      <c r="B25" t="inlineStr">
        <is>
          <t>2:28</t>
        </is>
      </c>
      <c r="C25" t="inlineStr">
        <is>
          <t>We can make it a habit,
as writer George Monbiot suggests,</t>
        </is>
      </c>
      <c r="D25">
        <f>HYPERLINK("https://www.youtube.com/watch?v=xg14IN280BI&amp;t=148s", "Go to time")</f>
        <v/>
      </c>
    </row>
    <row r="26">
      <c r="A26">
        <f>HYPERLINK("https://www.youtube.com/watch?v=dRke-WXRvME", "Video")</f>
        <v/>
      </c>
      <c r="B26" t="inlineStr">
        <is>
          <t>0:18</t>
        </is>
      </c>
      <c r="C26" t="inlineStr">
        <is>
          <t>...but in actual fact, it looks a
little bit like this - black glass.</t>
        </is>
      </c>
      <c r="D26">
        <f>HYPERLINK("https://www.youtube.com/watch?v=dRke-WXRvME&amp;t=18s", "Go to time")</f>
        <v/>
      </c>
    </row>
    <row r="27">
      <c r="A27">
        <f>HYPERLINK("https://www.youtube.com/watch?v=1c-gbYT7L9M", "Video")</f>
        <v/>
      </c>
      <c r="B27" t="inlineStr">
        <is>
          <t>3:07</t>
        </is>
      </c>
      <c r="C27" t="inlineStr">
        <is>
          <t>build habits and routine into your daily</t>
        </is>
      </c>
      <c r="D27">
        <f>HYPERLINK("https://www.youtube.com/watch?v=1c-gbYT7L9M&amp;t=187s", "Go to time")</f>
        <v/>
      </c>
    </row>
    <row r="28">
      <c r="A28">
        <f>HYPERLINK("https://www.youtube.com/watch?v=6L5SpMFtwuU", "Video")</f>
        <v/>
      </c>
      <c r="B28" t="inlineStr">
        <is>
          <t>3:21</t>
        </is>
      </c>
      <c r="C28" t="inlineStr">
        <is>
          <t>to exhibit kindness to other people.</t>
        </is>
      </c>
      <c r="D28">
        <f>HYPERLINK("https://www.youtube.com/watch?v=6L5SpMFtwuU&amp;t=201s", "Go to time")</f>
        <v/>
      </c>
    </row>
    <row r="29">
      <c r="A29">
        <f>HYPERLINK("https://www.youtube.com/watch?v=KtWlmbDsx-U", "Video")</f>
        <v/>
      </c>
      <c r="B29" t="inlineStr">
        <is>
          <t>2:17</t>
        </is>
      </c>
      <c r="C29" t="inlineStr">
        <is>
          <t>and then I look a bit
in between work tasks.</t>
        </is>
      </c>
      <c r="D29">
        <f>HYPERLINK("https://www.youtube.com/watch?v=KtWlmbDsx-U&amp;t=137s", "Go to time")</f>
        <v/>
      </c>
    </row>
    <row r="30">
      <c r="A30">
        <f>HYPERLINK("https://www.youtube.com/watch?v=JS2xy9VJwlE", "Video")</f>
        <v/>
      </c>
      <c r="B30" t="inlineStr">
        <is>
          <t>1:38</t>
        </is>
      </c>
      <c r="C30" t="inlineStr">
        <is>
          <t>I believe there's a rabbit farm
somewhere in the north of England</t>
        </is>
      </c>
      <c r="D30">
        <f>HYPERLINK("https://www.youtube.com/watch?v=JS2xy9VJwlE&amp;t=98s", "Go to time")</f>
        <v/>
      </c>
    </row>
    <row r="31">
      <c r="A31">
        <f>HYPERLINK("https://www.youtube.com/watch?v=JS2xy9VJwlE", "Video")</f>
        <v/>
      </c>
      <c r="B31" t="inlineStr">
        <is>
          <t>1:44</t>
        </is>
      </c>
      <c r="C31" t="inlineStr">
        <is>
          <t>Yeah, exactly, and a rabbit farm.</t>
        </is>
      </c>
      <c r="D31">
        <f>HYPERLINK("https://www.youtube.com/watch?v=JS2xy9VJwlE&amp;t=104s", "Go to time")</f>
        <v/>
      </c>
    </row>
    <row r="32">
      <c r="A32">
        <f>HYPERLINK("https://www.youtube.com/watch?v=JS2xy9VJwlE", "Video")</f>
        <v/>
      </c>
      <c r="B32" t="inlineStr">
        <is>
          <t>1:46</t>
        </is>
      </c>
      <c r="C32" t="inlineStr">
        <is>
          <t>And a rabbit farm!</t>
        </is>
      </c>
      <c r="D32">
        <f>HYPERLINK("https://www.youtube.com/watch?v=JS2xy9VJwlE&amp;t=106s", "Go to time")</f>
        <v/>
      </c>
    </row>
    <row r="33">
      <c r="A33">
        <f>HYPERLINK("https://www.youtube.com/watch?v=JS2xy9VJwlE", "Video")</f>
        <v/>
      </c>
      <c r="B33" t="inlineStr">
        <is>
          <t>1:59</t>
        </is>
      </c>
      <c r="C33" t="inlineStr">
        <is>
          <t>Anncliv is a bit gross,
isn't it? Annecliv.</t>
        </is>
      </c>
      <c r="D33">
        <f>HYPERLINK("https://www.youtube.com/watch?v=JS2xy9VJwlE&amp;t=119s", "Go to time")</f>
        <v/>
      </c>
    </row>
    <row r="34">
      <c r="A34">
        <f>HYPERLINK("https://www.youtube.com/watch?v=yY29cd5SxYQ", "Video")</f>
        <v/>
      </c>
      <c r="B34" t="inlineStr">
        <is>
          <t>0:14</t>
        </is>
      </c>
      <c r="C34" t="inlineStr">
        <is>
          <t>Understanding a bit about it could
change the way you see the world.</t>
        </is>
      </c>
      <c r="D34">
        <f>HYPERLINK("https://www.youtube.com/watch?v=yY29cd5SxYQ&amp;t=14s", "Go to time")</f>
        <v/>
      </c>
    </row>
    <row r="35">
      <c r="A35">
        <f>HYPERLINK("https://www.youtube.com/watch?v=yY29cd5SxYQ", "Video")</f>
        <v/>
      </c>
      <c r="B35" t="inlineStr">
        <is>
          <t>5:13</t>
        </is>
      </c>
      <c r="C35" t="inlineStr">
        <is>
          <t>but habits, situations and other
processes still rule the roost.</t>
        </is>
      </c>
      <c r="D35">
        <f>HYPERLINK("https://www.youtube.com/watch?v=yY29cd5SxYQ&amp;t=313s", "Go to time")</f>
        <v/>
      </c>
    </row>
    <row r="36">
      <c r="A36">
        <f>HYPERLINK("https://www.youtube.com/watch?v=-5PyrJUmKXM", "Video")</f>
        <v/>
      </c>
      <c r="B36" t="inlineStr">
        <is>
          <t>1:48</t>
        </is>
      </c>
      <c r="C36" t="inlineStr">
        <is>
          <t>that inflicted skin-ripping bites -
but it was worth it.</t>
        </is>
      </c>
      <c r="D36">
        <f>HYPERLINK("https://www.youtube.com/watch?v=-5PyrJUmKXM&amp;t=108s", "Go to time")</f>
        <v/>
      </c>
    </row>
    <row r="37">
      <c r="A37">
        <f>HYPERLINK("https://www.youtube.com/watch?v=-5PyrJUmKXM", "Video")</f>
        <v/>
      </c>
      <c r="B37" t="inlineStr">
        <is>
          <t>2:14</t>
        </is>
      </c>
      <c r="C37" t="inlineStr">
        <is>
          <t>as well as many other creatures
from this exotic habitat.</t>
        </is>
      </c>
      <c r="D37">
        <f>HYPERLINK("https://www.youtube.com/watch?v=-5PyrJUmKXM&amp;t=134s", "Go to time")</f>
        <v/>
      </c>
    </row>
    <row r="38">
      <c r="A38">
        <f>HYPERLINK("https://www.youtube.com/watch?v=GnTIKh5w0j8", "Video")</f>
        <v/>
      </c>
      <c r="B38" t="inlineStr">
        <is>
          <t>0:45</t>
        </is>
      </c>
      <c r="C38" t="inlineStr">
        <is>
          <t>book seven Habits of Highly Effective</t>
        </is>
      </c>
      <c r="D38">
        <f>HYPERLINK("https://www.youtube.com/watch?v=GnTIKh5w0j8&amp;t=45s", "Go to time")</f>
        <v/>
      </c>
    </row>
    <row r="39">
      <c r="A39">
        <f>HYPERLINK("https://www.youtube.com/watch?v=GnTIKh5w0j8", "Video")</f>
        <v/>
      </c>
      <c r="B39" t="inlineStr">
        <is>
          <t>0:50</t>
        </is>
      </c>
      <c r="C39" t="inlineStr">
        <is>
          <t>are our habits will either make us or</t>
        </is>
      </c>
      <c r="D39">
        <f>HYPERLINK("https://www.youtube.com/watch?v=GnTIKh5w0j8&amp;t=50s", "Go to time")</f>
        <v/>
      </c>
    </row>
    <row r="40">
      <c r="A40">
        <f>HYPERLINK("https://www.youtube.com/watch?v=GnTIKh5w0j8", "Video")</f>
        <v/>
      </c>
      <c r="B40" t="inlineStr">
        <is>
          <t>0:55</t>
        </is>
      </c>
      <c r="C40" t="inlineStr">
        <is>
          <t>some of these habits are helpful and</t>
        </is>
      </c>
      <c r="D40">
        <f>HYPERLINK("https://www.youtube.com/watch?v=GnTIKh5w0j8&amp;t=55s", "Go to time")</f>
        <v/>
      </c>
    </row>
    <row r="41">
      <c r="A41">
        <f>HYPERLINK("https://www.youtube.com/watch?v=GnTIKh5w0j8", "Video")</f>
        <v/>
      </c>
      <c r="B41" t="inlineStr">
        <is>
          <t>1:06</t>
        </is>
      </c>
      <c r="C41" t="inlineStr">
        <is>
          <t>habits combine like steps on a journey</t>
        </is>
      </c>
      <c r="D41">
        <f>HYPERLINK("https://www.youtube.com/watch?v=GnTIKh5w0j8&amp;t=66s", "Go to time")</f>
        <v/>
      </c>
    </row>
    <row r="42">
      <c r="A42">
        <f>HYPERLINK("https://www.youtube.com/watch?v=GnTIKh5w0j8", "Video")</f>
        <v/>
      </c>
      <c r="B42" t="inlineStr">
        <is>
          <t>1:17</t>
        </is>
      </c>
      <c r="C42" t="inlineStr">
        <is>
          <t>are habits so difficult to break a new</t>
        </is>
      </c>
      <c r="D42">
        <f>HYPERLINK("https://www.youtube.com/watch?v=GnTIKh5w0j8&amp;t=77s", "Go to time")</f>
        <v/>
      </c>
    </row>
    <row r="43">
      <c r="A43">
        <f>HYPERLINK("https://www.youtube.com/watch?v=GnTIKh5w0j8", "Video")</f>
        <v/>
      </c>
      <c r="B43" t="inlineStr">
        <is>
          <t>1:24</t>
        </is>
      </c>
      <c r="C43" t="inlineStr">
        <is>
          <t>habit loops these habit leaves consists</t>
        </is>
      </c>
      <c r="D43">
        <f>HYPERLINK("https://www.youtube.com/watch?v=GnTIKh5w0j8&amp;t=84s", "Go to time")</f>
        <v/>
      </c>
    </row>
    <row r="44">
      <c r="A44">
        <f>HYPERLINK("https://www.youtube.com/watch?v=GnTIKh5w0j8", "Video")</f>
        <v/>
      </c>
      <c r="B44" t="inlineStr">
        <is>
          <t>1:56</t>
        </is>
      </c>
      <c r="C44" t="inlineStr">
        <is>
          <t>time and that's why habit is hard to</t>
        </is>
      </c>
      <c r="D44">
        <f>HYPERLINK("https://www.youtube.com/watch?v=GnTIKh5w0j8&amp;t=116s", "Go to time")</f>
        <v/>
      </c>
    </row>
    <row r="45">
      <c r="A45">
        <f>HYPERLINK("https://www.youtube.com/watch?v=GnTIKh5w0j8", "Video")</f>
        <v/>
      </c>
      <c r="B45" t="inlineStr">
        <is>
          <t>2:05</t>
        </is>
      </c>
      <c r="C45" t="inlineStr">
        <is>
          <t>breaking old habits are making new ones</t>
        </is>
      </c>
      <c r="D45">
        <f>HYPERLINK("https://www.youtube.com/watch?v=GnTIKh5w0j8&amp;t=125s", "Go to time")</f>
        <v/>
      </c>
    </row>
    <row r="46">
      <c r="A46">
        <f>HYPERLINK("https://www.youtube.com/watch?v=GnTIKh5w0j8", "Video")</f>
        <v/>
      </c>
      <c r="B46" t="inlineStr">
        <is>
          <t>2:26</t>
        </is>
      </c>
      <c r="C46" t="inlineStr">
        <is>
          <t>change that habits and do you want those</t>
        </is>
      </c>
      <c r="D46">
        <f>HYPERLINK("https://www.youtube.com/watch?v=GnTIKh5w0j8&amp;t=146s", "Go to time")</f>
        <v/>
      </c>
    </row>
    <row r="47">
      <c r="A47">
        <f>HYPERLINK("https://www.youtube.com/watch?v=GnTIKh5w0j8", "Video")</f>
        <v/>
      </c>
      <c r="B47" t="inlineStr">
        <is>
          <t>2:41</t>
        </is>
      </c>
      <c r="C47" t="inlineStr">
        <is>
          <t>towards changing that habit take</t>
        </is>
      </c>
      <c r="D47">
        <f>HYPERLINK("https://www.youtube.com/watch?v=GnTIKh5w0j8&amp;t=161s", "Go to time")</f>
        <v/>
      </c>
    </row>
    <row r="48">
      <c r="A48">
        <f>HYPERLINK("https://www.youtube.com/watch?v=GnTIKh5w0j8", "Video")</f>
        <v/>
      </c>
      <c r="B48" t="inlineStr">
        <is>
          <t>3:08</t>
        </is>
      </c>
      <c r="C48" t="inlineStr">
        <is>
          <t>habit going however smaller is the</t>
        </is>
      </c>
      <c r="D48">
        <f>HYPERLINK("https://www.youtube.com/watch?v=GnTIKh5w0j8&amp;t=188s", "Go to time")</f>
        <v/>
      </c>
    </row>
    <row r="49">
      <c r="A49">
        <f>HYPERLINK("https://www.youtube.com/watch?v=GnTIKh5w0j8", "Video")</f>
        <v/>
      </c>
      <c r="B49" t="inlineStr">
        <is>
          <t>3:31</t>
        </is>
      </c>
      <c r="C49" t="inlineStr">
        <is>
          <t>habit with some easier habits being</t>
        </is>
      </c>
      <c r="D49">
        <f>HYPERLINK("https://www.youtube.com/watch?v=GnTIKh5w0j8&amp;t=211s", "Go to time")</f>
        <v/>
      </c>
    </row>
    <row r="50">
      <c r="A50">
        <f>HYPERLINK("https://www.youtube.com/watch?v=GnTIKh5w0j8", "Video")</f>
        <v/>
      </c>
      <c r="B50" t="inlineStr">
        <is>
          <t>3:39</t>
        </is>
      </c>
      <c r="C50" t="inlineStr">
        <is>
          <t>habits can change your life I think that</t>
        </is>
      </c>
      <c r="D50">
        <f>HYPERLINK("https://www.youtube.com/watch?v=GnTIKh5w0j8&amp;t=219s", "Go to time")</f>
        <v/>
      </c>
    </row>
    <row r="51">
      <c r="A51">
        <f>HYPERLINK("https://www.youtube.com/watch?v=GnTIKh5w0j8", "Video")</f>
        <v/>
      </c>
      <c r="B51" t="inlineStr">
        <is>
          <t>3:42</t>
        </is>
      </c>
      <c r="C51" t="inlineStr">
        <is>
          <t>once you notice habit is unhelpful and</t>
        </is>
      </c>
      <c r="D51">
        <f>HYPERLINK("https://www.youtube.com/watch?v=GnTIKh5w0j8&amp;t=222s", "Go to time")</f>
        <v/>
      </c>
    </row>
    <row r="52">
      <c r="A52">
        <f>HYPERLINK("https://www.youtube.com/watch?v=GnTIKh5w0j8", "Video")</f>
        <v/>
      </c>
      <c r="B52" t="inlineStr">
        <is>
          <t>3:49</t>
        </is>
      </c>
      <c r="C52" t="inlineStr">
        <is>
          <t>go forth and break some habits thanks</t>
        </is>
      </c>
      <c r="D52">
        <f>HYPERLINK("https://www.youtube.com/watch?v=GnTIKh5w0j8&amp;t=229s", "Go to time")</f>
        <v/>
      </c>
    </row>
    <row r="53">
      <c r="A53">
        <f>HYPERLINK("https://www.youtube.com/watch?v=4P2nGP1eq-w", "Video")</f>
        <v/>
      </c>
      <c r="B53" t="inlineStr">
        <is>
          <t>2:50</t>
        </is>
      </c>
      <c r="C53" t="inlineStr">
        <is>
          <t>your car tyres shed tiny bits
of tyre material - microplastics -</t>
        </is>
      </c>
      <c r="D53">
        <f>HYPERLINK("https://www.youtube.com/watch?v=4P2nGP1eq-w&amp;t=170s", "Go to time")</f>
        <v/>
      </c>
    </row>
    <row r="54">
      <c r="A54">
        <f>HYPERLINK("https://www.youtube.com/watch?v=zzMK69aoEkQ", "Video")</f>
        <v/>
      </c>
      <c r="B54" t="inlineStr">
        <is>
          <t>2:09</t>
        </is>
      </c>
      <c r="C54" t="inlineStr">
        <is>
          <t>Well I don't know, maybe it's
a little bit more than a wetsuit.</t>
        </is>
      </c>
      <c r="D54">
        <f>HYPERLINK("https://www.youtube.com/watch?v=zzMK69aoEkQ&amp;t=129s", "Go to time")</f>
        <v/>
      </c>
    </row>
    <row r="55">
      <c r="A55">
        <f>HYPERLINK("https://www.youtube.com/watch?v=zzMK69aoEkQ", "Video")</f>
        <v/>
      </c>
      <c r="B55" t="inlineStr">
        <is>
          <t>2:21</t>
        </is>
      </c>
      <c r="C55" t="inlineStr">
        <is>
          <t>And that he kind of gets
a little bit of support for that</t>
        </is>
      </c>
      <c r="D55">
        <f>HYPERLINK("https://www.youtube.com/watch?v=zzMK69aoEkQ&amp;t=141s", "Go to time")</f>
        <v/>
      </c>
    </row>
    <row r="56">
      <c r="A56">
        <f>HYPERLINK("https://www.youtube.com/watch?v=zzMK69aoEkQ", "Video")</f>
        <v/>
      </c>
      <c r="B56" t="inlineStr">
        <is>
          <t>2:49</t>
        </is>
      </c>
      <c r="C56" t="inlineStr">
        <is>
          <t>is that it still feels a
little bit revolutionary.</t>
        </is>
      </c>
      <c r="D56">
        <f>HYPERLINK("https://www.youtube.com/watch?v=zzMK69aoEkQ&amp;t=169s", "Go to time")</f>
        <v/>
      </c>
    </row>
    <row r="57">
      <c r="A57">
        <f>HYPERLINK("https://www.youtube.com/watch?v=7lOJxI-3oqQ", "Video")</f>
        <v/>
      </c>
      <c r="B57" t="inlineStr">
        <is>
          <t>0:29</t>
        </is>
      </c>
      <c r="C57" t="inlineStr">
        <is>
          <t>And I do lots of other
different bits and pieces.</t>
        </is>
      </c>
      <c r="D57">
        <f>HYPERLINK("https://www.youtube.com/watch?v=7lOJxI-3oqQ&amp;t=29s", "Go to time")</f>
        <v/>
      </c>
    </row>
    <row r="58">
      <c r="A58">
        <f>HYPERLINK("https://www.youtube.com/watch?v=7lOJxI-3oqQ", "Video")</f>
        <v/>
      </c>
      <c r="B58" t="inlineStr">
        <is>
          <t>0:39</t>
        </is>
      </c>
      <c r="C58" t="inlineStr">
        <is>
          <t>"Do you want to do the numbers
for a bit?"</t>
        </is>
      </c>
      <c r="D58">
        <f>HYPERLINK("https://www.youtube.com/watch?v=7lOJxI-3oqQ&amp;t=39s", "Go to time")</f>
        <v/>
      </c>
    </row>
    <row r="59">
      <c r="A59">
        <f>HYPERLINK("https://www.youtube.com/watch?v=7lOJxI-3oqQ", "Video")</f>
        <v/>
      </c>
      <c r="B59" t="inlineStr">
        <is>
          <t>4:22</t>
        </is>
      </c>
      <c r="C59" t="inlineStr">
        <is>
          <t>See, then you get
those bits and pieces</t>
        </is>
      </c>
      <c r="D59">
        <f>HYPERLINK("https://www.youtube.com/watch?v=7lOJxI-3oqQ&amp;t=262s", "Go to time")</f>
        <v/>
      </c>
    </row>
    <row r="60">
      <c r="A60">
        <f>HYPERLINK("https://www.youtube.com/watch?v=7lOJxI-3oqQ", "Video")</f>
        <v/>
      </c>
      <c r="B60" t="inlineStr">
        <is>
          <t>5:39</t>
        </is>
      </c>
      <c r="C60" t="inlineStr">
        <is>
          <t>and had a bit of
a road to Damascus moment of...</t>
        </is>
      </c>
      <c r="D60">
        <f>HYPERLINK("https://www.youtube.com/watch?v=7lOJxI-3oqQ&amp;t=339s", "Go to time")</f>
        <v/>
      </c>
    </row>
    <row r="61">
      <c r="A61">
        <f>HYPERLINK("https://www.youtube.com/watch?v=7lOJxI-3oqQ", "Video")</f>
        <v/>
      </c>
      <c r="B61" t="inlineStr">
        <is>
          <t>6:14</t>
        </is>
      </c>
      <c r="C61" t="inlineStr">
        <is>
          <t>that, actually,
just a little bit of effort</t>
        </is>
      </c>
      <c r="D61">
        <f>HYPERLINK("https://www.youtube.com/watch?v=7lOJxI-3oqQ&amp;t=374s", "Go to time")</f>
        <v/>
      </c>
    </row>
    <row r="62">
      <c r="A62">
        <f>HYPERLINK("https://www.youtube.com/watch?v=7lOJxI-3oqQ", "Video")</f>
        <v/>
      </c>
      <c r="B62" t="inlineStr">
        <is>
          <t>6:54</t>
        </is>
      </c>
      <c r="C62" t="inlineStr">
        <is>
          <t>"So we might want a little bit
of their experiences now</t>
        </is>
      </c>
      <c r="D62">
        <f>HYPERLINK("https://www.youtube.com/watch?v=7lOJxI-3oqQ&amp;t=414s", "Go to time")</f>
        <v/>
      </c>
    </row>
    <row r="63">
      <c r="A63">
        <f>HYPERLINK("https://www.youtube.com/watch?v=7lOJxI-3oqQ", "Video")</f>
        <v/>
      </c>
      <c r="B63" t="inlineStr">
        <is>
          <t>7:48</t>
        </is>
      </c>
      <c r="C63" t="inlineStr">
        <is>
          <t>let's just put a little bit
of that 'herstory' in alongside it.</t>
        </is>
      </c>
      <c r="D63">
        <f>HYPERLINK("https://www.youtube.com/watch?v=7lOJxI-3oqQ&amp;t=468s", "Go to time")</f>
        <v/>
      </c>
    </row>
    <row r="64">
      <c r="A64">
        <f>HYPERLINK("https://www.youtube.com/watch?v=6QwiYfqX1sg", "Video")</f>
        <v/>
      </c>
      <c r="B64" t="inlineStr">
        <is>
          <t>3:02</t>
        </is>
      </c>
      <c r="C64" t="inlineStr">
        <is>
          <t>Since then,
insect-rich wildlife habitats</t>
        </is>
      </c>
      <c r="D64">
        <f>HYPERLINK("https://www.youtube.com/watch?v=6QwiYfqX1sg&amp;t=182s", "Go to time")</f>
        <v/>
      </c>
    </row>
    <row r="65">
      <c r="A65">
        <f>HYPERLINK("https://www.youtube.com/watch?v=pSNpO8tNMz0", "Video")</f>
        <v/>
      </c>
      <c r="B65" t="inlineStr">
        <is>
          <t>0:54</t>
        </is>
      </c>
      <c r="C65" t="inlineStr">
        <is>
          <t>as a bit of a practical joke in the mid</t>
        </is>
      </c>
      <c r="D65">
        <f>HYPERLINK("https://www.youtube.com/watch?v=pSNpO8tNMz0&amp;t=54s", "Go to time")</f>
        <v/>
      </c>
    </row>
    <row r="66">
      <c r="A66">
        <f>HYPERLINK("https://www.youtube.com/watch?v=pSNpO8tNMz0", "Video")</f>
        <v/>
      </c>
      <c r="B66" t="inlineStr">
        <is>
          <t>1:32</t>
        </is>
      </c>
      <c r="C66" t="inlineStr">
        <is>
          <t>a bit of a mess we're not really sure if</t>
        </is>
      </c>
      <c r="D66">
        <f>HYPERLINK("https://www.youtube.com/watch?v=pSNpO8tNMz0&amp;t=92s", "Go to time")</f>
        <v/>
      </c>
    </row>
    <row r="67">
      <c r="A67">
        <f>HYPERLINK("https://www.youtube.com/watch?v=BDYkrjTDRvM", "Video")</f>
        <v/>
      </c>
      <c r="B67" t="inlineStr">
        <is>
          <t>3:43</t>
        </is>
      </c>
      <c r="C67" t="inlineStr">
        <is>
          <t>Maybe we all need to be humiliated
about our habits of humiliation.</t>
        </is>
      </c>
      <c r="D67">
        <f>HYPERLINK("https://www.youtube.com/watch?v=BDYkrjTDRvM&amp;t=223s", "Go to time")</f>
        <v/>
      </c>
    </row>
    <row r="68">
      <c r="A68">
        <f>HYPERLINK("https://www.youtube.com/watch?v=yvUsNPA772M", "Video")</f>
        <v/>
      </c>
      <c r="B68" t="inlineStr">
        <is>
          <t>3:12</t>
        </is>
      </c>
      <c r="C68" t="inlineStr">
        <is>
          <t>ambitious or not conforming would be so</t>
        </is>
      </c>
      <c r="D68">
        <f>HYPERLINK("https://www.youtube.com/watch?v=yvUsNPA772M&amp;t=192s", "Go to time")</f>
        <v/>
      </c>
    </row>
    <row r="69">
      <c r="A69">
        <f>HYPERLINK("https://www.youtube.com/watch?v=ofSRdOni5bY", "Video")</f>
        <v/>
      </c>
      <c r="B69" t="inlineStr">
        <is>
          <t>6:48</t>
        </is>
      </c>
      <c r="C69" t="inlineStr">
        <is>
          <t>me a little bit scared for the</t>
        </is>
      </c>
      <c r="D69">
        <f>HYPERLINK("https://www.youtube.com/watch?v=ofSRdOni5bY&amp;t=408s", "Go to time")</f>
        <v/>
      </c>
    </row>
    <row r="70">
      <c r="A70">
        <f>HYPERLINK("https://www.youtube.com/watch?v=ofSRdOni5bY", "Video")</f>
        <v/>
      </c>
      <c r="B70" t="inlineStr">
        <is>
          <t>7:47</t>
        </is>
      </c>
      <c r="C70" t="inlineStr">
        <is>
          <t>bit of hope I think this is the</t>
        </is>
      </c>
      <c r="D70">
        <f>HYPERLINK("https://www.youtube.com/watch?v=ofSRdOni5bY&amp;t=467s", "Go to time")</f>
        <v/>
      </c>
    </row>
    <row r="71">
      <c r="A71">
        <f>HYPERLINK("https://www.youtube.com/watch?v=dk2VEi10yWg", "Video")</f>
        <v/>
      </c>
      <c r="B71" t="inlineStr">
        <is>
          <t>1:18</t>
        </is>
      </c>
      <c r="C71" t="inlineStr">
        <is>
          <t>But if I look back, I think I put
myself out there a bit too much.</t>
        </is>
      </c>
      <c r="D71">
        <f>HYPERLINK("https://www.youtube.com/watch?v=dk2VEi10yWg&amp;t=78s", "Go to time")</f>
        <v/>
      </c>
    </row>
    <row r="72">
      <c r="A72">
        <f>HYPERLINK("https://www.youtube.com/watch?v=dk2VEi10yWg", "Video")</f>
        <v/>
      </c>
      <c r="B72" t="inlineStr">
        <is>
          <t>1:39</t>
        </is>
      </c>
      <c r="C72" t="inlineStr">
        <is>
          <t>and I was naive a bit in thinking
we could attract all this attention</t>
        </is>
      </c>
      <c r="D72">
        <f>HYPERLINK("https://www.youtube.com/watch?v=dk2VEi10yWg&amp;t=99s", "Go to time")</f>
        <v/>
      </c>
    </row>
    <row r="73">
      <c r="A73">
        <f>HYPERLINK("https://www.youtube.com/watch?v=dk2VEi10yWg", "Video")</f>
        <v/>
      </c>
      <c r="B73" t="inlineStr">
        <is>
          <t>1:49</t>
        </is>
      </c>
      <c r="C73" t="inlineStr">
        <is>
          <t>but hold a little bit back.</t>
        </is>
      </c>
      <c r="D73">
        <f>HYPERLINK("https://www.youtube.com/watch?v=dk2VEi10yWg&amp;t=109s", "Go to time")</f>
        <v/>
      </c>
    </row>
    <row r="74">
      <c r="A74">
        <f>HYPERLINK("https://www.youtube.com/watch?v=dk2VEi10yWg", "Video")</f>
        <v/>
      </c>
      <c r="B74" t="inlineStr">
        <is>
          <t>2:48</t>
        </is>
      </c>
      <c r="C74" t="inlineStr">
        <is>
          <t>but at the same time you want
to get your brain back a bit too.</t>
        </is>
      </c>
      <c r="D74">
        <f>HYPERLINK("https://www.youtube.com/watch?v=dk2VEi10yWg&amp;t=168s", "Go to time")</f>
        <v/>
      </c>
    </row>
    <row r="75">
      <c r="A75">
        <f>HYPERLINK("https://www.youtube.com/watch?v=dk2VEi10yWg", "Video")</f>
        <v/>
      </c>
      <c r="B75" t="inlineStr">
        <is>
          <t>3:51</t>
        </is>
      </c>
      <c r="C75" t="inlineStr">
        <is>
          <t>and understanding
a bit about technology</t>
        </is>
      </c>
      <c r="D75">
        <f>HYPERLINK("https://www.youtube.com/watch?v=dk2VEi10yWg&amp;t=231s", "Go to time")</f>
        <v/>
      </c>
    </row>
    <row r="76">
      <c r="A76">
        <f>HYPERLINK("https://www.youtube.com/watch?v=XZ2VZ3_sGsg", "Video")</f>
        <v/>
      </c>
      <c r="B76" t="inlineStr">
        <is>
          <t>2:18</t>
        </is>
      </c>
      <c r="C76" t="inlineStr">
        <is>
          <t>use to exhibit this sexual signal.</t>
        </is>
      </c>
      <c r="D76">
        <f>HYPERLINK("https://www.youtube.com/watch?v=XZ2VZ3_sGsg&amp;t=138s", "Go to time")</f>
        <v/>
      </c>
    </row>
    <row r="77">
      <c r="A77">
        <f>HYPERLINK("https://www.youtube.com/watch?v=Clz0kotXJNI", "Video")</f>
        <v/>
      </c>
      <c r="B77" t="inlineStr">
        <is>
          <t>0:58</t>
        </is>
      </c>
      <c r="C77" t="inlineStr">
        <is>
          <t>job to they take quite a bit of a</t>
        </is>
      </c>
      <c r="D77">
        <f>HYPERLINK("https://www.youtube.com/watch?v=Clz0kotXJNI&amp;t=58s", "Go to time")</f>
        <v/>
      </c>
    </row>
    <row r="78">
      <c r="A78">
        <f>HYPERLINK("https://www.youtube.com/watch?v=EkMjXGUT6BA", "Video")</f>
        <v/>
      </c>
      <c r="B78" t="inlineStr">
        <is>
          <t>1:29</t>
        </is>
      </c>
      <c r="C78" t="inlineStr">
        <is>
          <t>habitats that otherwise get cut down</t>
        </is>
      </c>
      <c r="D78">
        <f>HYPERLINK("https://www.youtube.com/watch?v=EkMjXGUT6BA&amp;t=89s", "Go to time")</f>
        <v/>
      </c>
    </row>
    <row r="79">
      <c r="A79">
        <f>HYPERLINK("https://www.youtube.com/watch?v=EkMjXGUT6BA", "Video")</f>
        <v/>
      </c>
      <c r="B79" t="inlineStr">
        <is>
          <t>1:38</t>
        </is>
      </c>
      <c r="C79" t="inlineStr">
        <is>
          <t>trees offer a habitat to all kinds of</t>
        </is>
      </c>
      <c r="D79">
        <f>HYPERLINK("https://www.youtube.com/watch?v=EkMjXGUT6BA&amp;t=98s", "Go to time")</f>
        <v/>
      </c>
    </row>
    <row r="80">
      <c r="A80">
        <f>HYPERLINK("https://www.youtube.com/watch?v=_iuPewWbp2U", "Video")</f>
        <v/>
      </c>
      <c r="B80" t="inlineStr">
        <is>
          <t>0:12</t>
        </is>
      </c>
      <c r="C80" t="inlineStr">
        <is>
          <t>was just a bit of fun it was something</t>
        </is>
      </c>
      <c r="D80">
        <f>HYPERLINK("https://www.youtube.com/watch?v=_iuPewWbp2U&amp;t=12s", "Go to time")</f>
        <v/>
      </c>
    </row>
    <row r="81">
      <c r="A81">
        <f>HYPERLINK("https://www.youtube.com/watch?v=b9qZWG-07M8", "Video")</f>
        <v/>
      </c>
      <c r="B81" t="inlineStr">
        <is>
          <t>2:52</t>
        </is>
      </c>
      <c r="C81" t="inlineStr">
        <is>
          <t>league had grand ambitions and he</t>
        </is>
      </c>
      <c r="D81">
        <f>HYPERLINK("https://www.youtube.com/watch?v=b9qZWG-07M8&amp;t=172s", "Go to time")</f>
        <v/>
      </c>
    </row>
    <row r="82">
      <c r="A82">
        <f>HYPERLINK("https://www.youtube.com/watch?v=518FR6SbY_k", "Video")</f>
        <v/>
      </c>
      <c r="B82" t="inlineStr">
        <is>
          <t>1:58</t>
        </is>
      </c>
      <c r="C82" t="inlineStr">
        <is>
          <t>A relativist would simply
have to bite the bullet,</t>
        </is>
      </c>
      <c r="D82">
        <f>HYPERLINK("https://www.youtube.com/watch?v=518FR6SbY_k&amp;t=118s", "Go to time")</f>
        <v/>
      </c>
    </row>
    <row r="83">
      <c r="A83">
        <f>HYPERLINK("https://www.youtube.com/watch?v=DLtxUiwY6j8", "Video")</f>
        <v/>
      </c>
      <c r="B83" t="inlineStr">
        <is>
          <t>1:21</t>
        </is>
      </c>
      <c r="C83" t="inlineStr">
        <is>
          <t>like this one bit</t>
        </is>
      </c>
      <c r="D83">
        <f>HYPERLINK("https://www.youtube.com/watch?v=DLtxUiwY6j8&amp;t=81s", "Go to time")</f>
        <v/>
      </c>
    </row>
    <row r="84">
      <c r="A84">
        <f>HYPERLINK("https://www.youtube.com/watch?v=DLtxUiwY6j8", "Video")</f>
        <v/>
      </c>
      <c r="B84" t="inlineStr">
        <is>
          <t>3:23</t>
        </is>
      </c>
      <c r="C84" t="inlineStr">
        <is>
          <t>globalized world we inhabit one of</t>
        </is>
      </c>
      <c r="D84">
        <f>HYPERLINK("https://www.youtube.com/watch?v=DLtxUiwY6j8&amp;t=203s", "Go to time")</f>
        <v/>
      </c>
    </row>
    <row r="85">
      <c r="A85">
        <f>HYPERLINK("https://www.youtube.com/watch?v=Xz196hJONU0", "Video")</f>
        <v/>
      </c>
      <c r="B85" t="inlineStr">
        <is>
          <t>0:12</t>
        </is>
      </c>
      <c r="C85" t="inlineStr">
        <is>
          <t>the inhabitants of Sparta
in southern Greece.</t>
        </is>
      </c>
      <c r="D85">
        <f>HYPERLINK("https://www.youtube.com/watch?v=Xz196hJONU0&amp;t=12s", "Go to time")</f>
        <v/>
      </c>
    </row>
    <row r="86">
      <c r="A86">
        <f>HYPERLINK("https://www.youtube.com/watch?v=ldQOrbF0kqc", "Video")</f>
        <v/>
      </c>
      <c r="B86" t="inlineStr">
        <is>
          <t>0:25</t>
        </is>
      </c>
      <c r="C86" t="inlineStr">
        <is>
          <t>OK, this one's
a bit of a game-changer.</t>
        </is>
      </c>
      <c r="D86">
        <f>HYPERLINK("https://www.youtube.com/watch?v=ldQOrbF0kqc&amp;t=25s", "Go to time")</f>
        <v/>
      </c>
    </row>
    <row r="87">
      <c r="A87">
        <f>HYPERLINK("https://www.youtube.com/watch?v=ldQOrbF0kqc", "Video")</f>
        <v/>
      </c>
      <c r="B87" t="inlineStr">
        <is>
          <t>1:19</t>
        </is>
      </c>
      <c r="C87" t="inlineStr">
        <is>
          <t>A little bit of fish, meat,
broccoli, an egg...</t>
        </is>
      </c>
      <c r="D87">
        <f>HYPERLINK("https://www.youtube.com/watch?v=ldQOrbF0kqc&amp;t=79s", "Go to time")</f>
        <v/>
      </c>
    </row>
    <row r="88">
      <c r="A88">
        <f>HYPERLINK("https://www.youtube.com/watch?v=F1F-7cDOX2I", "Video")</f>
        <v/>
      </c>
      <c r="B88" t="inlineStr">
        <is>
          <t>1:30</t>
        </is>
      </c>
      <c r="C88" t="inlineStr">
        <is>
          <t>A bit of short term pain,</t>
        </is>
      </c>
      <c r="D88">
        <f>HYPERLINK("https://www.youtube.com/watch?v=F1F-7cDOX2I&amp;t=90s", "Go to time")</f>
        <v/>
      </c>
    </row>
    <row r="89">
      <c r="A89">
        <f>HYPERLINK("https://www.youtube.com/watch?v=F1F-7cDOX2I", "Video")</f>
        <v/>
      </c>
      <c r="B89" t="inlineStr">
        <is>
          <t>2:19</t>
        </is>
      </c>
      <c r="C89" t="inlineStr">
        <is>
          <t>see him being a bit restrained
and a bit withheld</t>
        </is>
      </c>
      <c r="D89">
        <f>HYPERLINK("https://www.youtube.com/watch?v=F1F-7cDOX2I&amp;t=139s", "Go to time")</f>
        <v/>
      </c>
    </row>
    <row r="90">
      <c r="A90">
        <f>HYPERLINK("https://www.youtube.com/watch?v=F1F-7cDOX2I", "Video")</f>
        <v/>
      </c>
      <c r="B90" t="inlineStr">
        <is>
          <t>2:22</t>
        </is>
      </c>
      <c r="C90" t="inlineStr">
        <is>
          <t>and start to think,
"He's a bit aloof."</t>
        </is>
      </c>
      <c r="D90">
        <f>HYPERLINK("https://www.youtube.com/watch?v=F1F-7cDOX2I&amp;t=142s", "Go to time")</f>
        <v/>
      </c>
    </row>
    <row r="91">
      <c r="A91">
        <f>HYPERLINK("https://www.youtube.com/watch?v=Cuivnfvx8uw", "Video")</f>
        <v/>
      </c>
      <c r="B91" t="inlineStr">
        <is>
          <t>0:14</t>
        </is>
      </c>
      <c r="C91" t="inlineStr">
        <is>
          <t>Our world is made of layers,
a bit like an onion,</t>
        </is>
      </c>
      <c r="D91">
        <f>HYPERLINK("https://www.youtube.com/watch?v=Cuivnfvx8uw&amp;t=14s", "Go to time")</f>
        <v/>
      </c>
    </row>
    <row r="92">
      <c r="A92">
        <f>HYPERLINK("https://www.youtube.com/watch?v=Cuivnfvx8uw", "Video")</f>
        <v/>
      </c>
      <c r="B92" t="inlineStr">
        <is>
          <t>2:33</t>
        </is>
      </c>
      <c r="C92" t="inlineStr">
        <is>
          <t>While the dinosaurs might
have been a bit of a stretch,</t>
        </is>
      </c>
      <c r="D92">
        <f>HYPERLINK("https://www.youtube.com/watch?v=Cuivnfvx8uw&amp;t=153s", "Go to time")</f>
        <v/>
      </c>
    </row>
    <row r="93">
      <c r="A93">
        <f>HYPERLINK("https://www.youtube.com/watch?v=ZnBF2GeAKbo", "Video")</f>
        <v/>
      </c>
      <c r="B93" t="inlineStr">
        <is>
          <t>2:27</t>
        </is>
      </c>
      <c r="C93" t="inlineStr">
        <is>
          <t>Shall we go somewhere
a little bit quieter</t>
        </is>
      </c>
      <c r="D93">
        <f>HYPERLINK("https://www.youtube.com/watch?v=ZnBF2GeAKbo&amp;t=147s", "Go to time")</f>
        <v/>
      </c>
    </row>
    <row r="94">
      <c r="A94">
        <f>HYPERLINK("https://www.youtube.com/watch?v=ZnBF2GeAKbo", "Video")</f>
        <v/>
      </c>
      <c r="B94" t="inlineStr">
        <is>
          <t>2:29</t>
        </is>
      </c>
      <c r="C94" t="inlineStr">
        <is>
          <t>and talk in a little bit more detail</t>
        </is>
      </c>
      <c r="D94">
        <f>HYPERLINK("https://www.youtube.com/watch?v=ZnBF2GeAKbo&amp;t=149s", "Go to time")</f>
        <v/>
      </c>
    </row>
    <row r="95">
      <c r="A95">
        <f>HYPERLINK("https://www.youtube.com/watch?v=ZnBF2GeAKbo", "Video")</f>
        <v/>
      </c>
      <c r="B95" t="inlineStr">
        <is>
          <t>3:14</t>
        </is>
      </c>
      <c r="C95" t="inlineStr">
        <is>
          <t>that we perhaps should
be a bit concerned about</t>
        </is>
      </c>
      <c r="D95">
        <f>HYPERLINK("https://www.youtube.com/watch?v=ZnBF2GeAKbo&amp;t=194s", "Go to time")</f>
        <v/>
      </c>
    </row>
    <row r="96">
      <c r="A96">
        <f>HYPERLINK("https://www.youtube.com/watch?v=TU-9-5k-rDM", "Video")</f>
        <v/>
      </c>
      <c r="B96" t="inlineStr">
        <is>
          <t>4:15</t>
        </is>
      </c>
      <c r="C96" t="inlineStr">
        <is>
          <t>if you move town, the foundations of
your life get shaken a bit.</t>
        </is>
      </c>
      <c r="D96">
        <f>HYPERLINK("https://www.youtube.com/watch?v=TU-9-5k-rDM&amp;t=255s", "Go to time")</f>
        <v/>
      </c>
    </row>
    <row r="97">
      <c r="A97">
        <f>HYPERLINK("https://www.youtube.com/watch?v=sDrOrtbhbiY", "Video")</f>
        <v/>
      </c>
      <c r="B97" t="inlineStr">
        <is>
          <t>4:55</t>
        </is>
      </c>
      <c r="C97" t="inlineStr">
        <is>
          <t>characters there's still a bit of a way</t>
        </is>
      </c>
      <c r="D97">
        <f>HYPERLINK("https://www.youtube.com/watch?v=sDrOrtbhbiY&amp;t=295s", "Go to time")</f>
        <v/>
      </c>
    </row>
    <row r="98">
      <c r="A98">
        <f>HYPERLINK("https://www.youtube.com/watch?v=XinNmhlnTyI", "Video")</f>
        <v/>
      </c>
      <c r="B98" t="inlineStr">
        <is>
          <t>1:41</t>
        </is>
      </c>
      <c r="C98" t="inlineStr">
        <is>
          <t>bit of light perception do blind people</t>
        </is>
      </c>
      <c r="D98">
        <f>HYPERLINK("https://www.youtube.com/watch?v=XinNmhlnTyI&amp;t=101s", "Go to time")</f>
        <v/>
      </c>
    </row>
    <row r="99">
      <c r="A99">
        <f>HYPERLINK("https://www.youtube.com/watch?v=XinNmhlnTyI", "Video")</f>
        <v/>
      </c>
      <c r="B99" t="inlineStr">
        <is>
          <t>1:54</t>
        </is>
      </c>
      <c r="C99" t="inlineStr">
        <is>
          <t>bit more focus on what I needed to hear</t>
        </is>
      </c>
      <c r="D99">
        <f>HYPERLINK("https://www.youtube.com/watch?v=XinNmhlnTyI&amp;t=114s", "Go to time")</f>
        <v/>
      </c>
    </row>
    <row r="100">
      <c r="A100">
        <f>HYPERLINK("https://www.youtube.com/watch?v=XinNmhlnTyI", "Video")</f>
        <v/>
      </c>
      <c r="B100" t="inlineStr">
        <is>
          <t>2:42</t>
        </is>
      </c>
      <c r="C100" t="inlineStr">
        <is>
          <t>obstacles bit lamppost bins people on</t>
        </is>
      </c>
      <c r="D100">
        <f>HYPERLINK("https://www.youtube.com/watch?v=XinNmhlnTyI&amp;t=162s", "Go to time")</f>
        <v/>
      </c>
    </row>
    <row r="101">
      <c r="A101">
        <f>HYPERLINK("https://www.youtube.com/watch?v=EoCaV-Hf3a4", "Video")</f>
        <v/>
      </c>
      <c r="B101" t="inlineStr">
        <is>
          <t>1:00</t>
        </is>
      </c>
      <c r="C101" t="inlineStr">
        <is>
          <t>probably a little bit inaccurate because</t>
        </is>
      </c>
      <c r="D101">
        <f>HYPERLINK("https://www.youtube.com/watch?v=EoCaV-Hf3a4&amp;t=60s", "Go to time")</f>
        <v/>
      </c>
    </row>
    <row r="102">
      <c r="A102">
        <f>HYPERLINK("https://www.youtube.com/watch?v=EoCaV-Hf3a4", "Video")</f>
        <v/>
      </c>
      <c r="B102" t="inlineStr">
        <is>
          <t>1:33</t>
        </is>
      </c>
      <c r="C102" t="inlineStr">
        <is>
          <t>I think a little bit of self-doubt is</t>
        </is>
      </c>
      <c r="D102">
        <f>HYPERLINK("https://www.youtube.com/watch?v=EoCaV-Hf3a4&amp;t=93s", "Go to time")</f>
        <v/>
      </c>
    </row>
    <row r="103">
      <c r="A103">
        <f>HYPERLINK("https://www.youtube.com/watch?v=EoCaV-Hf3a4", "Video")</f>
        <v/>
      </c>
      <c r="B103" t="inlineStr">
        <is>
          <t>3:37</t>
        </is>
      </c>
      <c r="C103" t="inlineStr">
        <is>
          <t>ridiculous that is so it's a bit of a</t>
        </is>
      </c>
      <c r="D103">
        <f>HYPERLINK("https://www.youtube.com/watch?v=EoCaV-Hf3a4&amp;t=217s", "Go to time")</f>
        <v/>
      </c>
    </row>
    <row r="104">
      <c r="A104">
        <f>HYPERLINK("https://www.youtube.com/watch?v=0z8XwUBZaBU", "Video")</f>
        <v/>
      </c>
      <c r="B104" t="inlineStr">
        <is>
          <t>3:06</t>
        </is>
      </c>
      <c r="C104" t="inlineStr">
        <is>
          <t>Stress plays a huge role
in inhibiting erections</t>
        </is>
      </c>
      <c r="D104">
        <f>HYPERLINK("https://www.youtube.com/watch?v=0z8XwUBZaBU&amp;t=186s", "Go to time")</f>
        <v/>
      </c>
    </row>
    <row r="105">
      <c r="A105">
        <f>HYPERLINK("https://www.youtube.com/watch?v=Wi_jQ-DJ-qk", "Video")</f>
        <v/>
      </c>
      <c r="B105" t="inlineStr">
        <is>
          <t>0:20</t>
        </is>
      </c>
      <c r="C105" t="inlineStr">
        <is>
          <t>where space elevators transport us
almost effortlessly into orbit.</t>
        </is>
      </c>
      <c r="D105">
        <f>HYPERLINK("https://www.youtube.com/watch?v=Wi_jQ-DJ-qk&amp;t=20s", "Go to time")</f>
        <v/>
      </c>
    </row>
    <row r="106">
      <c r="A106">
        <f>HYPERLINK("https://www.youtube.com/watch?v=Wi_jQ-DJ-qk", "Video")</f>
        <v/>
      </c>
      <c r="B106" t="inlineStr">
        <is>
          <t>0:42</t>
        </is>
      </c>
      <c r="C106" t="inlineStr">
        <is>
          <t>which would crawl up like a lift
into orbit.</t>
        </is>
      </c>
      <c r="D106">
        <f>HYPERLINK("https://www.youtube.com/watch?v=Wi_jQ-DJ-qk&amp;t=42s", "Go to time")</f>
        <v/>
      </c>
    </row>
    <row r="107">
      <c r="A107">
        <f>HYPERLINK("https://www.youtube.com/watch?v=Wi_jQ-DJ-qk", "Video")</f>
        <v/>
      </c>
      <c r="B107" t="inlineStr">
        <is>
          <t>1:07</t>
        </is>
      </c>
      <c r="C107" t="inlineStr">
        <is>
          <t>You'd take a space elevator
to the orbit</t>
        </is>
      </c>
      <c r="D107">
        <f>HYPERLINK("https://www.youtube.com/watch?v=Wi_jQ-DJ-qk&amp;t=67s", "Go to time")</f>
        <v/>
      </c>
    </row>
    <row r="108">
      <c r="A108">
        <f>HYPERLINK("https://www.youtube.com/watch?v=Wi_jQ-DJ-qk", "Video")</f>
        <v/>
      </c>
      <c r="B108" t="inlineStr">
        <is>
          <t>3:17</t>
        </is>
      </c>
      <c r="C108" t="inlineStr">
        <is>
          <t>Satellites orbiting the Earth
tell us the weather,</t>
        </is>
      </c>
      <c r="D108">
        <f>HYPERLINK("https://www.youtube.com/watch?v=Wi_jQ-DJ-qk&amp;t=197s", "Go to time")</f>
        <v/>
      </c>
    </row>
    <row r="109">
      <c r="A109">
        <f>HYPERLINK("https://www.youtube.com/watch?v=Wi_jQ-DJ-qk", "Video")</f>
        <v/>
      </c>
      <c r="B109" t="inlineStr">
        <is>
          <t>3:24</t>
        </is>
      </c>
      <c r="C109" t="inlineStr">
        <is>
          <t>and since 2019, the number
of satellites orbiting Earth</t>
        </is>
      </c>
      <c r="D109">
        <f>HYPERLINK("https://www.youtube.com/watch?v=Wi_jQ-DJ-qk&amp;t=204s", "Go to time")</f>
        <v/>
      </c>
    </row>
    <row r="110">
      <c r="A110">
        <f>HYPERLINK("https://www.youtube.com/watch?v=Wi_jQ-DJ-qk", "Video")</f>
        <v/>
      </c>
      <c r="B110" t="inlineStr">
        <is>
          <t>4:22</t>
        </is>
      </c>
      <c r="C110" t="inlineStr">
        <is>
          <t>In the future, power-hungry data
centres could be located in orbit,</t>
        </is>
      </c>
      <c r="D110">
        <f>HYPERLINK("https://www.youtube.com/watch?v=Wi_jQ-DJ-qk&amp;t=262s", "Go to time")</f>
        <v/>
      </c>
    </row>
    <row r="111">
      <c r="A111">
        <f>HYPERLINK("https://www.youtube.com/watch?v=vJHxS3ptNEI", "Video")</f>
        <v/>
      </c>
      <c r="B111" t="inlineStr">
        <is>
          <t>4:09</t>
        </is>
      </c>
      <c r="C111" t="inlineStr">
        <is>
          <t>Tonight you were a bit lacklustre,
weren't you?</t>
        </is>
      </c>
      <c r="D111">
        <f>HYPERLINK("https://www.youtube.com/watch?v=vJHxS3ptNEI&amp;t=249s", "Go to time")</f>
        <v/>
      </c>
    </row>
    <row r="112">
      <c r="A112">
        <f>HYPERLINK("https://www.youtube.com/watch?v=PPewLIo4k5A", "Video")</f>
        <v/>
      </c>
      <c r="B112" t="inlineStr">
        <is>
          <t>0:05</t>
        </is>
      </c>
      <c r="C112" t="inlineStr">
        <is>
          <t>a little bit different,
Spock for example.</t>
        </is>
      </c>
      <c r="D112">
        <f>HYPERLINK("https://www.youtube.com/watch?v=PPewLIo4k5A&amp;t=5s", "Go to time")</f>
        <v/>
      </c>
    </row>
    <row r="113">
      <c r="A113">
        <f>HYPERLINK("https://www.youtube.com/watch?v=PPewLIo4k5A", "Video")</f>
        <v/>
      </c>
      <c r="B113" t="inlineStr">
        <is>
          <t>0:09</t>
        </is>
      </c>
      <c r="C113" t="inlineStr">
        <is>
          <t>Think he always had a bit of a bowl.</t>
        </is>
      </c>
      <c r="D113">
        <f>HYPERLINK("https://www.youtube.com/watch?v=PPewLIo4k5A&amp;t=9s", "Go to time")</f>
        <v/>
      </c>
    </row>
    <row r="114">
      <c r="A114">
        <f>HYPERLINK("https://www.youtube.com/watch?v=PPewLIo4k5A", "Video")</f>
        <v/>
      </c>
      <c r="B114" t="inlineStr">
        <is>
          <t>0:33</t>
        </is>
      </c>
      <c r="C114" t="inlineStr">
        <is>
          <t>-All of these seem to lack
a bit of imagination to me,</t>
        </is>
      </c>
      <c r="D114">
        <f>HYPERLINK("https://www.youtube.com/watch?v=PPewLIo4k5A&amp;t=33s", "Go to time")</f>
        <v/>
      </c>
    </row>
    <row r="115">
      <c r="A115">
        <f>HYPERLINK("https://www.youtube.com/watch?v=PPewLIo4k5A", "Video")</f>
        <v/>
      </c>
      <c r="B115" t="inlineStr">
        <is>
          <t>1:27</t>
        </is>
      </c>
      <c r="C115" t="inlineStr">
        <is>
          <t>Which is looking a little bit similar</t>
        </is>
      </c>
      <c r="D115">
        <f>HYPERLINK("https://www.youtube.com/watch?v=PPewLIo4k5A&amp;t=87s", "Go to time")</f>
        <v/>
      </c>
    </row>
    <row r="116">
      <c r="A116">
        <f>HYPERLINK("https://www.youtube.com/watch?v=PPewLIo4k5A", "Video")</f>
        <v/>
      </c>
      <c r="B116" t="inlineStr">
        <is>
          <t>2:41</t>
        </is>
      </c>
      <c r="C116" t="inlineStr">
        <is>
          <t>-These mobile forms that can
find new habitat and then start</t>
        </is>
      </c>
      <c r="D116">
        <f>HYPERLINK("https://www.youtube.com/watch?v=PPewLIo4k5A&amp;t=161s", "Go to time")</f>
        <v/>
      </c>
    </row>
    <row r="117">
      <c r="A117">
        <f>HYPERLINK("https://www.youtube.com/watch?v=PPewLIo4k5A", "Video")</f>
        <v/>
      </c>
      <c r="B117" t="inlineStr">
        <is>
          <t>3:03</t>
        </is>
      </c>
      <c r="C117" t="inlineStr">
        <is>
          <t>When Trappist is orbiting its sun,
it stays tidally locked, which means</t>
        </is>
      </c>
      <c r="D117">
        <f>HYPERLINK("https://www.youtube.com/watch?v=PPewLIo4k5A&amp;t=183s", "Go to time")</f>
        <v/>
      </c>
    </row>
    <row r="118">
      <c r="A118">
        <f>HYPERLINK("https://www.youtube.com/watch?v=PPewLIo4k5A", "Video")</f>
        <v/>
      </c>
      <c r="B118" t="inlineStr">
        <is>
          <t>4:38</t>
        </is>
      </c>
      <c r="C118" t="inlineStr">
        <is>
          <t>giving it a little bit more range of
movement, more flexibility because</t>
        </is>
      </c>
      <c r="D118">
        <f>HYPERLINK("https://www.youtube.com/watch?v=PPewLIo4k5A&amp;t=278s", "Go to time")</f>
        <v/>
      </c>
    </row>
    <row r="119">
      <c r="A119">
        <f>HYPERLINK("https://www.youtube.com/watch?v=TfuOjf_aRUQ", "Video")</f>
        <v/>
      </c>
      <c r="B119" t="inlineStr">
        <is>
          <t>0:11</t>
        </is>
      </c>
      <c r="C119" t="inlineStr">
        <is>
          <t>just a bit of a git</t>
        </is>
      </c>
      <c r="D119">
        <f>HYPERLINK("https://www.youtube.com/watch?v=TfuOjf_aRUQ&amp;t=11s", "Go to time")</f>
        <v/>
      </c>
    </row>
    <row r="120">
      <c r="A120">
        <f>HYPERLINK("https://www.youtube.com/watch?v=jxIcGkugZ18", "Video")</f>
        <v/>
      </c>
      <c r="B120" t="inlineStr">
        <is>
          <t>1:11</t>
        </is>
      </c>
      <c r="C120" t="inlineStr">
        <is>
          <t>they can look a bit fat too.</t>
        </is>
      </c>
      <c r="D120">
        <f>HYPERLINK("https://www.youtube.com/watch?v=jxIcGkugZ18&amp;t=71s", "Go to time")</f>
        <v/>
      </c>
    </row>
    <row r="121">
      <c r="A121">
        <f>HYPERLINK("https://www.youtube.com/watch?v=bZIuielZpf4", "Video")</f>
        <v/>
      </c>
      <c r="B121" t="inlineStr">
        <is>
          <t>0:25</t>
        </is>
      </c>
      <c r="C121" t="inlineStr">
        <is>
          <t>its drinker a bit of a buzz Coffee is</t>
        </is>
      </c>
      <c r="D121">
        <f>HYPERLINK("https://www.youtube.com/watch?v=bZIuielZpf4&amp;t=25s", "Go to time")</f>
        <v/>
      </c>
    </row>
    <row r="122">
      <c r="A122">
        <f>HYPERLINK("https://www.youtube.com/watch?v=bZIuielZpf4", "Video")</f>
        <v/>
      </c>
      <c r="B122" t="inlineStr">
        <is>
          <t>0:44</t>
        </is>
      </c>
      <c r="C122" t="inlineStr">
        <is>
          <t>including one description orbiters</t>
        </is>
      </c>
      <c r="D122">
        <f>HYPERLINK("https://www.youtube.com/watch?v=bZIuielZpf4&amp;t=44s", "Go to time")</f>
        <v/>
      </c>
    </row>
    <row r="123">
      <c r="A123">
        <f>HYPERLINK("https://www.youtube.com/watch?v=bZIuielZpf4", "Video")</f>
        <v/>
      </c>
      <c r="B123" t="inlineStr">
        <is>
          <t>1:57</t>
        </is>
      </c>
      <c r="C123" t="inlineStr">
        <is>
          <t>British habit of drinking it with milk</t>
        </is>
      </c>
      <c r="D123">
        <f>HYPERLINK("https://www.youtube.com/watch?v=bZIuielZpf4&amp;t=117s", "Go to time")</f>
        <v/>
      </c>
    </row>
    <row r="124">
      <c r="A124">
        <f>HYPERLINK("https://www.youtube.com/watch?v=NdGtpitysAw", "Video")</f>
        <v/>
      </c>
      <c r="B124" t="inlineStr">
        <is>
          <t>0:19</t>
        </is>
      </c>
      <c r="C124" t="inlineStr">
        <is>
          <t>sleep before learning as well and now -to 
almost prepare your brain, a little bit</t>
        </is>
      </c>
      <c r="D124">
        <f>HYPERLINK("https://www.youtube.com/watch?v=NdGtpitysAw&amp;t=19s", "Go to time")</f>
        <v/>
      </c>
    </row>
    <row r="125">
      <c r="A125">
        <f>HYPERLINK("https://www.youtube.com/watch?v=g374UymUv4I", "Video")</f>
        <v/>
      </c>
      <c r="B125" t="inlineStr">
        <is>
          <t>0:37</t>
        </is>
      </c>
      <c r="C125" t="inlineStr">
        <is>
          <t>quickly don't have big bites maybe they</t>
        </is>
      </c>
      <c r="D125">
        <f>HYPERLINK("https://www.youtube.com/watch?v=g374UymUv4I&amp;t=37s", "Go to time")</f>
        <v/>
      </c>
    </row>
    <row r="126">
      <c r="A126">
        <f>HYPERLINK("https://www.youtube.com/watch?v=VijTieSlaE0", "Video")</f>
        <v/>
      </c>
      <c r="B126" t="inlineStr">
        <is>
          <t>0:42</t>
        </is>
      </c>
      <c r="C126" t="inlineStr">
        <is>
          <t>and while some tried to maintain
Western eating habits,</t>
        </is>
      </c>
      <c r="D126">
        <f>HYPERLINK("https://www.youtube.com/watch?v=VijTieSlaE0&amp;t=42s", "Go to time")</f>
        <v/>
      </c>
    </row>
    <row r="127">
      <c r="A127">
        <f>HYPERLINK("https://www.youtube.com/watch?v=tP-pgAqfwKI", "Video")</f>
        <v/>
      </c>
      <c r="B127" t="inlineStr">
        <is>
          <t>1:18</t>
        </is>
      </c>
      <c r="C127" t="inlineStr">
        <is>
          <t>Way back in 1611, on a bitterly cold
January morning in Prague,</t>
        </is>
      </c>
      <c r="D127">
        <f>HYPERLINK("https://www.youtube.com/watch?v=tP-pgAqfwKI&amp;t=78s", "Go to time")</f>
        <v/>
      </c>
    </row>
    <row r="128">
      <c r="A128">
        <f>HYPERLINK("https://www.youtube.com/watch?v=K5-bAvCM6Zs", "Video")</f>
        <v/>
      </c>
      <c r="B128" t="inlineStr">
        <is>
          <t>3:02</t>
        </is>
      </c>
      <c r="C128" t="inlineStr">
        <is>
          <t>They begin to slip apart a bit.</t>
        </is>
      </c>
      <c r="D128">
        <f>HYPERLINK("https://www.youtube.com/watch?v=K5-bAvCM6Zs&amp;t=182s", "Go to time")</f>
        <v/>
      </c>
    </row>
    <row r="129">
      <c r="A129">
        <f>HYPERLINK("https://www.youtube.com/watch?v=K5-bAvCM6Zs", "Video")</f>
        <v/>
      </c>
      <c r="B129" t="inlineStr">
        <is>
          <t>3:05</t>
        </is>
      </c>
      <c r="C129" t="inlineStr">
        <is>
          <t>They become a bit foggy.</t>
        </is>
      </c>
      <c r="D129">
        <f>HYPERLINK("https://www.youtube.com/watch?v=K5-bAvCM6Zs&amp;t=185s", "Go to time")</f>
        <v/>
      </c>
    </row>
    <row r="130">
      <c r="A130">
        <f>HYPERLINK("https://www.youtube.com/watch?v=whpiLee5hBs", "Video")</f>
        <v/>
      </c>
      <c r="B130" t="inlineStr">
        <is>
          <t>0:20</t>
        </is>
      </c>
      <c r="C130" t="inlineStr">
        <is>
          <t>But if we really want to inhabit
other worlds,</t>
        </is>
      </c>
      <c r="D130">
        <f>HYPERLINK("https://www.youtube.com/watch?v=whpiLee5hBs&amp;t=20s", "Go to time")</f>
        <v/>
      </c>
    </row>
    <row r="131">
      <c r="A131">
        <f>HYPERLINK("https://www.youtube.com/watch?v=yDrI8q98YpU", "Video")</f>
        <v/>
      </c>
      <c r="B131" t="inlineStr">
        <is>
          <t>3:22</t>
        </is>
      </c>
      <c r="C131" t="inlineStr">
        <is>
          <t>You had a little bit
of a sore throat,</t>
        </is>
      </c>
      <c r="D131">
        <f>HYPERLINK("https://www.youtube.com/watch?v=yDrI8q98YpU&amp;t=202s", "Go to time")</f>
        <v/>
      </c>
    </row>
    <row r="132">
      <c r="A132">
        <f>HYPERLINK("https://www.youtube.com/watch?v=eLBmW629xI0", "Video")</f>
        <v/>
      </c>
      <c r="B132" t="inlineStr">
        <is>
          <t>2:03</t>
        </is>
      </c>
      <c r="C132" t="inlineStr">
        <is>
          <t>Ionising radiation
is a little bit different.</t>
        </is>
      </c>
      <c r="D132">
        <f>HYPERLINK("https://www.youtube.com/watch?v=eLBmW629xI0&amp;t=123s", "Go to time")</f>
        <v/>
      </c>
    </row>
    <row r="133">
      <c r="A133">
        <f>HYPERLINK("https://www.youtube.com/watch?v=hhyjRoAFw3c", "Video")</f>
        <v/>
      </c>
      <c r="B133" t="inlineStr">
        <is>
          <t>0:41</t>
        </is>
      </c>
      <c r="C133" t="inlineStr">
        <is>
          <t>tell him Al is just that
little bit better at helping out.</t>
        </is>
      </c>
      <c r="D133">
        <f>HYPERLINK("https://www.youtube.com/watch?v=hhyjRoAFw3c&amp;t=41s", "Go to time")</f>
        <v/>
      </c>
    </row>
    <row r="134">
      <c r="A134">
        <f>HYPERLINK("https://www.youtube.com/watch?v=9WceU6hpuME", "Video")</f>
        <v/>
      </c>
      <c r="B134" t="inlineStr">
        <is>
          <t>0:16</t>
        </is>
      </c>
      <c r="C134" t="inlineStr">
        <is>
          <t>this idea might seem a bit strange.</t>
        </is>
      </c>
      <c r="D134">
        <f>HYPERLINK("https://www.youtube.com/watch?v=9WceU6hpuME&amp;t=16s", "Go to time")</f>
        <v/>
      </c>
    </row>
    <row r="135">
      <c r="A135">
        <f>HYPERLINK("https://www.youtube.com/watch?v=9WceU6hpuME", "Video")</f>
        <v/>
      </c>
      <c r="B135" t="inlineStr">
        <is>
          <t>1:47</t>
        </is>
      </c>
      <c r="C135" t="inlineStr">
        <is>
          <t>and making our workouts feel
a bit easier,</t>
        </is>
      </c>
      <c r="D135">
        <f>HYPERLINK("https://www.youtube.com/watch?v=9WceU6hpuME&amp;t=107s", "Go to time")</f>
        <v/>
      </c>
    </row>
    <row r="136">
      <c r="A136">
        <f>HYPERLINK("https://www.youtube.com/watch?v=9WceU6hpuME", "Video")</f>
        <v/>
      </c>
      <c r="B136" t="inlineStr">
        <is>
          <t>3:17</t>
        </is>
      </c>
      <c r="C136" t="inlineStr">
        <is>
          <t>this stress response
can be a bit counterproductive.</t>
        </is>
      </c>
      <c r="D136">
        <f>HYPERLINK("https://www.youtube.com/watch?v=9WceU6hpuME&amp;t=197s", "Go to time")</f>
        <v/>
      </c>
    </row>
    <row r="137">
      <c r="A137">
        <f>HYPERLINK("https://www.youtube.com/watch?v=9WceU6hpuME", "Video")</f>
        <v/>
      </c>
      <c r="B137" t="inlineStr">
        <is>
          <t>3:46</t>
        </is>
      </c>
      <c r="C137" t="inlineStr">
        <is>
          <t>Maybe you've just moved,
or maybe you can be a bit shy</t>
        </is>
      </c>
      <c r="D137">
        <f>HYPERLINK("https://www.youtube.com/watch?v=9WceU6hpuME&amp;t=226s", "Go to time")</f>
        <v/>
      </c>
    </row>
    <row r="138">
      <c r="A138">
        <f>HYPERLINK("https://www.youtube.com/watch?v=cmug7U0h9AI", "Video")</f>
        <v/>
      </c>
      <c r="B138" t="inlineStr">
        <is>
          <t>3:35</t>
        </is>
      </c>
      <c r="C138" t="inlineStr">
        <is>
          <t>habitats for growing food</t>
        </is>
      </c>
      <c r="D138">
        <f>HYPERLINK("https://www.youtube.com/watch?v=cmug7U0h9AI&amp;t=215s", "Go to time")</f>
        <v/>
      </c>
    </row>
    <row r="139">
      <c r="A139">
        <f>HYPERLINK("https://www.youtube.com/watch?v=XzGmwlXirC4", "Video")</f>
        <v/>
      </c>
      <c r="B139" t="inlineStr">
        <is>
          <t>0:36</t>
        </is>
      </c>
      <c r="C139" t="inlineStr">
        <is>
          <t>They have a little bit
old-fashioned clothing.</t>
        </is>
      </c>
      <c r="D139">
        <f>HYPERLINK("https://www.youtube.com/watch?v=XzGmwlXirC4&amp;t=36s", "Go to time")</f>
        <v/>
      </c>
    </row>
    <row r="140">
      <c r="A140">
        <f>HYPERLINK("https://www.youtube.com/watch?v=YuQmiIYpK_Y", "Video")</f>
        <v/>
      </c>
      <c r="B140" t="inlineStr">
        <is>
          <t>0:06</t>
        </is>
      </c>
      <c r="C140" t="inlineStr">
        <is>
          <t>that it refers to the habits and</t>
        </is>
      </c>
      <c r="D140">
        <f>HYPERLINK("https://www.youtube.com/watch?v=YuQmiIYpK_Y&amp;t=6s", "Go to time")</f>
        <v/>
      </c>
    </row>
    <row r="141">
      <c r="A141">
        <f>HYPERLINK("https://www.youtube.com/watch?v=YuQmiIYpK_Y", "Video")</f>
        <v/>
      </c>
      <c r="B141" t="inlineStr">
        <is>
          <t>0:17</t>
        </is>
      </c>
      <c r="C141" t="inlineStr">
        <is>
          <t>teeth with which to bite the necks of</t>
        </is>
      </c>
      <c r="D141">
        <f>HYPERLINK("https://www.youtube.com/watch?v=YuQmiIYpK_Y&amp;t=17s", "Go to time")</f>
        <v/>
      </c>
    </row>
    <row r="142">
      <c r="A142">
        <f>HYPERLINK("https://www.youtube.com/watch?v=y06tMJwQ3fo", "Video")</f>
        <v/>
      </c>
      <c r="B142" t="inlineStr">
        <is>
          <t>2:32</t>
        </is>
      </c>
      <c r="C142" t="inlineStr">
        <is>
          <t>a little bit later they're doing plots</t>
        </is>
      </c>
      <c r="D142">
        <f>HYPERLINK("https://www.youtube.com/watch?v=y06tMJwQ3fo&amp;t=152s", "Go to time")</f>
        <v/>
      </c>
    </row>
    <row r="143">
      <c r="A143">
        <f>HYPERLINK("https://www.youtube.com/watch?v=at24snxbEvU", "Video")</f>
        <v/>
      </c>
      <c r="B143" t="inlineStr">
        <is>
          <t>1:56</t>
        </is>
      </c>
      <c r="C143" t="inlineStr">
        <is>
          <t>These days people love a bit
of death. Grief trolls, I call them.</t>
        </is>
      </c>
      <c r="D143">
        <f>HYPERLINK("https://www.youtube.com/watch?v=at24snxbEvU&amp;t=116s", "Go to time")</f>
        <v/>
      </c>
    </row>
    <row r="144">
      <c r="A144">
        <f>HYPERLINK("https://www.youtube.com/watch?v=FSLfAhVFDs4", "Video")</f>
        <v/>
      </c>
      <c r="B144" t="inlineStr">
        <is>
          <t>0:29</t>
        </is>
      </c>
      <c r="C144" t="inlineStr">
        <is>
          <t>even if they look a bit weird.</t>
        </is>
      </c>
      <c r="D144">
        <f>HYPERLINK("https://www.youtube.com/watch?v=FSLfAhVFDs4&amp;t=29s", "Go to time")</f>
        <v/>
      </c>
    </row>
    <row r="145">
      <c r="A145">
        <f>HYPERLINK("https://www.youtube.com/watch?v=jLxAwdbekU8", "Video")</f>
        <v/>
      </c>
      <c r="B145" t="inlineStr">
        <is>
          <t>0:10</t>
        </is>
      </c>
      <c r="C145" t="inlineStr">
        <is>
          <t>and they're for a little bit homophobic</t>
        </is>
      </c>
      <c r="D145">
        <f>HYPERLINK("https://www.youtube.com/watch?v=jLxAwdbekU8&amp;t=10s", "Go to time")</f>
        <v/>
      </c>
    </row>
    <row r="146">
      <c r="A146">
        <f>HYPERLINK("https://www.youtube.com/watch?v=jLxAwdbekU8", "Video")</f>
        <v/>
      </c>
      <c r="B146" t="inlineStr">
        <is>
          <t>3:19</t>
        </is>
      </c>
      <c r="C146" t="inlineStr">
        <is>
          <t>might be a bit clumsy about</t>
        </is>
      </c>
      <c r="D146">
        <f>HYPERLINK("https://www.youtube.com/watch?v=jLxAwdbekU8&amp;t=199s", "Go to time")</f>
        <v/>
      </c>
    </row>
    <row r="147">
      <c r="A147">
        <f>HYPERLINK("https://www.youtube.com/watch?v=jLxAwdbekU8", "Video")</f>
        <v/>
      </c>
      <c r="B147" t="inlineStr">
        <is>
          <t>4:08</t>
        </is>
      </c>
      <c r="C147" t="inlineStr">
        <is>
          <t>because it might feel a bit</t>
        </is>
      </c>
      <c r="D147">
        <f>HYPERLINK("https://www.youtube.com/watch?v=jLxAwdbekU8&amp;t=248s", "Go to time")</f>
        <v/>
      </c>
    </row>
    <row r="148">
      <c r="A148">
        <f>HYPERLINK("https://www.youtube.com/watch?v=Z5aZlyh43UI", "Video")</f>
        <v/>
      </c>
      <c r="B148" t="inlineStr">
        <is>
          <t>3:02</t>
        </is>
      </c>
      <c r="C148" t="inlineStr">
        <is>
          <t>and I can't do it, I go away
and I play the keyboard for a bit.</t>
        </is>
      </c>
      <c r="D148">
        <f>HYPERLINK("https://www.youtube.com/watch?v=Z5aZlyh43UI&amp;t=182s", "Go to time")</f>
        <v/>
      </c>
    </row>
    <row r="149">
      <c r="A149">
        <f>HYPERLINK("https://www.youtube.com/watch?v=iw6t_d09pv4", "Video")</f>
        <v/>
      </c>
      <c r="B149" t="inlineStr">
        <is>
          <t>4:55</t>
        </is>
      </c>
      <c r="C149" t="inlineStr">
        <is>
          <t>is a little bit like building
sturdy bridges,</t>
        </is>
      </c>
      <c r="D149">
        <f>HYPERLINK("https://www.youtube.com/watch?v=iw6t_d09pv4&amp;t=295s", "Go to time")</f>
        <v/>
      </c>
    </row>
    <row r="150">
      <c r="A150">
        <f>HYPERLINK("https://www.youtube.com/watch?v=5aBqKC7qnls", "Video")</f>
        <v/>
      </c>
      <c r="B150" t="inlineStr">
        <is>
          <t>2:31</t>
        </is>
      </c>
      <c r="C150" t="inlineStr">
        <is>
          <t>overloaded world doesn't want a bit of</t>
        </is>
      </c>
      <c r="D150">
        <f>HYPERLINK("https://www.youtube.com/watch?v=5aBqKC7qnls&amp;t=151s", "Go to time")</f>
        <v/>
      </c>
    </row>
    <row r="151">
      <c r="A151">
        <f>HYPERLINK("https://www.youtube.com/watch?v=nzHY-muy2Mw", "Video")</f>
        <v/>
      </c>
      <c r="B151" t="inlineStr">
        <is>
          <t>3:37</t>
        </is>
      </c>
      <c r="C151" t="inlineStr">
        <is>
          <t>A little bit like if you're going
to the gym every day,</t>
        </is>
      </c>
      <c r="D151">
        <f>HYPERLINK("https://www.youtube.com/watch?v=nzHY-muy2Mw&amp;t=217s", "Go to time")</f>
        <v/>
      </c>
    </row>
    <row r="152">
      <c r="A152">
        <f>HYPERLINK("https://www.youtube.com/watch?v=slHkSBj-g-A", "Video")</f>
        <v/>
      </c>
      <c r="B152" t="inlineStr">
        <is>
          <t>2:34</t>
        </is>
      </c>
      <c r="C152" t="inlineStr">
        <is>
          <t>like that little pink bit
in the inner corners.
\N</t>
        </is>
      </c>
      <c r="D152">
        <f>HYPERLINK("https://www.youtube.com/watch?v=slHkSBj-g-A&amp;t=154s", "Go to time")</f>
        <v/>
      </c>
    </row>
    <row r="153">
      <c r="A153">
        <f>HYPERLINK("https://www.youtube.com/watch?v=Dqei9WAHt6A", "Video")</f>
        <v/>
      </c>
      <c r="B153" t="inlineStr">
        <is>
          <t>2:56</t>
        </is>
      </c>
      <c r="C153" t="inlineStr">
        <is>
          <t>or biting the inside of
my cheek, things like that.</t>
        </is>
      </c>
      <c r="D153">
        <f>HYPERLINK("https://www.youtube.com/watch?v=Dqei9WAHt6A&amp;t=176s", "Go to time")</f>
        <v/>
      </c>
    </row>
    <row r="154">
      <c r="A154">
        <f>HYPERLINK("https://www.youtube.com/watch?v=qsJfEhvdzQ4", "Video")</f>
        <v/>
      </c>
      <c r="B154" t="inlineStr">
        <is>
          <t>1:08</t>
        </is>
      </c>
      <c r="C154" t="inlineStr">
        <is>
          <t>Freud thought that a bit of self-love
was a natural part of being human.</t>
        </is>
      </c>
      <c r="D154">
        <f>HYPERLINK("https://www.youtube.com/watch?v=qsJfEhvdzQ4&amp;t=68s", "Go to time")</f>
        <v/>
      </c>
    </row>
    <row r="155">
      <c r="A155">
        <f>HYPERLINK("https://www.youtube.com/watch?v=t7dTG1jpltE", "Video")</f>
        <v/>
      </c>
      <c r="B155" t="inlineStr">
        <is>
          <t>2:19</t>
        </is>
      </c>
      <c r="C155" t="inlineStr">
        <is>
          <t>Like, I actually found myself
becoming a bit toxic as well.</t>
        </is>
      </c>
      <c r="D155">
        <f>HYPERLINK("https://www.youtube.com/watch?v=t7dTG1jpltE&amp;t=139s", "Go to time")</f>
        <v/>
      </c>
    </row>
    <row r="156">
      <c r="A156">
        <f>HYPERLINK("https://www.youtube.com/watch?v=t7dTG1jpltE", "Video")</f>
        <v/>
      </c>
      <c r="B156" t="inlineStr">
        <is>
          <t>2:24</t>
        </is>
      </c>
      <c r="C156" t="inlineStr">
        <is>
          <t>I had a bit
of a mental breakdown.</t>
        </is>
      </c>
      <c r="D156">
        <f>HYPERLINK("https://www.youtube.com/watch?v=t7dTG1jpltE&amp;t=144s", "Go to time")</f>
        <v/>
      </c>
    </row>
    <row r="157">
      <c r="A157">
        <f>HYPERLINK("https://www.youtube.com/watch?v=t7dTG1jpltE", "Video")</f>
        <v/>
      </c>
      <c r="B157" t="inlineStr">
        <is>
          <t>4:44</t>
        </is>
      </c>
      <c r="C157" t="inlineStr">
        <is>
          <t>and it would give
a little bit more protection</t>
        </is>
      </c>
      <c r="D157">
        <f>HYPERLINK("https://www.youtube.com/watch?v=t7dTG1jpltE&amp;t=284s", "Go to time")</f>
        <v/>
      </c>
    </row>
    <row r="158">
      <c r="A158">
        <f>HYPERLINK("https://www.youtube.com/watch?v=_zephafiitk", "Video")</f>
        <v/>
      </c>
      <c r="B158" t="inlineStr">
        <is>
          <t>4:58</t>
        </is>
      </c>
      <c r="C158" t="inlineStr">
        <is>
          <t>That's where
I can do my little bit.</t>
        </is>
      </c>
      <c r="D158">
        <f>HYPERLINK("https://www.youtube.com/watch?v=_zephafiitk&amp;t=298s", "Go to time")</f>
        <v/>
      </c>
    </row>
    <row r="159">
      <c r="A159">
        <f>HYPERLINK("https://www.youtube.com/watch?v=_zephafiitk", "Video")</f>
        <v/>
      </c>
      <c r="B159" t="inlineStr">
        <is>
          <t>5:00</t>
        </is>
      </c>
      <c r="C159" t="inlineStr">
        <is>
          <t>That's the optimistic bit.</t>
        </is>
      </c>
      <c r="D159">
        <f>HYPERLINK("https://www.youtube.com/watch?v=_zephafiitk&amp;t=300s", "Go to time")</f>
        <v/>
      </c>
    </row>
    <row r="160">
      <c r="A160">
        <f>HYPERLINK("https://www.youtube.com/watch?v=WhV6Niia06w", "Video")</f>
        <v/>
      </c>
      <c r="B160" t="inlineStr">
        <is>
          <t>2:16</t>
        </is>
      </c>
      <c r="C160" t="inlineStr">
        <is>
          <t>and that's a bit like
going to the gym,</t>
        </is>
      </c>
      <c r="D160">
        <f>HYPERLINK("https://www.youtube.com/watch?v=WhV6Niia06w&amp;t=136s", "Go to time")</f>
        <v/>
      </c>
    </row>
    <row r="161">
      <c r="A161">
        <f>HYPERLINK("https://www.youtube.com/watch?v=WhV6Niia06w", "Video")</f>
        <v/>
      </c>
      <c r="B161" t="inlineStr">
        <is>
          <t>2:41</t>
        </is>
      </c>
      <c r="C161" t="inlineStr">
        <is>
          <t>and it's just a bit uncomfortable.</t>
        </is>
      </c>
      <c r="D161">
        <f>HYPERLINK("https://www.youtube.com/watch?v=WhV6Niia06w&amp;t=161s", "Go to time")</f>
        <v/>
      </c>
    </row>
    <row r="162">
      <c r="A162">
        <f>HYPERLINK("https://www.youtube.com/watch?v=WhV6Niia06w", "Video")</f>
        <v/>
      </c>
      <c r="B162" t="inlineStr">
        <is>
          <t>3:38</t>
        </is>
      </c>
      <c r="C162" t="inlineStr">
        <is>
          <t>So I think there's a bit of...</t>
        </is>
      </c>
      <c r="D162">
        <f>HYPERLINK("https://www.youtube.com/watch?v=WhV6Niia06w&amp;t=218s", "Go to time")</f>
        <v/>
      </c>
    </row>
    <row r="163">
      <c r="A163">
        <f>HYPERLINK("https://www.youtube.com/watch?v=fAOZu1lTEjA", "Video")</f>
        <v/>
      </c>
      <c r="B163" t="inlineStr">
        <is>
          <t>0:05</t>
        </is>
      </c>
      <c r="C163" t="inlineStr">
        <is>
          <t>these curly, bendy bits
of cartilage - called pinna -</t>
        </is>
      </c>
      <c r="D163">
        <f>HYPERLINK("https://www.youtube.com/watch?v=fAOZu1lTEjA&amp;t=5s", "Go to time")</f>
        <v/>
      </c>
    </row>
    <row r="164">
      <c r="A164">
        <f>HYPERLINK("https://www.youtube.com/watch?v=fAOZu1lTEjA", "Video")</f>
        <v/>
      </c>
      <c r="B164" t="inlineStr">
        <is>
          <t>1:30</t>
        </is>
      </c>
      <c r="C164" t="inlineStr">
        <is>
          <t>A rabbit’s ears can swivel
270 degrees</t>
        </is>
      </c>
      <c r="D164">
        <f>HYPERLINK("https://www.youtube.com/watch?v=fAOZu1lTEjA&amp;t=90s", "Go to time")</f>
        <v/>
      </c>
    </row>
    <row r="165">
      <c r="A165">
        <f>HYPERLINK("https://www.youtube.com/watch?v=SQlEpjZXfRU", "Video")</f>
        <v/>
      </c>
      <c r="B165" t="inlineStr">
        <is>
          <t>0:56</t>
        </is>
      </c>
      <c r="C165" t="inlineStr">
        <is>
          <t>at an image of a basquiat exhibition all</t>
        </is>
      </c>
      <c r="D165">
        <f>HYPERLINK("https://www.youtube.com/watch?v=SQlEpjZXfRU&amp;t=56s", "Go to time")</f>
        <v/>
      </c>
    </row>
    <row r="166">
      <c r="A166">
        <f>HYPERLINK("https://www.youtube.com/watch?v=3qI9-HgLjFU", "Video")</f>
        <v/>
      </c>
      <c r="B166" t="inlineStr">
        <is>
          <t>4:28</t>
        </is>
      </c>
      <c r="C166" t="inlineStr">
        <is>
          <t>my background and on my ambitions and</t>
        </is>
      </c>
      <c r="D166">
        <f>HYPERLINK("https://www.youtube.com/watch?v=3qI9-HgLjFU&amp;t=268s", "Go to time")</f>
        <v/>
      </c>
    </row>
    <row r="167">
      <c r="A167">
        <f>HYPERLINK("https://www.youtube.com/watch?v=HQYF5twXZgU", "Video")</f>
        <v/>
      </c>
      <c r="B167" t="inlineStr">
        <is>
          <t>0:33</t>
        </is>
      </c>
      <c r="C167" t="inlineStr">
        <is>
          <t>you're collecting quite
a bit of waste material</t>
        </is>
      </c>
      <c r="D167">
        <f>HYPERLINK("https://www.youtube.com/watch?v=HQYF5twXZgU&amp;t=33s", "Go to time")</f>
        <v/>
      </c>
    </row>
    <row r="168">
      <c r="A168">
        <f>HYPERLINK("https://www.youtube.com/watch?v=R4B9BPBiIHo", "Video")</f>
        <v/>
      </c>
      <c r="B168" t="inlineStr">
        <is>
          <t>0:58</t>
        </is>
      </c>
      <c r="C168" t="inlineStr">
        <is>
          <t>Our brains are a little bit
like Play-Doh, capable of adapting,</t>
        </is>
      </c>
      <c r="D168">
        <f>HYPERLINK("https://www.youtube.com/watch?v=R4B9BPBiIHo&amp;t=58s", "Go to time")</f>
        <v/>
      </c>
    </row>
    <row r="169">
      <c r="A169">
        <f>HYPERLINK("https://www.youtube.com/watch?v=R4B9BPBiIHo", "Video")</f>
        <v/>
      </c>
      <c r="B169" t="inlineStr">
        <is>
          <t>1:23</t>
        </is>
      </c>
      <c r="C169" t="inlineStr">
        <is>
          <t>in therapy, you're rewiring
your brain, a bit like rewiring</t>
        </is>
      </c>
      <c r="D169">
        <f>HYPERLINK("https://www.youtube.com/watch?v=R4B9BPBiIHo&amp;t=83s", "Go to time")</f>
        <v/>
      </c>
    </row>
    <row r="170">
      <c r="A170">
        <f>HYPERLINK("https://www.youtube.com/watch?v=-fOe9pPCW-c", "Video")</f>
        <v/>
      </c>
      <c r="B170" t="inlineStr">
        <is>
          <t>1:59</t>
        </is>
      </c>
      <c r="C170" t="inlineStr">
        <is>
          <t>exhibit because exposing yourself to art</t>
        </is>
      </c>
      <c r="D170">
        <f>HYPERLINK("https://www.youtube.com/watch?v=-fOe9pPCW-c&amp;t=119s", "Go to time")</f>
        <v/>
      </c>
    </row>
    <row r="171">
      <c r="A171">
        <f>HYPERLINK("https://www.youtube.com/watch?v=6WbVV71sF7E", "Video")</f>
        <v/>
      </c>
      <c r="B171" t="inlineStr">
        <is>
          <t>2:24</t>
        </is>
      </c>
      <c r="C171" t="inlineStr">
        <is>
          <t>It made her stop in her tracks a bit
and I was still in the road.</t>
        </is>
      </c>
      <c r="D171">
        <f>HYPERLINK("https://www.youtube.com/watch?v=6WbVV71sF7E&amp;t=144s", "Go to time")</f>
        <v/>
      </c>
    </row>
    <row r="172">
      <c r="A172">
        <f>HYPERLINK("https://www.youtube.com/watch?v=GQN2cDMo_-Q", "Video")</f>
        <v/>
      </c>
      <c r="B172" t="inlineStr">
        <is>
          <t>0:19</t>
        </is>
      </c>
      <c r="C172" t="inlineStr">
        <is>
          <t>your eyes is your orbital frontal cortex</t>
        </is>
      </c>
      <c r="D172">
        <f>HYPERLINK("https://www.youtube.com/watch?v=GQN2cDMo_-Q&amp;t=19s", "Go to time")</f>
        <v/>
      </c>
    </row>
    <row r="173">
      <c r="A173">
        <f>HYPERLINK("https://www.youtube.com/watch?v=GQN2cDMo_-Q", "Video")</f>
        <v/>
      </c>
      <c r="B173" t="inlineStr">
        <is>
          <t>1:20</t>
        </is>
      </c>
      <c r="C173" t="inlineStr">
        <is>
          <t>the demands of our orbital frontal</t>
        </is>
      </c>
      <c r="D173">
        <f>HYPERLINK("https://www.youtube.com/watch?v=GQN2cDMo_-Q&amp;t=80s", "Go to time")</f>
        <v/>
      </c>
    </row>
    <row r="174">
      <c r="A174">
        <f>HYPERLINK("https://www.youtube.com/watch?v=Nu5j_rODT9o", "Video")</f>
        <v/>
      </c>
      <c r="B174" t="inlineStr">
        <is>
          <t>3:21</t>
        </is>
      </c>
      <c r="C174" t="inlineStr">
        <is>
          <t>sounds a bit like he-eh-he-eh.</t>
        </is>
      </c>
      <c r="D174">
        <f>HYPERLINK("https://www.youtube.com/watch?v=Nu5j_rODT9o&amp;t=201s", "Go to time")</f>
        <v/>
      </c>
    </row>
    <row r="175">
      <c r="A175">
        <f>HYPERLINK("https://www.youtube.com/watch?v=7BYW6zEGaME", "Video")</f>
        <v/>
      </c>
      <c r="B175" t="inlineStr">
        <is>
          <t>0:02</t>
        </is>
      </c>
      <c r="C175" t="inlineStr">
        <is>
          <t>Biting my time.</t>
        </is>
      </c>
      <c r="D175">
        <f>HYPERLINK("https://www.youtube.com/watch?v=7BYW6zEGaME&amp;t=2s", "Go to time")</f>
        <v/>
      </c>
    </row>
    <row r="176">
      <c r="A176">
        <f>HYPERLINK("https://www.youtube.com/watch?v=WWzaZWN1IOU", "Video")</f>
        <v/>
      </c>
      <c r="B176" t="inlineStr">
        <is>
          <t>4:15</t>
        </is>
      </c>
      <c r="C176" t="inlineStr">
        <is>
          <t>of bits, zeros and ones,</t>
        </is>
      </c>
      <c r="D176">
        <f>HYPERLINK("https://www.youtube.com/watch?v=WWzaZWN1IOU&amp;t=255s", "Go to time")</f>
        <v/>
      </c>
    </row>
    <row r="177">
      <c r="A177">
        <f>HYPERLINK("https://www.youtube.com/watch?v=WWzaZWN1IOU", "Video")</f>
        <v/>
      </c>
      <c r="B177" t="inlineStr">
        <is>
          <t>4:17</t>
        </is>
      </c>
      <c r="C177" t="inlineStr">
        <is>
          <t>quantum computers use qubits -
quantum bits</t>
        </is>
      </c>
      <c r="D177">
        <f>HYPERLINK("https://www.youtube.com/watch?v=WWzaZWN1IOU&amp;t=257s", "Go to time")</f>
        <v/>
      </c>
    </row>
    <row r="178">
      <c r="A178">
        <f>HYPERLINK("https://www.youtube.com/watch?v=B3z82UzoSjg", "Video")</f>
        <v/>
      </c>
      <c r="B178" t="inlineStr">
        <is>
          <t>3:08</t>
        </is>
      </c>
      <c r="C178" t="inlineStr">
        <is>
          <t>This process is going to be a little
bit different for each of us,</t>
        </is>
      </c>
      <c r="D178">
        <f>HYPERLINK("https://www.youtube.com/watch?v=B3z82UzoSjg&amp;t=188s", "Go to time")</f>
        <v/>
      </c>
    </row>
    <row r="179">
      <c r="A179">
        <f>HYPERLINK("https://www.youtube.com/watch?v=B3z82UzoSjg", "Video")</f>
        <v/>
      </c>
      <c r="B179" t="inlineStr">
        <is>
          <t>4:07</t>
        </is>
      </c>
      <c r="C179" t="inlineStr">
        <is>
          <t>These bits are blue,
and these bits are black.</t>
        </is>
      </c>
      <c r="D179">
        <f>HYPERLINK("https://www.youtube.com/watch?v=B3z82UzoSjg&amp;t=247s", "Go to time")</f>
        <v/>
      </c>
    </row>
    <row r="180">
      <c r="A180">
        <f>HYPERLINK("https://www.youtube.com/watch?v=o8HyB0SnHJM", "Video")</f>
        <v/>
      </c>
      <c r="B180" t="inlineStr">
        <is>
          <t>3:53</t>
        </is>
      </c>
      <c r="C180" t="inlineStr">
        <is>
          <t>people who've done quite a bit of work</t>
        </is>
      </c>
      <c r="D180">
        <f>HYPERLINK("https://www.youtube.com/watch?v=o8HyB0SnHJM&amp;t=233s", "Go to time")</f>
        <v/>
      </c>
    </row>
    <row r="181">
      <c r="A181">
        <f>HYPERLINK("https://www.youtube.com/watch?v=_0onFbc5FQM", "Video")</f>
        <v/>
      </c>
      <c r="B181" t="inlineStr">
        <is>
          <t>3:01</t>
        </is>
      </c>
      <c r="C181" t="inlineStr">
        <is>
          <t>means your feelings get a bit roughed up</t>
        </is>
      </c>
      <c r="D181">
        <f>HYPERLINK("https://www.youtube.com/watch?v=_0onFbc5FQM&amp;t=181s", "Go to time")</f>
        <v/>
      </c>
    </row>
    <row r="182">
      <c r="A182">
        <f>HYPERLINK("https://www.youtube.com/watch?v=tDSoqQuxLfs", "Video")</f>
        <v/>
      </c>
      <c r="B182" t="inlineStr">
        <is>
          <t>0:00</t>
        </is>
      </c>
      <c r="C182" t="inlineStr">
        <is>
          <t>It's clearly a pretty obvious thing
to stick a bit of filling</t>
        </is>
      </c>
      <c r="D182">
        <f>HYPERLINK("https://www.youtube.com/watch?v=tDSoqQuxLfs&amp;t=0s", "Go to time")</f>
        <v/>
      </c>
    </row>
    <row r="183">
      <c r="A183">
        <f>HYPERLINK("https://www.youtube.com/watch?v=tDSoqQuxLfs", "Video")</f>
        <v/>
      </c>
      <c r="B183" t="inlineStr">
        <is>
          <t>0:45</t>
        </is>
      </c>
      <c r="C183" t="inlineStr">
        <is>
          <t>The real story
is a bit less clear cut.</t>
        </is>
      </c>
      <c r="D183">
        <f>HYPERLINK("https://www.youtube.com/watch?v=tDSoqQuxLfs&amp;t=45s", "Go to time")</f>
        <v/>
      </c>
    </row>
    <row r="184">
      <c r="A184">
        <f>HYPERLINK("https://www.youtube.com/watch?v=aQDYxTCIVRE", "Video")</f>
        <v/>
      </c>
      <c r="B184" t="inlineStr">
        <is>
          <t>1:16</t>
        </is>
      </c>
      <c r="C184" t="inlineStr">
        <is>
          <t>divorced from habitat,
divorced from evolution.</t>
        </is>
      </c>
      <c r="D184">
        <f>HYPERLINK("https://www.youtube.com/watch?v=aQDYxTCIVRE&amp;t=76s", "Go to time")</f>
        <v/>
      </c>
    </row>
    <row r="185">
      <c r="A185">
        <f>HYPERLINK("https://www.youtube.com/watch?v=CruBRZh8quc", "Video")</f>
        <v/>
      </c>
      <c r="B185" t="inlineStr">
        <is>
          <t>0:33</t>
        </is>
      </c>
      <c r="C185" t="inlineStr">
        <is>
          <t>fact a bit of a problem for us and so</t>
        </is>
      </c>
      <c r="D185">
        <f>HYPERLINK("https://www.youtube.com/watch?v=CruBRZh8quc&amp;t=33s", "Go to time")</f>
        <v/>
      </c>
    </row>
    <row r="186">
      <c r="A186">
        <f>HYPERLINK("https://www.youtube.com/watch?v=CruBRZh8quc", "Video")</f>
        <v/>
      </c>
      <c r="B186" t="inlineStr">
        <is>
          <t>2:27</t>
        </is>
      </c>
      <c r="C186" t="inlineStr">
        <is>
          <t>breathing in and out through little bits</t>
        </is>
      </c>
      <c r="D186">
        <f>HYPERLINK("https://www.youtube.com/watch?v=CruBRZh8quc&amp;t=147s", "Go to time")</f>
        <v/>
      </c>
    </row>
    <row r="187">
      <c r="A187">
        <f>HYPERLINK("https://www.youtube.com/watch?v=oTIQwL_Dw7A", "Video")</f>
        <v/>
      </c>
      <c r="B187" t="inlineStr">
        <is>
          <t>1:25</t>
        </is>
      </c>
      <c r="C187" t="inlineStr">
        <is>
          <t>go around the sun, not in a perfect
circle but in an elliptical orbit.</t>
        </is>
      </c>
      <c r="D187">
        <f>HYPERLINK("https://www.youtube.com/watch?v=oTIQwL_Dw7A&amp;t=85s", "Go to time")</f>
        <v/>
      </c>
    </row>
    <row r="188">
      <c r="A188">
        <f>HYPERLINK("https://www.youtube.com/watch?v=oTIQwL_Dw7A", "Video")</f>
        <v/>
      </c>
      <c r="B188" t="inlineStr">
        <is>
          <t>1:29</t>
        </is>
      </c>
      <c r="C188" t="inlineStr">
        <is>
          <t>The moon's elliptical orbit</t>
        </is>
      </c>
      <c r="D188">
        <f>HYPERLINK("https://www.youtube.com/watch?v=oTIQwL_Dw7A&amp;t=89s", "Go to time")</f>
        <v/>
      </c>
    </row>
    <row r="189">
      <c r="A189">
        <f>HYPERLINK("https://www.youtube.com/watch?v=jwhoCiJzK9o", "Video")</f>
        <v/>
      </c>
      <c r="B189" t="inlineStr">
        <is>
          <t>2:46</t>
        </is>
      </c>
      <c r="C189" t="inlineStr">
        <is>
          <t>But a little bit more than 10% or 15%</t>
        </is>
      </c>
      <c r="D189">
        <f>HYPERLINK("https://www.youtube.com/watch?v=jwhoCiJzK9o&amp;t=166s", "Go to time")</f>
        <v/>
      </c>
    </row>
    <row r="190">
      <c r="A190">
        <f>HYPERLINK("https://www.youtube.com/watch?v=jwhoCiJzK9o", "Video")</f>
        <v/>
      </c>
      <c r="B190" t="inlineStr">
        <is>
          <t>3:43</t>
        </is>
      </c>
      <c r="C190" t="inlineStr">
        <is>
          <t>Well it might sound a bit strange,</t>
        </is>
      </c>
      <c r="D190">
        <f>HYPERLINK("https://www.youtube.com/watch?v=jwhoCiJzK9o&amp;t=223s", "Go to time")</f>
        <v/>
      </c>
    </row>
    <row r="191">
      <c r="A191">
        <f>HYPERLINK("https://www.youtube.com/watch?v=NcZ0DohEzvU", "Video")</f>
        <v/>
      </c>
      <c r="B191" t="inlineStr">
        <is>
          <t>1:22</t>
        </is>
      </c>
      <c r="C191" t="inlineStr">
        <is>
          <t>So you're almost feel a bit
like a bat, very claustrophobic.</t>
        </is>
      </c>
      <c r="D191">
        <f>HYPERLINK("https://www.youtube.com/watch?v=NcZ0DohEzvU&amp;t=82s", "Go to time")</f>
        <v/>
      </c>
    </row>
    <row r="192">
      <c r="A192">
        <f>HYPERLINK("https://www.youtube.com/watch?v=NcZ0DohEzvU", "Video")</f>
        <v/>
      </c>
      <c r="B192" t="inlineStr">
        <is>
          <t>2:18</t>
        </is>
      </c>
      <c r="C192" t="inlineStr">
        <is>
          <t>generally away from normal
society, bit like the bats,</t>
        </is>
      </c>
      <c r="D192">
        <f>HYPERLINK("https://www.youtube.com/watch?v=NcZ0DohEzvU&amp;t=138s", "Go to time")</f>
        <v/>
      </c>
    </row>
    <row r="193">
      <c r="A193">
        <f>HYPERLINK("https://www.youtube.com/watch?v=NcZ0DohEzvU", "Video")</f>
        <v/>
      </c>
      <c r="B193" t="inlineStr">
        <is>
          <t>3:27</t>
        </is>
      </c>
      <c r="C193" t="inlineStr">
        <is>
          <t>The dark, dank bits need to be
cleaned on a regular basis,</t>
        </is>
      </c>
      <c r="D193">
        <f>HYPERLINK("https://www.youtube.com/watch?v=NcZ0DohEzvU&amp;t=207s", "Go to time")</f>
        <v/>
      </c>
    </row>
    <row r="194">
      <c r="A194">
        <f>HYPERLINK("https://www.youtube.com/watch?v=qZsFwbosBdc", "Video")</f>
        <v/>
      </c>
      <c r="B194" t="inlineStr">
        <is>
          <t>3:09</t>
        </is>
      </c>
      <c r="C194" t="inlineStr">
        <is>
          <t>Think of it like fishing
while the fish are biting.</t>
        </is>
      </c>
      <c r="D194">
        <f>HYPERLINK("https://www.youtube.com/watch?v=qZsFwbosBdc&amp;t=189s", "Go to time")</f>
        <v/>
      </c>
    </row>
    <row r="195">
      <c r="A195">
        <f>HYPERLINK("https://www.youtube.com/watch?v=0B72KA76Lyg", "Video")</f>
        <v/>
      </c>
      <c r="B195" t="inlineStr">
        <is>
          <t>2:44</t>
        </is>
      </c>
      <c r="C195" t="inlineStr">
        <is>
          <t>After that I'm okay for a bit.</t>
        </is>
      </c>
      <c r="D195">
        <f>HYPERLINK("https://www.youtube.com/watch?v=0B72KA76Lyg&amp;t=164s", "Go to time")</f>
        <v/>
      </c>
    </row>
    <row r="196">
      <c r="A196">
        <f>HYPERLINK("https://www.youtube.com/watch?v=oLADG-Bfzmw", "Video")</f>
        <v/>
      </c>
      <c r="B196" t="inlineStr">
        <is>
          <t>2:13</t>
        </is>
      </c>
      <c r="C196" t="inlineStr">
        <is>
          <t>So we try to work with comets
that have periods of orbits</t>
        </is>
      </c>
      <c r="D196">
        <f>HYPERLINK("https://www.youtube.com/watch?v=oLADG-Bfzmw&amp;t=133s", "Go to time")</f>
        <v/>
      </c>
    </row>
    <row r="197">
      <c r="A197">
        <f>HYPERLINK("https://www.youtube.com/watch?v=oLADG-Bfzmw", "Video")</f>
        <v/>
      </c>
      <c r="B197" t="inlineStr">
        <is>
          <t>2:48</t>
        </is>
      </c>
      <c r="C197" t="inlineStr">
        <is>
          <t>Medieval monks described comets in
quite a bit of detail and sometimes</t>
        </is>
      </c>
      <c r="D197">
        <f>HYPERLINK("https://www.youtube.com/watch?v=oLADG-Bfzmw&amp;t=168s", "Go to time")</f>
        <v/>
      </c>
    </row>
    <row r="198">
      <c r="A198">
        <f>HYPERLINK("https://www.youtube.com/watch?v=N7G2DRrxbtE", "Video")</f>
        <v/>
      </c>
      <c r="B198" t="inlineStr">
        <is>
          <t>3:03</t>
        </is>
      </c>
      <c r="C198" t="inlineStr">
        <is>
          <t>have also created a legacy
of uninhabitable landscapes.</t>
        </is>
      </c>
      <c r="D198">
        <f>HYPERLINK("https://www.youtube.com/watch?v=N7G2DRrxbtE&amp;t=183s", "Go to time")</f>
        <v/>
      </c>
    </row>
    <row r="199">
      <c r="A199">
        <f>HYPERLINK("https://www.youtube.com/watch?v=rqwwFj6oN0k", "Video")</f>
        <v/>
      </c>
      <c r="B199" t="inlineStr">
        <is>
          <t>1:18</t>
        </is>
      </c>
      <c r="C199" t="inlineStr">
        <is>
          <t>his belief that women
were so envious of men's bits</t>
        </is>
      </c>
      <c r="D199">
        <f>HYPERLINK("https://www.youtube.com/watch?v=rqwwFj6oN0k&amp;t=78s", "Go to time")</f>
        <v/>
      </c>
    </row>
    <row r="200">
      <c r="A200">
        <f>HYPERLINK("https://www.youtube.com/watch?v=cJMIGFNrikQ", "Video")</f>
        <v/>
      </c>
      <c r="B200" t="inlineStr">
        <is>
          <t>4:09</t>
        </is>
      </c>
      <c r="C200" t="inlineStr">
        <is>
          <t>our viewing habits haven’t
really changed so much after all.</t>
        </is>
      </c>
      <c r="D200">
        <f>HYPERLINK("https://www.youtube.com/watch?v=cJMIGFNrikQ&amp;t=249s", "Go to time")</f>
        <v/>
      </c>
    </row>
    <row r="201">
      <c r="A201">
        <f>HYPERLINK("https://www.youtube.com/watch?v=DeMk2eNW8PQ", "Video")</f>
        <v/>
      </c>
      <c r="B201" t="inlineStr">
        <is>
          <t>0:07</t>
        </is>
      </c>
      <c r="C201" t="inlineStr">
        <is>
          <t>a bit counterintuitive but it actually</t>
        </is>
      </c>
      <c r="D201">
        <f>HYPERLINK("https://www.youtube.com/watch?v=DeMk2eNW8PQ&amp;t=7s", "Go to time")</f>
        <v/>
      </c>
    </row>
    <row r="202">
      <c r="A202">
        <f>HYPERLINK("https://www.youtube.com/watch?v=NV22a3qv3wE", "Video")</f>
        <v/>
      </c>
      <c r="B202" t="inlineStr">
        <is>
          <t>5:01</t>
        </is>
      </c>
      <c r="C202" t="inlineStr">
        <is>
          <t>Focus on the important bits of living
and getting on with life.</t>
        </is>
      </c>
      <c r="D202">
        <f>HYPERLINK("https://www.youtube.com/watch?v=NV22a3qv3wE&amp;t=301s", "Go to time")</f>
        <v/>
      </c>
    </row>
    <row r="203">
      <c r="A203">
        <f>HYPERLINK("https://www.youtube.com/watch?v=PbEVwQdWdAQ", "Video")</f>
        <v/>
      </c>
      <c r="B203" t="inlineStr">
        <is>
          <t>2:16</t>
        </is>
      </c>
      <c r="C203" t="inlineStr">
        <is>
          <t>I could see where
bits of his body had been</t>
        </is>
      </c>
      <c r="D203">
        <f>HYPERLINK("https://www.youtube.com/watch?v=PbEVwQdWdAQ&amp;t=136s", "Go to time")</f>
        <v/>
      </c>
    </row>
    <row r="204">
      <c r="A204">
        <f>HYPERLINK("https://www.youtube.com/watch?v=fa_zsPa7u0E", "Video")</f>
        <v/>
      </c>
      <c r="B204" t="inlineStr">
        <is>
          <t>0:41</t>
        </is>
      </c>
      <c r="C204" t="inlineStr">
        <is>
          <t>cuckoo a reference to that birds habit</t>
        </is>
      </c>
      <c r="D204">
        <f>HYPERLINK("https://www.youtube.com/watch?v=fa_zsPa7u0E&amp;t=41s", "Go to time")</f>
        <v/>
      </c>
    </row>
    <row r="205">
      <c r="A205">
        <f>HYPERLINK("https://www.youtube.com/watch?v=JAMmrt5HUZw", "Video")</f>
        <v/>
      </c>
      <c r="B205" t="inlineStr">
        <is>
          <t>2:30</t>
        </is>
      </c>
      <c r="C205" t="inlineStr">
        <is>
          <t>for a bite-sized piece
of porky glory.</t>
        </is>
      </c>
      <c r="D205">
        <f>HYPERLINK("https://www.youtube.com/watch?v=JAMmrt5HUZw&amp;t=150s", "Go to time")</f>
        <v/>
      </c>
    </row>
    <row r="206">
      <c r="A206">
        <f>HYPERLINK("https://www.youtube.com/watch?v=JQNYK9J_VfE", "Video")</f>
        <v/>
      </c>
      <c r="B206" t="inlineStr">
        <is>
          <t>5:19</t>
        </is>
      </c>
      <c r="C206" t="inlineStr">
        <is>
          <t>but saying a little bit more
about who we are.</t>
        </is>
      </c>
      <c r="D206">
        <f>HYPERLINK("https://www.youtube.com/watch?v=JQNYK9J_VfE&amp;t=319s", "Go to time")</f>
        <v/>
      </c>
    </row>
    <row r="207">
      <c r="A207">
        <f>HYPERLINK("https://www.youtube.com/watch?v=ErWfdjdOah8", "Video")</f>
        <v/>
      </c>
      <c r="B207" t="inlineStr">
        <is>
          <t>4:14</t>
        </is>
      </c>
      <c r="C207" t="inlineStr">
        <is>
          <t>to touch it does feel a little bit like</t>
        </is>
      </c>
      <c r="D207">
        <f>HYPERLINK("https://www.youtube.com/watch?v=ErWfdjdOah8&amp;t=254s", "Go to time")</f>
        <v/>
      </c>
    </row>
    <row r="208">
      <c r="A208">
        <f>HYPERLINK("https://www.youtube.com/watch?v=ErWfdjdOah8", "Video")</f>
        <v/>
      </c>
      <c r="B208" t="inlineStr">
        <is>
          <t>4:30</t>
        </is>
      </c>
      <c r="C208" t="inlineStr">
        <is>
          <t>how quickly we learn to inhibit</t>
        </is>
      </c>
      <c r="D208">
        <f>HYPERLINK("https://www.youtube.com/watch?v=ErWfdjdOah8&amp;t=270s", "Go to time")</f>
        <v/>
      </c>
    </row>
    <row r="209">
      <c r="A209">
        <f>HYPERLINK("https://www.youtube.com/watch?v=Eok1LF4SUa4", "Video")</f>
        <v/>
      </c>
      <c r="B209" t="inlineStr">
        <is>
          <t>4:26</t>
        </is>
      </c>
      <c r="C209" t="inlineStr">
        <is>
          <t>there is a little bit of the
left-hander in each of us.</t>
        </is>
      </c>
      <c r="D209">
        <f>HYPERLINK("https://www.youtube.com/watch?v=Eok1LF4SUa4&amp;t=266s", "Go to time")</f>
        <v/>
      </c>
    </row>
    <row r="210">
      <c r="A210">
        <f>HYPERLINK("https://www.youtube.com/watch?v=c7YiPA8Qd8s", "Video")</f>
        <v/>
      </c>
      <c r="B210" t="inlineStr">
        <is>
          <t>4:57</t>
        </is>
      </c>
      <c r="C210" t="inlineStr">
        <is>
          <t>they could just chill a bit
on it,</t>
        </is>
      </c>
      <c r="D210">
        <f>HYPERLINK("https://www.youtube.com/watch?v=c7YiPA8Qd8s&amp;t=297s", "Go to time")</f>
        <v/>
      </c>
    </row>
    <row r="211">
      <c r="A211">
        <f>HYPERLINK("https://www.youtube.com/watch?v=-xakFRCWpP4", "Video")</f>
        <v/>
      </c>
      <c r="B211" t="inlineStr">
        <is>
          <t>2:12</t>
        </is>
      </c>
      <c r="C211" t="inlineStr">
        <is>
          <t>like chunky pits bite-mark analyzes</t>
        </is>
      </c>
      <c r="D211">
        <f>HYPERLINK("https://www.youtube.com/watch?v=-xakFRCWpP4&amp;t=132s", "Go to time")</f>
        <v/>
      </c>
    </row>
    <row r="212">
      <c r="A212">
        <f>HYPERLINK("https://www.youtube.com/watch?v=-xakFRCWpP4", "Video")</f>
        <v/>
      </c>
      <c r="B212" t="inlineStr">
        <is>
          <t>2:20</t>
        </is>
      </c>
      <c r="C212" t="inlineStr">
        <is>
          <t>determine which monkey bit him the bite</t>
        </is>
      </c>
      <c r="D212">
        <f>HYPERLINK("https://www.youtube.com/watch?v=-xakFRCWpP4&amp;t=140s", "Go to time")</f>
        <v/>
      </c>
    </row>
    <row r="213">
      <c r="A213">
        <f>HYPERLINK("https://www.youtube.com/watch?v=7edjsqDdXzE", "Video")</f>
        <v/>
      </c>
      <c r="B213" t="inlineStr">
        <is>
          <t>0:22</t>
        </is>
      </c>
      <c r="C213" t="inlineStr">
        <is>
          <t>It might sound a bit strange,
but I promise you it works.</t>
        </is>
      </c>
      <c r="D213">
        <f>HYPERLINK("https://www.youtube.com/watch?v=7edjsqDdXzE&amp;t=22s", "Go to time")</f>
        <v/>
      </c>
    </row>
    <row r="214">
      <c r="A214">
        <f>HYPERLINK("https://www.youtube.com/watch?v=h_BzDleLz9U", "Video")</f>
        <v/>
      </c>
      <c r="B214" t="inlineStr">
        <is>
          <t>2:04</t>
        </is>
      </c>
      <c r="C214" t="inlineStr">
        <is>
          <t>they could be a bit more customized but</t>
        </is>
      </c>
      <c r="D214">
        <f>HYPERLINK("https://www.youtube.com/watch?v=h_BzDleLz9U&amp;t=124s", "Go to time")</f>
        <v/>
      </c>
    </row>
    <row r="215">
      <c r="A215">
        <f>HYPERLINK("https://www.youtube.com/watch?v=4VS9cWmmu2k", "Video")</f>
        <v/>
      </c>
      <c r="B215" t="inlineStr">
        <is>
          <t>2:50</t>
        </is>
      </c>
      <c r="C215" t="inlineStr">
        <is>
          <t>first of all like it got a bit of</t>
        </is>
      </c>
      <c r="D215">
        <f>HYPERLINK("https://www.youtube.com/watch?v=4VS9cWmmu2k&amp;t=170s", "Go to time")</f>
        <v/>
      </c>
    </row>
    <row r="216">
      <c r="A216">
        <f>HYPERLINK("https://www.youtube.com/watch?v=4VS9cWmmu2k", "Video")</f>
        <v/>
      </c>
      <c r="B216" t="inlineStr">
        <is>
          <t>2:53</t>
        </is>
      </c>
      <c r="C216" t="inlineStr">
        <is>
          <t>there for a little bit and</t>
        </is>
      </c>
      <c r="D216">
        <f>HYPERLINK("https://www.youtube.com/watch?v=4VS9cWmmu2k&amp;t=173s", "Go to time")</f>
        <v/>
      </c>
    </row>
    <row r="217">
      <c r="A217">
        <f>HYPERLINK("https://www.youtube.com/watch?v=4VS9cWmmu2k", "Video")</f>
        <v/>
      </c>
      <c r="B217" t="inlineStr">
        <is>
          <t>3:40</t>
        </is>
      </c>
      <c r="C217" t="inlineStr">
        <is>
          <t>bits of culture</t>
        </is>
      </c>
      <c r="D217">
        <f>HYPERLINK("https://www.youtube.com/watch?v=4VS9cWmmu2k&amp;t=220s", "Go to time")</f>
        <v/>
      </c>
    </row>
    <row r="218">
      <c r="A218">
        <f>HYPERLINK("https://www.youtube.com/watch?v=4VS9cWmmu2k", "Video")</f>
        <v/>
      </c>
      <c r="B218" t="inlineStr">
        <is>
          <t>3:48</t>
        </is>
      </c>
      <c r="C218" t="inlineStr">
        <is>
          <t>create bits of culture and that's</t>
        </is>
      </c>
      <c r="D218">
        <f>HYPERLINK("https://www.youtube.com/watch?v=4VS9cWmmu2k&amp;t=228s", "Go to time")</f>
        <v/>
      </c>
    </row>
    <row r="219">
      <c r="A219">
        <f>HYPERLINK("https://www.youtube.com/watch?v=URNBU04DoTY", "Video")</f>
        <v/>
      </c>
      <c r="B219" t="inlineStr">
        <is>
          <t>1:52</t>
        </is>
      </c>
      <c r="C219" t="inlineStr">
        <is>
          <t>There we called reception and asked: “Can we walk a bit? How does it work?</t>
        </is>
      </c>
      <c r="D219">
        <f>HYPERLINK("https://www.youtube.com/watch?v=URNBU04DoTY&amp;t=112s", "Go to time")</f>
        <v/>
      </c>
    </row>
    <row r="220">
      <c r="A220">
        <f>HYPERLINK("https://www.youtube.com/watch?v=kRA1C0kKhzs", "Video")</f>
        <v/>
      </c>
      <c r="B220" t="inlineStr">
        <is>
          <t>3:15</t>
        </is>
      </c>
      <c r="C220" t="inlineStr">
        <is>
          <t>with its more than 106 million inhabitants, it is the third country in the world with the most Catholics,</t>
        </is>
      </c>
      <c r="D220">
        <f>HYPERLINK("https://www.youtube.com/watch?v=kRA1C0kKhzs&amp;t=195s", "Go to time")</f>
        <v/>
      </c>
    </row>
    <row r="221">
      <c r="A221">
        <f>HYPERLINK("https://www.youtube.com/watch?v=kRA1C0kKhzs", "Video")</f>
        <v/>
      </c>
      <c r="B221" t="inlineStr">
        <is>
          <t>6:14</t>
        </is>
      </c>
      <c r="C221" t="inlineStr">
        <is>
          <t>So today we are going to end this video with a little bit of Chavacano. But first,</t>
        </is>
      </c>
      <c r="D221">
        <f>HYPERLINK("https://www.youtube.com/watch?v=kRA1C0kKhzs&amp;t=374s", "Go to time")</f>
        <v/>
      </c>
    </row>
    <row r="222">
      <c r="A222">
        <f>HYPERLINK("https://www.youtube.com/watch?v=16AhQaStWxg", "Video")</f>
        <v/>
      </c>
      <c r="B222" t="inlineStr">
        <is>
          <t>1:26</t>
        </is>
      </c>
      <c r="C222" t="inlineStr">
        <is>
          <t>set a very ambitious goal wich was unrealizable for many people.</t>
        </is>
      </c>
      <c r="D222">
        <f>HYPERLINK("https://www.youtube.com/watch?v=16AhQaStWxg&amp;t=86s", "Go to time")</f>
        <v/>
      </c>
    </row>
    <row r="223">
      <c r="A223">
        <f>HYPERLINK("https://www.youtube.com/watch?v=16AhQaStWxg", "Video")</f>
        <v/>
      </c>
      <c r="B223" t="inlineStr">
        <is>
          <t>1:51</t>
        </is>
      </c>
      <c r="C223" t="inlineStr">
        <is>
          <t>And events like the explosion of the N1 rocket
put an end to Soviet ambition</t>
        </is>
      </c>
      <c r="D223">
        <f>HYPERLINK("https://www.youtube.com/watch?v=16AhQaStWxg&amp;t=111s", "Go to time")</f>
        <v/>
      </c>
    </row>
    <row r="224">
      <c r="A224">
        <f>HYPERLINK("https://www.youtube.com/watch?v=16AhQaStWxg", "Video")</f>
        <v/>
      </c>
      <c r="B224" t="inlineStr">
        <is>
          <t>2:47</t>
        </is>
      </c>
      <c r="C224" t="inlineStr">
        <is>
          <t>Moon's orbit and meet with the main ship.</t>
        </is>
      </c>
      <c r="D224">
        <f>HYPERLINK("https://www.youtube.com/watch?v=16AhQaStWxg&amp;t=167s", "Go to time")</f>
        <v/>
      </c>
    </row>
    <row r="225">
      <c r="A225">
        <f>HYPERLINK("https://www.youtube.com/watch?v=16AhQaStWxg", "Video")</f>
        <v/>
      </c>
      <c r="B225" t="inlineStr">
        <is>
          <t>3:11</t>
        </is>
      </c>
      <c r="C225" t="inlineStr">
        <is>
          <t>Inside the command module, Michael Collins
I would continue to orbit the moon, taking pictures</t>
        </is>
      </c>
      <c r="D225">
        <f>HYPERLINK("https://www.youtube.com/watch?v=16AhQaStWxg&amp;t=191s", "Go to time")</f>
        <v/>
      </c>
    </row>
    <row r="226">
      <c r="A226">
        <f>HYPERLINK("https://www.youtube.com/watch?v=5zN4mpYh2Jw", "Video")</f>
        <v/>
      </c>
      <c r="B226" t="inlineStr">
        <is>
          <t>0:24</t>
        </is>
      </c>
      <c r="C226" t="inlineStr">
        <is>
          <t>you're a little bit cold in the</t>
        </is>
      </c>
      <c r="D226">
        <f>HYPERLINK("https://www.youtube.com/watch?v=5zN4mpYh2Jw&amp;t=24s", "Go to time")</f>
        <v/>
      </c>
    </row>
    <row r="227">
      <c r="A227">
        <f>HYPERLINK("https://www.youtube.com/watch?v=5zN4mpYh2Jw", "Video")</f>
        <v/>
      </c>
      <c r="B227" t="inlineStr">
        <is>
          <t>1:26</t>
        </is>
      </c>
      <c r="C227" t="inlineStr">
        <is>
          <t>fluidity and it's a little bit more</t>
        </is>
      </c>
      <c r="D227">
        <f>HYPERLINK("https://www.youtube.com/watch?v=5zN4mpYh2Jw&amp;t=86s", "Go to time")</f>
        <v/>
      </c>
    </row>
    <row r="228">
      <c r="A228">
        <f>HYPERLINK("https://www.youtube.com/watch?v=5zN4mpYh2Jw", "Video")</f>
        <v/>
      </c>
      <c r="B228" t="inlineStr">
        <is>
          <t>2:57</t>
        </is>
      </c>
      <c r="C228" t="inlineStr">
        <is>
          <t>bit</t>
        </is>
      </c>
      <c r="D228">
        <f>HYPERLINK("https://www.youtube.com/watch?v=5zN4mpYh2Jw&amp;t=177s", "Go to time")</f>
        <v/>
      </c>
    </row>
    <row r="229">
      <c r="A229">
        <f>HYPERLINK("https://www.youtube.com/watch?v=wONAqaxgIoo", "Video")</f>
        <v/>
      </c>
      <c r="B229" t="inlineStr">
        <is>
          <t>2:06</t>
        </is>
      </c>
      <c r="C229" t="inlineStr">
        <is>
          <t>And that's when you got the first opium prohibition
laws.</t>
        </is>
      </c>
      <c r="D229">
        <f>HYPERLINK("https://www.youtube.com/watch?v=wONAqaxgIoo&amp;t=126s", "Go to time")</f>
        <v/>
      </c>
    </row>
    <row r="230">
      <c r="A230">
        <f>HYPERLINK("https://www.youtube.com/watch?v=wONAqaxgIoo", "Video")</f>
        <v/>
      </c>
      <c r="B230" t="inlineStr">
        <is>
          <t>2:58</t>
        </is>
      </c>
      <c r="C230" t="inlineStr">
        <is>
          <t>That's when you got the first cocaine prohibition
laws.</t>
        </is>
      </c>
      <c r="D230">
        <f>HYPERLINK("https://www.youtube.com/watch?v=wONAqaxgIoo&amp;t=178s", "Go to time")</f>
        <v/>
      </c>
    </row>
    <row r="231">
      <c r="A231">
        <f>HYPERLINK("https://www.youtube.com/watch?v=wONAqaxgIoo", "Video")</f>
        <v/>
      </c>
      <c r="B231" t="inlineStr">
        <is>
          <t>3:01</t>
        </is>
      </c>
      <c r="C231" t="inlineStr">
        <is>
          <t>The first marijuana prohibition laws were
in the Midwest and the Southwest directed</t>
        </is>
      </c>
      <c r="D231">
        <f>HYPERLINK("https://www.youtube.com/watch?v=wONAqaxgIoo&amp;t=181s", "Go to time")</f>
        <v/>
      </c>
    </row>
    <row r="232">
      <c r="A232">
        <f>HYPERLINK("https://www.youtube.com/watch?v=wONAqaxgIoo", "Video")</f>
        <v/>
      </c>
      <c r="B232" t="inlineStr">
        <is>
          <t>3:24</t>
        </is>
      </c>
      <c r="C232" t="inlineStr">
        <is>
          <t>I mean even alcohol prohibition was to some
extent a broader conflict between the white</t>
        </is>
      </c>
      <c r="D232">
        <f>HYPERLINK("https://www.youtube.com/watch?v=wONAqaxgIoo&amp;t=204s", "Go to time")</f>
        <v/>
      </c>
    </row>
    <row r="233">
      <c r="A233">
        <f>HYPERLINK("https://www.youtube.com/watch?v=v54nv_XAusg", "Video")</f>
        <v/>
      </c>
      <c r="B233" t="inlineStr">
        <is>
          <t>0:57</t>
        </is>
      </c>
      <c r="C233" t="inlineStr">
        <is>
          <t>then it was the bit we did the most we</t>
        </is>
      </c>
      <c r="D233">
        <f>HYPERLINK("https://www.youtube.com/watch?v=v54nv_XAusg&amp;t=57s", "Go to time")</f>
        <v/>
      </c>
    </row>
    <row r="234">
      <c r="A234">
        <f>HYPERLINK("https://www.youtube.com/watch?v=v54nv_XAusg", "Video")</f>
        <v/>
      </c>
      <c r="B234" t="inlineStr">
        <is>
          <t>1:02</t>
        </is>
      </c>
      <c r="C234" t="inlineStr">
        <is>
          <t>not Letterman I mean a bit that he did</t>
        </is>
      </c>
      <c r="D234">
        <f>HYPERLINK("https://www.youtube.com/watch?v=v54nv_XAusg&amp;t=62s", "Go to time")</f>
        <v/>
      </c>
    </row>
    <row r="235">
      <c r="A235">
        <f>HYPERLINK("https://www.youtube.com/watch?v=M2DjsceS_Ik", "Video")</f>
        <v/>
      </c>
      <c r="B235" t="inlineStr">
        <is>
          <t>15:22</t>
        </is>
      </c>
      <c r="C235" t="inlineStr">
        <is>
          <t>as a teacher in fact it's a little bit</t>
        </is>
      </c>
      <c r="D235">
        <f>HYPERLINK("https://www.youtube.com/watch?v=M2DjsceS_Ik&amp;t=922s", "Go to time")</f>
        <v/>
      </c>
    </row>
    <row r="236">
      <c r="A236">
        <f>HYPERLINK("https://www.youtube.com/watch?v=-QICBsD9Aog", "Video")</f>
        <v/>
      </c>
      <c r="B236" t="inlineStr">
        <is>
          <t>1:25</t>
        </is>
      </c>
      <c r="C236" t="inlineStr">
        <is>
          <t>I think it will be incredibly ambitious,</t>
        </is>
      </c>
      <c r="D236">
        <f>HYPERLINK("https://www.youtube.com/watch?v=-QICBsD9Aog&amp;t=85s", "Go to time")</f>
        <v/>
      </c>
    </row>
    <row r="237">
      <c r="A237">
        <f>HYPERLINK("https://www.youtube.com/watch?v=-QICBsD9Aog", "Video")</f>
        <v/>
      </c>
      <c r="B237" t="inlineStr">
        <is>
          <t>4:59</t>
        </is>
      </c>
      <c r="C237" t="inlineStr">
        <is>
          <t>habitable land for farming.</t>
        </is>
      </c>
      <c r="D237">
        <f>HYPERLINK("https://www.youtube.com/watch?v=-QICBsD9Aog&amp;t=299s", "Go to time")</f>
        <v/>
      </c>
    </row>
    <row r="238">
      <c r="A238">
        <f>HYPERLINK("https://www.youtube.com/watch?v=OmJX3aSLSoU", "Video")</f>
        <v/>
      </c>
      <c r="B238" t="inlineStr">
        <is>
          <t>3:24</t>
        </is>
      </c>
      <c r="C238" t="inlineStr">
        <is>
          <t>Get in the habit of noticing
when things are going right,</t>
        </is>
      </c>
      <c r="D238">
        <f>HYPERLINK("https://www.youtube.com/watch?v=OmJX3aSLSoU&amp;t=204s", "Go to time")</f>
        <v/>
      </c>
    </row>
    <row r="239">
      <c r="A239">
        <f>HYPERLINK("https://www.youtube.com/watch?v=wKfUK1Gd6YM", "Video")</f>
        <v/>
      </c>
      <c r="B239" t="inlineStr">
        <is>
          <t>2:41</t>
        </is>
      </c>
      <c r="C239" t="inlineStr">
        <is>
          <t>caught up in bitterness and frustration and
anxiety.</t>
        </is>
      </c>
      <c r="D239">
        <f>HYPERLINK("https://www.youtube.com/watch?v=wKfUK1Gd6YM&amp;t=161s", "Go to time")</f>
        <v/>
      </c>
    </row>
    <row r="240">
      <c r="A240">
        <f>HYPERLINK("https://www.youtube.com/watch?v=C5VmDAMxIhA", "Video")</f>
        <v/>
      </c>
      <c r="B240" t="inlineStr">
        <is>
          <t>0:31</t>
        </is>
      </c>
      <c r="C240" t="inlineStr">
        <is>
          <t>researched this a little bit it doesn't</t>
        </is>
      </c>
      <c r="D240">
        <f>HYPERLINK("https://www.youtube.com/watch?v=C5VmDAMxIhA&amp;t=31s", "Go to time")</f>
        <v/>
      </c>
    </row>
    <row r="241">
      <c r="A241">
        <f>HYPERLINK("https://www.youtube.com/watch?v=C5VmDAMxIhA", "Video")</f>
        <v/>
      </c>
      <c r="B241" t="inlineStr">
        <is>
          <t>2:12</t>
        </is>
      </c>
      <c r="C241" t="inlineStr">
        <is>
          <t>bit bit um so I was always a little bit</t>
        </is>
      </c>
      <c r="D241">
        <f>HYPERLINK("https://www.youtube.com/watch?v=C5VmDAMxIhA&amp;t=132s", "Go to time")</f>
        <v/>
      </c>
    </row>
    <row r="242">
      <c r="A242">
        <f>HYPERLINK("https://www.youtube.com/watch?v=KdNWgmMSCMI", "Video")</f>
        <v/>
      </c>
      <c r="B242" t="inlineStr">
        <is>
          <t>4:10</t>
        </is>
      </c>
      <c r="C242" t="inlineStr">
        <is>
          <t>K uh a little bit north of kble and all</t>
        </is>
      </c>
      <c r="D242">
        <f>HYPERLINK("https://www.youtube.com/watch?v=KdNWgmMSCMI&amp;t=250s", "Go to time")</f>
        <v/>
      </c>
    </row>
    <row r="243">
      <c r="A243">
        <f>HYPERLINK("https://www.youtube.com/watch?v=NFRDRu4D4GU", "Video")</f>
        <v/>
      </c>
      <c r="B243" t="inlineStr">
        <is>
          <t>3:02</t>
        </is>
      </c>
      <c r="C243" t="inlineStr">
        <is>
          <t>and I felt a little bit of the</t>
        </is>
      </c>
      <c r="D243">
        <f>HYPERLINK("https://www.youtube.com/watch?v=NFRDRu4D4GU&amp;t=182s", "Go to time")</f>
        <v/>
      </c>
    </row>
    <row r="244">
      <c r="A244">
        <f>HYPERLINK("https://www.youtube.com/watch?v=NFRDRu4D4GU", "Video")</f>
        <v/>
      </c>
      <c r="B244" t="inlineStr">
        <is>
          <t>10:07</t>
        </is>
      </c>
      <c r="C244" t="inlineStr">
        <is>
          <t>orbit you know as far as Russia goes I</t>
        </is>
      </c>
      <c r="D244">
        <f>HYPERLINK("https://www.youtube.com/watch?v=NFRDRu4D4GU&amp;t=607s", "Go to time")</f>
        <v/>
      </c>
    </row>
    <row r="245">
      <c r="A245">
        <f>HYPERLINK("https://www.youtube.com/watch?v=NFRDRu4D4GU", "Video")</f>
        <v/>
      </c>
      <c r="B245" t="inlineStr">
        <is>
          <t>12:22</t>
        </is>
      </c>
      <c r="C245" t="inlineStr">
        <is>
          <t>weapon that actually caused quite a bit</t>
        </is>
      </c>
      <c r="D245">
        <f>HYPERLINK("https://www.youtube.com/watch?v=NFRDRu4D4GU&amp;t=742s", "Go to time")</f>
        <v/>
      </c>
    </row>
    <row r="246">
      <c r="A246">
        <f>HYPERLINK("https://www.youtube.com/watch?v=NFRDRu4D4GU", "Video")</f>
        <v/>
      </c>
      <c r="B246" t="inlineStr">
        <is>
          <t>12:32</t>
        </is>
      </c>
      <c r="C246" t="inlineStr">
        <is>
          <t>and spacecraft in low earth orbit and if</t>
        </is>
      </c>
      <c r="D246">
        <f>HYPERLINK("https://www.youtube.com/watch?v=NFRDRu4D4GU&amp;t=752s", "Go to time")</f>
        <v/>
      </c>
    </row>
    <row r="247">
      <c r="A247">
        <f>HYPERLINK("https://www.youtube.com/watch?v=NFRDRu4D4GU", "Video")</f>
        <v/>
      </c>
      <c r="B247" t="inlineStr">
        <is>
          <t>14:54</t>
        </is>
      </c>
      <c r="C247" t="inlineStr">
        <is>
          <t>countries uh but it was a little bit odd</t>
        </is>
      </c>
      <c r="D247">
        <f>HYPERLINK("https://www.youtube.com/watch?v=NFRDRu4D4GU&amp;t=894s", "Go to time")</f>
        <v/>
      </c>
    </row>
    <row r="248">
      <c r="A248">
        <f>HYPERLINK("https://www.youtube.com/watch?v=NFRDRu4D4GU", "Video")</f>
        <v/>
      </c>
      <c r="B248" t="inlineStr">
        <is>
          <t>17:50</t>
        </is>
      </c>
      <c r="C248" t="inlineStr">
        <is>
          <t>as we have technically even a little bit</t>
        </is>
      </c>
      <c r="D248">
        <f>HYPERLINK("https://www.youtube.com/watch?v=NFRDRu4D4GU&amp;t=1070s", "Go to time")</f>
        <v/>
      </c>
    </row>
    <row r="249">
      <c r="A249">
        <f>HYPERLINK("https://www.youtube.com/watch?v=NFRDRu4D4GU", "Video")</f>
        <v/>
      </c>
      <c r="B249" t="inlineStr">
        <is>
          <t>19:06</t>
        </is>
      </c>
      <c r="C249" t="inlineStr">
        <is>
          <t>little bit of that with Britain you know</t>
        </is>
      </c>
      <c r="D249">
        <f>HYPERLINK("https://www.youtube.com/watch?v=NFRDRu4D4GU&amp;t=1146s", "Go to time")</f>
        <v/>
      </c>
    </row>
    <row r="250">
      <c r="A250">
        <f>HYPERLINK("https://www.youtube.com/watch?v=NFRDRu4D4GU", "Video")</f>
        <v/>
      </c>
      <c r="B250" t="inlineStr">
        <is>
          <t>22:03</t>
        </is>
      </c>
      <c r="C250" t="inlineStr">
        <is>
          <t>suborbital flight that is you you'll see</t>
        </is>
      </c>
      <c r="D250">
        <f>HYPERLINK("https://www.youtube.com/watch?v=NFRDRu4D4GU&amp;t=1323s", "Go to time")</f>
        <v/>
      </c>
    </row>
    <row r="251">
      <c r="A251">
        <f>HYPERLINK("https://www.youtube.com/watch?v=NFRDRu4D4GU", "Video")</f>
        <v/>
      </c>
      <c r="B251" t="inlineStr">
        <is>
          <t>22:29</t>
        </is>
      </c>
      <c r="C251" t="inlineStr">
        <is>
          <t>thing to do but it's not orbital flight</t>
        </is>
      </c>
      <c r="D251">
        <f>HYPERLINK("https://www.youtube.com/watch?v=NFRDRu4D4GU&amp;t=1349s", "Go to time")</f>
        <v/>
      </c>
    </row>
    <row r="252">
      <c r="A252">
        <f>HYPERLINK("https://www.youtube.com/watch?v=NFRDRu4D4GU", "Video")</f>
        <v/>
      </c>
      <c r="B252" t="inlineStr">
        <is>
          <t>22:32</t>
        </is>
      </c>
      <c r="C252" t="inlineStr">
        <is>
          <t>orbital flight is uh takes much more</t>
        </is>
      </c>
      <c r="D252">
        <f>HYPERLINK("https://www.youtube.com/watch?v=NFRDRu4D4GU&amp;t=1352s", "Go to time")</f>
        <v/>
      </c>
    </row>
    <row r="253">
      <c r="A253">
        <f>HYPERLINK("https://www.youtube.com/watch?v=NFRDRu4D4GU", "Video")</f>
        <v/>
      </c>
      <c r="B253" t="inlineStr">
        <is>
          <t>22:34</t>
        </is>
      </c>
      <c r="C253" t="inlineStr">
        <is>
          <t>energy to get into into Earth orbit um</t>
        </is>
      </c>
      <c r="D253">
        <f>HYPERLINK("https://www.youtube.com/watch?v=NFRDRu4D4GU&amp;t=1354s", "Go to time")</f>
        <v/>
      </c>
    </row>
    <row r="254">
      <c r="A254">
        <f>HYPERLINK("https://www.youtube.com/watch?v=NFRDRu4D4GU", "Video")</f>
        <v/>
      </c>
      <c r="B254" t="inlineStr">
        <is>
          <t>22:40</t>
        </is>
      </c>
      <c r="C254" t="inlineStr">
        <is>
          <t>altitude to get into orbit you've got to</t>
        </is>
      </c>
      <c r="D254">
        <f>HYPERLINK("https://www.youtube.com/watch?v=NFRDRu4D4GU&amp;t=1360s", "Go to time")</f>
        <v/>
      </c>
    </row>
    <row r="255">
      <c r="A255">
        <f>HYPERLINK("https://www.youtube.com/watch?v=NFRDRu4D4GU", "Video")</f>
        <v/>
      </c>
      <c r="B255" t="inlineStr">
        <is>
          <t>22:49</t>
        </is>
      </c>
      <c r="C255" t="inlineStr">
        <is>
          <t>it's it's quite a bit more energy to get</t>
        </is>
      </c>
      <c r="D255">
        <f>HYPERLINK("https://www.youtube.com/watch?v=NFRDRu4D4GU&amp;t=1369s", "Go to time")</f>
        <v/>
      </c>
    </row>
    <row r="256">
      <c r="A256">
        <f>HYPERLINK("https://www.youtube.com/watch?v=NFRDRu4D4GU", "Video")</f>
        <v/>
      </c>
      <c r="B256" t="inlineStr">
        <is>
          <t>22:51</t>
        </is>
      </c>
      <c r="C256" t="inlineStr">
        <is>
          <t>into space into into orbit so that's</t>
        </is>
      </c>
      <c r="D256">
        <f>HYPERLINK("https://www.youtube.com/watch?v=NFRDRu4D4GU&amp;t=1371s", "Go to time")</f>
        <v/>
      </c>
    </row>
    <row r="257">
      <c r="A257">
        <f>HYPERLINK("https://www.youtube.com/watch?v=NFRDRu4D4GU", "Video")</f>
        <v/>
      </c>
      <c r="B257" t="inlineStr">
        <is>
          <t>22:53</t>
        </is>
      </c>
      <c r="C257" t="inlineStr">
        <is>
          <t>what we're we're offering is orbital</t>
        </is>
      </c>
      <c r="D257">
        <f>HYPERLINK("https://www.youtube.com/watch?v=NFRDRu4D4GU&amp;t=1373s", "Go to time")</f>
        <v/>
      </c>
    </row>
    <row r="258">
      <c r="A258">
        <f>HYPERLINK("https://www.youtube.com/watch?v=NFRDRu4D4GU", "Video")</f>
        <v/>
      </c>
      <c r="B258" t="inlineStr">
        <is>
          <t>22:56</t>
        </is>
      </c>
      <c r="C258" t="inlineStr">
        <is>
          <t>orbital Adventures um we would offer 5</t>
        </is>
      </c>
      <c r="D258">
        <f>HYPERLINK("https://www.youtube.com/watch?v=NFRDRu4D4GU&amp;t=1376s", "Go to time")</f>
        <v/>
      </c>
    </row>
    <row r="259">
      <c r="A259">
        <f>HYPERLINK("https://www.youtube.com/watch?v=NFRDRu4D4GU", "Video")</f>
        <v/>
      </c>
      <c r="B259" t="inlineStr">
        <is>
          <t>22:59</t>
        </is>
      </c>
      <c r="C259" t="inlineStr">
        <is>
          <t>to seven days in low earth orbit uh</t>
        </is>
      </c>
      <c r="D259">
        <f>HYPERLINK("https://www.youtube.com/watch?v=NFRDRu4D4GU&amp;t=1379s", "Go to time")</f>
        <v/>
      </c>
    </row>
    <row r="260">
      <c r="A260">
        <f>HYPERLINK("https://www.youtube.com/watch?v=NFRDRu4D4GU", "Video")</f>
        <v/>
      </c>
      <c r="B260" t="inlineStr">
        <is>
          <t>23:58</t>
        </is>
      </c>
      <c r="C260" t="inlineStr">
        <is>
          <t>bring that down a little bit to where it</t>
        </is>
      </c>
      <c r="D260">
        <f>HYPERLINK("https://www.youtube.com/watch?v=NFRDRu4D4GU&amp;t=1438s", "Go to time")</f>
        <v/>
      </c>
    </row>
    <row r="261">
      <c r="A261">
        <f>HYPERLINK("https://www.youtube.com/watch?v=NFRDRu4D4GU", "Video")</f>
        <v/>
      </c>
      <c r="B261" t="inlineStr">
        <is>
          <t>24:00</t>
        </is>
      </c>
      <c r="C261" t="inlineStr">
        <is>
          <t>is a little bit more like that but</t>
        </is>
      </c>
      <c r="D261">
        <f>HYPERLINK("https://www.youtube.com/watch?v=NFRDRu4D4GU&amp;t=1440s", "Go to time")</f>
        <v/>
      </c>
    </row>
    <row r="262">
      <c r="A262">
        <f>HYPERLINK("https://www.youtube.com/watch?v=NFRDRu4D4GU", "Video")</f>
        <v/>
      </c>
      <c r="B262" t="inlineStr">
        <is>
          <t>24:35</t>
        </is>
      </c>
      <c r="C262" t="inlineStr">
        <is>
          <t>bit if you say okay you've got to spend</t>
        </is>
      </c>
      <c r="D262">
        <f>HYPERLINK("https://www.youtube.com/watch?v=NFRDRu4D4GU&amp;t=1475s", "Go to time")</f>
        <v/>
      </c>
    </row>
    <row r="263">
      <c r="A263">
        <f>HYPERLINK("https://www.youtube.com/watch?v=NFRDRu4D4GU", "Video")</f>
        <v/>
      </c>
      <c r="B263" t="inlineStr">
        <is>
          <t>27:48</t>
        </is>
      </c>
      <c r="C263" t="inlineStr">
        <is>
          <t>a suborbital flight um and like I said</t>
        </is>
      </c>
      <c r="D263">
        <f>HYPERLINK("https://www.youtube.com/watch?v=NFRDRu4D4GU&amp;t=1668s", "Go to time")</f>
        <v/>
      </c>
    </row>
    <row r="264">
      <c r="A264">
        <f>HYPERLINK("https://www.youtube.com/watch?v=NFRDRu4D4GU", "Video")</f>
        <v/>
      </c>
      <c r="B264" t="inlineStr">
        <is>
          <t>27:53</t>
        </is>
      </c>
      <c r="C264" t="inlineStr">
        <is>
          <t>orbit but it was a huge First Step you</t>
        </is>
      </c>
      <c r="D264">
        <f>HYPERLINK("https://www.youtube.com/watch?v=NFRDRu4D4GU&amp;t=1673s", "Go to time")</f>
        <v/>
      </c>
    </row>
    <row r="265">
      <c r="A265">
        <f>HYPERLINK("https://www.youtube.com/watch?v=NFRDRu4D4GU", "Video")</f>
        <v/>
      </c>
      <c r="B265" t="inlineStr">
        <is>
          <t>28:52</t>
        </is>
      </c>
      <c r="C265" t="inlineStr">
        <is>
          <t>will naturally come down a bit and so</t>
        </is>
      </c>
      <c r="D265">
        <f>HYPERLINK("https://www.youtube.com/watch?v=NFRDRu4D4GU&amp;t=1732s", "Go to time")</f>
        <v/>
      </c>
    </row>
    <row r="266">
      <c r="A266">
        <f>HYPERLINK("https://www.youtube.com/watch?v=NFRDRu4D4GU", "Video")</f>
        <v/>
      </c>
      <c r="B266" t="inlineStr">
        <is>
          <t>28:56</t>
        </is>
      </c>
      <c r="C266" t="inlineStr">
        <is>
          <t>a little bit unique in that we don't</t>
        </is>
      </c>
      <c r="D266">
        <f>HYPERLINK("https://www.youtube.com/watch?v=NFRDRu4D4GU&amp;t=1736s", "Go to time")</f>
        <v/>
      </c>
    </row>
    <row r="267">
      <c r="A267">
        <f>HYPERLINK("https://www.youtube.com/watch?v=NFRDRu4D4GU", "Video")</f>
        <v/>
      </c>
      <c r="B267" t="inlineStr">
        <is>
          <t>30:26</t>
        </is>
      </c>
      <c r="C267" t="inlineStr">
        <is>
          <t>earth orbit is the radiation you know we</t>
        </is>
      </c>
      <c r="D267">
        <f>HYPERLINK("https://www.youtube.com/watch?v=NFRDRu4D4GU&amp;t=1826s", "Go to time")</f>
        <v/>
      </c>
    </row>
    <row r="268">
      <c r="A268">
        <f>HYPERLINK("https://www.youtube.com/watch?v=NFRDRu4D4GU", "Video")</f>
        <v/>
      </c>
      <c r="B268" t="inlineStr">
        <is>
          <t>37:03</t>
        </is>
      </c>
      <c r="C268" t="inlineStr">
        <is>
          <t>astronaut it makes me a little bit</t>
        </is>
      </c>
      <c r="D268">
        <f>HYPERLINK("https://www.youtube.com/watch?v=NFRDRu4D4GU&amp;t=2223s", "Go to time")</f>
        <v/>
      </c>
    </row>
    <row r="269">
      <c r="A269">
        <f>HYPERLINK("https://www.youtube.com/watch?v=NFRDRu4D4GU", "Video")</f>
        <v/>
      </c>
      <c r="B269" t="inlineStr">
        <is>
          <t>40:15</t>
        </is>
      </c>
      <c r="C269" t="inlineStr">
        <is>
          <t>low earth orbit you know takes takes a</t>
        </is>
      </c>
      <c r="D269">
        <f>HYPERLINK("https://www.youtube.com/watch?v=NFRDRu4D4GU&amp;t=2415s", "Go to time")</f>
        <v/>
      </c>
    </row>
    <row r="270">
      <c r="A270">
        <f>HYPERLINK("https://www.youtube.com/watch?v=NFRDRu4D4GU", "Video")</f>
        <v/>
      </c>
      <c r="B270" t="inlineStr">
        <is>
          <t>47:55</t>
        </is>
      </c>
      <c r="C270" t="inlineStr">
        <is>
          <t>was picked on quite a bit and I was uh</t>
        </is>
      </c>
      <c r="D270">
        <f>HYPERLINK("https://www.youtube.com/watch?v=NFRDRu4D4GU&amp;t=2875s", "Go to time")</f>
        <v/>
      </c>
    </row>
    <row r="271">
      <c r="A271">
        <f>HYPERLINK("https://www.youtube.com/watch?v=LmGTaQ5Bwiw", "Video")</f>
        <v/>
      </c>
      <c r="B271" t="inlineStr">
        <is>
          <t>1:35</t>
        </is>
      </c>
      <c r="C271" t="inlineStr">
        <is>
          <t>think just a little bit harder about</t>
        </is>
      </c>
      <c r="D271">
        <f>HYPERLINK("https://www.youtube.com/watch?v=LmGTaQ5Bwiw&amp;t=95s", "Go to time")</f>
        <v/>
      </c>
    </row>
    <row r="272">
      <c r="A272">
        <f>HYPERLINK("https://www.youtube.com/watch?v=C-WL_MOnk98", "Video")</f>
        <v/>
      </c>
      <c r="B272" t="inlineStr">
        <is>
          <t>4:30</t>
        </is>
      </c>
      <c r="C272" t="inlineStr">
        <is>
          <t>bit of writing about SpaceX on my blog, and so he 
kind of saw me as at least moderately credible.</t>
        </is>
      </c>
      <c r="D272">
        <f>HYPERLINK("https://www.youtube.com/watch?v=C-WL_MOnk98&amp;t=270s", "Go to time")</f>
        <v/>
      </c>
    </row>
    <row r="273">
      <c r="A273">
        <f>HYPERLINK("https://www.youtube.com/watch?v=C-WL_MOnk98", "Video")</f>
        <v/>
      </c>
      <c r="B273" t="inlineStr">
        <is>
          <t>4:34</t>
        </is>
      </c>
      <c r="C273" t="inlineStr">
        <is>
          <t>He took a look at it and we collaborated for a 
bit and he very quickly trained himself to see</t>
        </is>
      </c>
      <c r="D273">
        <f>HYPERLINK("https://www.youtube.com/watch?v=C-WL_MOnk98&amp;t=274s", "Go to time")</f>
        <v/>
      </c>
    </row>
    <row r="274">
      <c r="A274">
        <f>HYPERLINK("https://www.youtube.com/watch?v=DYvmVuGPMrA", "Video")</f>
        <v/>
      </c>
      <c r="B274" t="inlineStr">
        <is>
          <t>0:18</t>
        </is>
      </c>
      <c r="C274" t="inlineStr">
        <is>
          <t>he's bitching about um actually not the</t>
        </is>
      </c>
      <c r="D274">
        <f>HYPERLINK("https://www.youtube.com/watch?v=DYvmVuGPMrA&amp;t=18s", "Go to time")</f>
        <v/>
      </c>
    </row>
    <row r="275">
      <c r="A275">
        <f>HYPERLINK("https://www.youtube.com/watch?v=gTIdl8acmxY", "Video")</f>
        <v/>
      </c>
      <c r="B275" t="inlineStr">
        <is>
          <t>0:15</t>
        </is>
      </c>
      <c r="C275" t="inlineStr">
        <is>
          <t>salt bitter and umami and those occur on</t>
        </is>
      </c>
      <c r="D275">
        <f>HYPERLINK("https://www.youtube.com/watch?v=gTIdl8acmxY&amp;t=15s", "Go to time")</f>
        <v/>
      </c>
    </row>
    <row r="276">
      <c r="A276">
        <f>HYPERLINK("https://www.youtube.com/watch?v=gTIdl8acmxY", "Video")</f>
        <v/>
      </c>
      <c r="B276" t="inlineStr">
        <is>
          <t>0:53</t>
        </is>
      </c>
      <c r="C276" t="inlineStr">
        <is>
          <t>like sugars or bitter molecules or</t>
        </is>
      </c>
      <c r="D276">
        <f>HYPERLINK("https://www.youtube.com/watch?v=gTIdl8acmxY&amp;t=53s", "Go to time")</f>
        <v/>
      </c>
    </row>
    <row r="277">
      <c r="A277">
        <f>HYPERLINK("https://www.youtube.com/watch?v=gTIdl8acmxY", "Video")</f>
        <v/>
      </c>
      <c r="B277" t="inlineStr">
        <is>
          <t>1:31</t>
        </is>
      </c>
      <c r="C277" t="inlineStr">
        <is>
          <t>or ooh that's bitter or this is a bit</t>
        </is>
      </c>
      <c r="D277">
        <f>HYPERLINK("https://www.youtube.com/watch?v=gTIdl8acmxY&amp;t=91s", "Go to time")</f>
        <v/>
      </c>
    </row>
    <row r="278">
      <c r="A278">
        <f>HYPERLINK("https://www.youtube.com/watch?v=Pzsjw-i6PNc", "Video")</f>
        <v/>
      </c>
      <c r="B278" t="inlineStr">
        <is>
          <t>2:54</t>
        </is>
      </c>
      <c r="C278" t="inlineStr">
        <is>
          <t>seeing to the sides and also
a little bit to the back.</t>
        </is>
      </c>
      <c r="D278">
        <f>HYPERLINK("https://www.youtube.com/watch?v=Pzsjw-i6PNc&amp;t=174s", "Go to time")</f>
        <v/>
      </c>
    </row>
    <row r="279">
      <c r="A279">
        <f>HYPERLINK("https://www.youtube.com/watch?v=_gi4lYDOOWw", "Video")</f>
        <v/>
      </c>
      <c r="B279" t="inlineStr">
        <is>
          <t>6:44</t>
        </is>
      </c>
      <c r="C279" t="inlineStr">
        <is>
          <t>energy sources a bit more expensive for</t>
        </is>
      </c>
      <c r="D279">
        <f>HYPERLINK("https://www.youtube.com/watch?v=_gi4lYDOOWw&amp;t=404s", "Go to time")</f>
        <v/>
      </c>
    </row>
    <row r="280">
      <c r="A280">
        <f>HYPERLINK("https://www.youtube.com/watch?v=ZJ7uaDlYVmo", "Video")</f>
        <v/>
      </c>
      <c r="B280" t="inlineStr">
        <is>
          <t>1:05</t>
        </is>
      </c>
      <c r="C280" t="inlineStr">
        <is>
          <t>determination like having epic Ambitions</t>
        </is>
      </c>
      <c r="D280">
        <f>HYPERLINK("https://www.youtube.com/watch?v=ZJ7uaDlYVmo&amp;t=65s", "Go to time")</f>
        <v/>
      </c>
    </row>
    <row r="281">
      <c r="A281">
        <f>HYPERLINK("https://www.youtube.com/watch?v=fNR2jL2s_Bs", "Video")</f>
        <v/>
      </c>
      <c r="B281" t="inlineStr">
        <is>
          <t>0:58</t>
        </is>
      </c>
      <c r="C281" t="inlineStr">
        <is>
          <t>alive it's a uh um it it's it's a bit of</t>
        </is>
      </c>
      <c r="D281">
        <f>HYPERLINK("https://www.youtube.com/watch?v=fNR2jL2s_Bs&amp;t=58s", "Go to time")</f>
        <v/>
      </c>
    </row>
    <row r="282">
      <c r="A282">
        <f>HYPERLINK("https://www.youtube.com/watch?v=fNR2jL2s_Bs", "Video")</f>
        <v/>
      </c>
      <c r="B282" t="inlineStr">
        <is>
          <t>1:17</t>
        </is>
      </c>
      <c r="C282" t="inlineStr">
        <is>
          <t>how uh uh sort of outrageously ambitious</t>
        </is>
      </c>
      <c r="D282">
        <f>HYPERLINK("https://www.youtube.com/watch?v=fNR2jL2s_Bs&amp;t=77s", "Go to time")</f>
        <v/>
      </c>
    </row>
    <row r="283">
      <c r="A283">
        <f>HYPERLINK("https://www.youtube.com/watch?v=MnsjB77tZZ8", "Video")</f>
        <v/>
      </c>
      <c r="B283" t="inlineStr">
        <is>
          <t>0:32</t>
        </is>
      </c>
      <c r="C283" t="inlineStr">
        <is>
          <t>gimmickry and uh regulatory Arbitrage</t>
        </is>
      </c>
      <c r="D283">
        <f>HYPERLINK("https://www.youtube.com/watch?v=MnsjB77tZZ8&amp;t=32s", "Go to time")</f>
        <v/>
      </c>
    </row>
    <row r="284">
      <c r="A284">
        <f>HYPERLINK("https://www.youtube.com/watch?v=_a9LE86cDEw", "Video")</f>
        <v/>
      </c>
      <c r="B284" t="inlineStr">
        <is>
          <t>0:18</t>
        </is>
      </c>
      <c r="C284" t="inlineStr">
        <is>
          <t>remind me of when I'm doing a little bit</t>
        </is>
      </c>
      <c r="D284">
        <f>HYPERLINK("https://www.youtube.com/watch?v=_a9LE86cDEw&amp;t=18s", "Go to time")</f>
        <v/>
      </c>
    </row>
    <row r="285">
      <c r="A285">
        <f>HYPERLINK("https://www.youtube.com/watch?v=UScm9avQM1Y", "Video")</f>
        <v/>
      </c>
      <c r="B285" t="inlineStr">
        <is>
          <t>1:33</t>
        </is>
      </c>
      <c r="C285" t="inlineStr">
        <is>
          <t>head chef but there are bits and pieces</t>
        </is>
      </c>
      <c r="D285">
        <f>HYPERLINK("https://www.youtube.com/watch?v=UScm9avQM1Y&amp;t=93s", "Go to time")</f>
        <v/>
      </c>
    </row>
    <row r="286">
      <c r="A286">
        <f>HYPERLINK("https://www.youtube.com/watch?v=UScm9avQM1Y", "Video")</f>
        <v/>
      </c>
      <c r="B286" t="inlineStr">
        <is>
          <t>2:17</t>
        </is>
      </c>
      <c r="C286" t="inlineStr">
        <is>
          <t>over all the boring bits of our</t>
        </is>
      </c>
      <c r="D286">
        <f>HYPERLINK("https://www.youtube.com/watch?v=UScm9avQM1Y&amp;t=137s", "Go to time")</f>
        <v/>
      </c>
    </row>
    <row r="287">
      <c r="A287">
        <f>HYPERLINK("https://www.youtube.com/watch?v=UScm9avQM1Y", "Video")</f>
        <v/>
      </c>
      <c r="B287" t="inlineStr">
        <is>
          <t>4:21</t>
        </is>
      </c>
      <c r="C287" t="inlineStr">
        <is>
          <t>start thinking about those those bits of</t>
        </is>
      </c>
      <c r="D287">
        <f>HYPERLINK("https://www.youtube.com/watch?v=UScm9avQM1Y&amp;t=261s", "Go to time")</f>
        <v/>
      </c>
    </row>
    <row r="288">
      <c r="A288">
        <f>HYPERLINK("https://www.youtube.com/watch?v=KJ9w-xFAq2U", "Video")</f>
        <v/>
      </c>
      <c r="B288" t="inlineStr">
        <is>
          <t>3:07</t>
        </is>
      </c>
      <c r="C288" t="inlineStr">
        <is>
          <t>into a stable orbit around the Sun.</t>
        </is>
      </c>
      <c r="D288">
        <f>HYPERLINK("https://www.youtube.com/watch?v=KJ9w-xFAq2U&amp;t=187s", "Go to time")</f>
        <v/>
      </c>
    </row>
    <row r="289">
      <c r="A289">
        <f>HYPERLINK("https://www.youtube.com/watch?v=KJ9w-xFAq2U", "Video")</f>
        <v/>
      </c>
      <c r="B289" t="inlineStr">
        <is>
          <t>8:02</t>
        </is>
      </c>
      <c r="C289" t="inlineStr">
        <is>
          <t>And hopefully, we'll learn a little bit</t>
        </is>
      </c>
      <c r="D289">
        <f>HYPERLINK("https://www.youtube.com/watch?v=KJ9w-xFAq2U&amp;t=482s", "Go to time")</f>
        <v/>
      </c>
    </row>
    <row r="290">
      <c r="A290">
        <f>HYPERLINK("https://www.youtube.com/watch?v=KJ9w-xFAq2U", "Video")</f>
        <v/>
      </c>
      <c r="B290" t="inlineStr">
        <is>
          <t>13:12</t>
        </is>
      </c>
      <c r="C290" t="inlineStr">
        <is>
          <t>are not easy, but that's
not the essential bit.</t>
        </is>
      </c>
      <c r="D290">
        <f>HYPERLINK("https://www.youtube.com/watch?v=KJ9w-xFAq2U&amp;t=792s", "Go to time")</f>
        <v/>
      </c>
    </row>
    <row r="291">
      <c r="A291">
        <f>HYPERLINK("https://www.youtube.com/watch?v=KJ9w-xFAq2U", "Video")</f>
        <v/>
      </c>
      <c r="B291" t="inlineStr">
        <is>
          <t>14:02</t>
        </is>
      </c>
      <c r="C291" t="inlineStr">
        <is>
          <t>this orbiting, this nuclear furnace.</t>
        </is>
      </c>
      <c r="D291">
        <f>HYPERLINK("https://www.youtube.com/watch?v=KJ9w-xFAq2U&amp;t=842s", "Go to time")</f>
        <v/>
      </c>
    </row>
    <row r="292">
      <c r="A292">
        <f>HYPERLINK("https://www.youtube.com/watch?v=KJ9w-xFAq2U", "Video")</f>
        <v/>
      </c>
      <c r="B292" t="inlineStr">
        <is>
          <t>20:52</t>
        </is>
      </c>
      <c r="C292" t="inlineStr">
        <is>
          <t>I think we were talking a
little bit on the drive up here</t>
        </is>
      </c>
      <c r="D292">
        <f>HYPERLINK("https://www.youtube.com/watch?v=KJ9w-xFAq2U&amp;t=1252s", "Go to time")</f>
        <v/>
      </c>
    </row>
    <row r="293">
      <c r="A293">
        <f>HYPERLINK("https://www.youtube.com/watch?v=KJ9w-xFAq2U", "Video")</f>
        <v/>
      </c>
      <c r="B293" t="inlineStr">
        <is>
          <t>20:58</t>
        </is>
      </c>
      <c r="C293" t="inlineStr">
        <is>
          <t>that have inhabited some
of these same lands.</t>
        </is>
      </c>
      <c r="D293">
        <f>HYPERLINK("https://www.youtube.com/watch?v=KJ9w-xFAq2U&amp;t=1258s", "Go to time")</f>
        <v/>
      </c>
    </row>
    <row r="294">
      <c r="A294">
        <f>HYPERLINK("https://www.youtube.com/watch?v=7VOeltAkgCg", "Video")</f>
        <v/>
      </c>
      <c r="B294" t="inlineStr">
        <is>
          <t>4:07</t>
        </is>
      </c>
      <c r="C294" t="inlineStr">
        <is>
          <t>But you're a little bit less in the quicksand
and you go, "Wow," -- This is Ram Dass, he's</t>
        </is>
      </c>
      <c r="D294">
        <f>HYPERLINK("https://www.youtube.com/watch?v=7VOeltAkgCg&amp;t=247s", "Go to time")</f>
        <v/>
      </c>
    </row>
    <row r="295">
      <c r="A295">
        <f>HYPERLINK("https://www.youtube.com/watch?v=UH6PzKFZ3Fo", "Video")</f>
        <v/>
      </c>
      <c r="B295" t="inlineStr">
        <is>
          <t>0:58</t>
        </is>
      </c>
      <c r="C295" t="inlineStr">
        <is>
          <t>right about this bit and there's got to</t>
        </is>
      </c>
      <c r="D295">
        <f>HYPERLINK("https://www.youtube.com/watch?v=UH6PzKFZ3Fo&amp;t=58s", "Go to time")</f>
        <v/>
      </c>
    </row>
    <row r="296">
      <c r="A296">
        <f>HYPERLINK("https://www.youtube.com/watch?v=UH6PzKFZ3Fo", "Video")</f>
        <v/>
      </c>
      <c r="B296" t="inlineStr">
        <is>
          <t>1:00</t>
        </is>
      </c>
      <c r="C296" t="inlineStr">
        <is>
          <t>something right about that bit so I just</t>
        </is>
      </c>
      <c r="D296">
        <f>HYPERLINK("https://www.youtube.com/watch?v=UH6PzKFZ3Fo&amp;t=60s", "Go to time")</f>
        <v/>
      </c>
    </row>
    <row r="297">
      <c r="A297">
        <f>HYPERLINK("https://www.youtube.com/watch?v=UH6PzKFZ3Fo", "Video")</f>
        <v/>
      </c>
      <c r="B297" t="inlineStr">
        <is>
          <t>1:12</t>
        </is>
      </c>
      <c r="C297" t="inlineStr">
        <is>
          <t>little bit like what um uh software</t>
        </is>
      </c>
      <c r="D297">
        <f>HYPERLINK("https://www.youtube.com/watch?v=UH6PzKFZ3Fo&amp;t=72s", "Go to time")</f>
        <v/>
      </c>
    </row>
    <row r="298">
      <c r="A298">
        <f>HYPERLINK("https://www.youtube.com/watch?v=ZXiQXkI_2po", "Video")</f>
        <v/>
      </c>
      <c r="B298" t="inlineStr">
        <is>
          <t>0:40</t>
        </is>
      </c>
      <c r="C298" t="inlineStr">
        <is>
          <t>So they really are ghostly elusive bits of
matter that are produced often when nuclear</t>
        </is>
      </c>
      <c r="D298">
        <f>HYPERLINK("https://www.youtube.com/watch?v=ZXiQXkI_2po&amp;t=40s", "Go to time")</f>
        <v/>
      </c>
    </row>
    <row r="299">
      <c r="A299">
        <f>HYPERLINK("https://www.youtube.com/watch?v=rJWFxu6k1g4", "Video")</f>
        <v/>
      </c>
      <c r="B299" t="inlineStr">
        <is>
          <t>1:40</t>
        </is>
      </c>
      <c r="C299" t="inlineStr">
        <is>
          <t>how I could become a
little bit more effective</t>
        </is>
      </c>
      <c r="D299">
        <f>HYPERLINK("https://www.youtube.com/watch?v=rJWFxu6k1g4&amp;t=100s", "Go to time")</f>
        <v/>
      </c>
    </row>
    <row r="300">
      <c r="A300">
        <f>HYPERLINK("https://www.youtube.com/watch?v=GcegAH8uYog", "Video")</f>
        <v/>
      </c>
      <c r="B300" t="inlineStr">
        <is>
          <t>0:21</t>
        </is>
      </c>
      <c r="C300" t="inlineStr">
        <is>
          <t>It is an ambition.</t>
        </is>
      </c>
      <c r="D300">
        <f>HYPERLINK("https://www.youtube.com/watch?v=GcegAH8uYog&amp;t=21s", "Go to time")</f>
        <v/>
      </c>
    </row>
    <row r="301">
      <c r="A301">
        <f>HYPERLINK("https://www.youtube.com/watch?v=wDHfXZs3ZZU", "Video")</f>
        <v/>
      </c>
      <c r="B301" t="inlineStr">
        <is>
          <t>0:22</t>
        </is>
      </c>
      <c r="C301" t="inlineStr">
        <is>
          <t>a bit like the 1950s in the u.s. it's</t>
        </is>
      </c>
      <c r="D301">
        <f>HYPERLINK("https://www.youtube.com/watch?v=wDHfXZs3ZZU&amp;t=22s", "Go to time")</f>
        <v/>
      </c>
    </row>
    <row r="302">
      <c r="A302">
        <f>HYPERLINK("https://www.youtube.com/watch?v=wDHfXZs3ZZU", "Video")</f>
        <v/>
      </c>
      <c r="B302" t="inlineStr">
        <is>
          <t>1:26</t>
        </is>
      </c>
      <c r="C302" t="inlineStr">
        <is>
          <t>ahead in Iran it's a little bit</t>
        </is>
      </c>
      <c r="D302">
        <f>HYPERLINK("https://www.youtube.com/watch?v=wDHfXZs3ZZU&amp;t=86s", "Go to time")</f>
        <v/>
      </c>
    </row>
    <row r="303">
      <c r="A303">
        <f>HYPERLINK("https://www.youtube.com/watch?v=vJ8p_BViUKc", "Video")</f>
        <v/>
      </c>
      <c r="B303" t="inlineStr">
        <is>
          <t>1:40</t>
        </is>
      </c>
      <c r="C303" t="inlineStr">
        <is>
          <t>maybe even a little bit longer,</t>
        </is>
      </c>
      <c r="D303">
        <f>HYPERLINK("https://www.youtube.com/watch?v=vJ8p_BViUKc&amp;t=100s", "Go to time")</f>
        <v/>
      </c>
    </row>
    <row r="304">
      <c r="A304">
        <f>HYPERLINK("https://www.youtube.com/watch?v=85V9pGOWzAo", "Video")</f>
        <v/>
      </c>
      <c r="B304" t="inlineStr">
        <is>
          <t>0:32</t>
        </is>
      </c>
      <c r="C304" t="inlineStr">
        <is>
          <t>be three or four staff with a little bit</t>
        </is>
      </c>
      <c r="D304">
        <f>HYPERLINK("https://www.youtube.com/watch?v=85V9pGOWzAo&amp;t=32s", "Go to time")</f>
        <v/>
      </c>
    </row>
    <row r="305">
      <c r="A305">
        <f>HYPERLINK("https://www.youtube.com/watch?v=85V9pGOWzAo", "Video")</f>
        <v/>
      </c>
      <c r="B305" t="inlineStr">
        <is>
          <t>3:24</t>
        </is>
      </c>
      <c r="C305" t="inlineStr">
        <is>
          <t>be three or four staff with a little bit</t>
        </is>
      </c>
      <c r="D305">
        <f>HYPERLINK("https://www.youtube.com/watch?v=85V9pGOWzAo&amp;t=204s", "Go to time")</f>
        <v/>
      </c>
    </row>
    <row r="306">
      <c r="A306">
        <f>HYPERLINK("https://www.youtube.com/watch?v=85V9pGOWzAo", "Video")</f>
        <v/>
      </c>
      <c r="B306" t="inlineStr">
        <is>
          <t>9:43</t>
        </is>
      </c>
      <c r="C306" t="inlineStr">
        <is>
          <t>major killer but it's a bit of a silent</t>
        </is>
      </c>
      <c r="D306">
        <f>HYPERLINK("https://www.youtube.com/watch?v=85V9pGOWzAo&amp;t=583s", "Go to time")</f>
        <v/>
      </c>
    </row>
    <row r="307">
      <c r="A307">
        <f>HYPERLINK("https://www.youtube.com/watch?v=85V9pGOWzAo", "Video")</f>
        <v/>
      </c>
      <c r="B307" t="inlineStr">
        <is>
          <t>10:13</t>
        </is>
      </c>
      <c r="C307" t="inlineStr">
        <is>
          <t>rich country habits people are going to</t>
        </is>
      </c>
      <c r="D307">
        <f>HYPERLINK("https://www.youtube.com/watch?v=85V9pGOWzAo&amp;t=613s", "Go to time")</f>
        <v/>
      </c>
    </row>
    <row r="308">
      <c r="A308">
        <f>HYPERLINK("https://www.youtube.com/watch?v=iWCjYxtRBXE", "Video")</f>
        <v/>
      </c>
      <c r="B308" t="inlineStr">
        <is>
          <t>0:37</t>
        </is>
      </c>
      <c r="C308" t="inlineStr">
        <is>
          <t>people may exhibit tolerance to a</t>
        </is>
      </c>
      <c r="D308">
        <f>HYPERLINK("https://www.youtube.com/watch?v=iWCjYxtRBXE&amp;t=37s", "Go to time")</f>
        <v/>
      </c>
    </row>
    <row r="309">
      <c r="A309">
        <f>HYPERLINK("https://www.youtube.com/watch?v=jVNkHD_1PDc", "Video")</f>
        <v/>
      </c>
      <c r="B309" t="inlineStr">
        <is>
          <t>4:04</t>
        </is>
      </c>
      <c r="C309" t="inlineStr">
        <is>
          <t>that he typically exhibits President</t>
        </is>
      </c>
      <c r="D309">
        <f>HYPERLINK("https://www.youtube.com/watch?v=jVNkHD_1PDc&amp;t=244s", "Go to time")</f>
        <v/>
      </c>
    </row>
    <row r="310">
      <c r="A310">
        <f>HYPERLINK("https://www.youtube.com/watch?v=jRoS3p0WT4k", "Video")</f>
        <v/>
      </c>
      <c r="B310" t="inlineStr">
        <is>
          <t>3:52</t>
        </is>
      </c>
      <c r="C310" t="inlineStr">
        <is>
          <t>Starbucks is a bit better and so I'm</t>
        </is>
      </c>
      <c r="D310">
        <f>HYPERLINK("https://www.youtube.com/watch?v=jRoS3p0WT4k&amp;t=232s", "Go to time")</f>
        <v/>
      </c>
    </row>
    <row r="311">
      <c r="A311">
        <f>HYPERLINK("https://www.youtube.com/watch?v=jRoS3p0WT4k", "Video")</f>
        <v/>
      </c>
      <c r="B311" t="inlineStr">
        <is>
          <t>4:54</t>
        </is>
      </c>
      <c r="C311" t="inlineStr">
        <is>
          <t>a little sound bite um I asked the</t>
        </is>
      </c>
      <c r="D311">
        <f>HYPERLINK("https://www.youtube.com/watch?v=jRoS3p0WT4k&amp;t=294s", "Go to time")</f>
        <v/>
      </c>
    </row>
    <row r="312">
      <c r="A312">
        <f>HYPERLINK("https://www.youtube.com/watch?v=lY17btOZQC0", "Video")</f>
        <v/>
      </c>
      <c r="B312" t="inlineStr">
        <is>
          <t>0:09</t>
        </is>
      </c>
      <c r="C312" t="inlineStr">
        <is>
          <t>between habits and skills, I don't.</t>
        </is>
      </c>
      <c r="D312">
        <f>HYPERLINK("https://www.youtube.com/watch?v=lY17btOZQC0&amp;t=9s", "Go to time")</f>
        <v/>
      </c>
    </row>
    <row r="313">
      <c r="A313">
        <f>HYPERLINK("https://www.youtube.com/watch?v=lY17btOZQC0", "Video")</f>
        <v/>
      </c>
      <c r="B313" t="inlineStr">
        <is>
          <t>0:21</t>
        </is>
      </c>
      <c r="C313" t="inlineStr">
        <is>
          <t>So, you want there to be a
good habit basis for a skill.</t>
        </is>
      </c>
      <c r="D313">
        <f>HYPERLINK("https://www.youtube.com/watch?v=lY17btOZQC0&amp;t=21s", "Go to time")</f>
        <v/>
      </c>
    </row>
    <row r="314">
      <c r="A314">
        <f>HYPERLINK("https://www.youtube.com/watch?v=lY17btOZQC0", "Video")</f>
        <v/>
      </c>
      <c r="B314" t="inlineStr">
        <is>
          <t>0:44</t>
        </is>
      </c>
      <c r="C314" t="inlineStr">
        <is>
          <t>habitually, automatically in a high-level,</t>
        </is>
      </c>
      <c r="D314">
        <f>HYPERLINK("https://www.youtube.com/watch?v=lY17btOZQC0&amp;t=44s", "Go to time")</f>
        <v/>
      </c>
    </row>
    <row r="315">
      <c r="A315">
        <f>HYPERLINK("https://www.youtube.com/watch?v=lY17btOZQC0", "Video")</f>
        <v/>
      </c>
      <c r="B315" t="inlineStr">
        <is>
          <t>3:11</t>
        </is>
      </c>
      <c r="C315" t="inlineStr">
        <is>
          <t>Our second self-our habits
develop as a consequence,</t>
        </is>
      </c>
      <c r="D315">
        <f>HYPERLINK("https://www.youtube.com/watch?v=lY17btOZQC0&amp;t=191s", "Go to time")</f>
        <v/>
      </c>
    </row>
    <row r="316">
      <c r="A316">
        <f>HYPERLINK("https://www.youtube.com/watch?v=V1vcyoh0_ew", "Video")</f>
        <v/>
      </c>
      <c r="B316" t="inlineStr">
        <is>
          <t>2:39</t>
        </is>
      </c>
      <c r="C316" t="inlineStr">
        <is>
          <t>and um I think we should be a little bit</t>
        </is>
      </c>
      <c r="D316">
        <f>HYPERLINK("https://www.youtube.com/watch?v=V1vcyoh0_ew&amp;t=159s", "Go to time")</f>
        <v/>
      </c>
    </row>
    <row r="317">
      <c r="A317">
        <f>HYPERLINK("https://www.youtube.com/watch?v=mq10ZvZgxy4", "Video")</f>
        <v/>
      </c>
      <c r="B317" t="inlineStr">
        <is>
          <t>1:44</t>
        </is>
      </c>
      <c r="C317" t="inlineStr">
        <is>
          <t>Because it's hard you're actually a little
bit fatigued after you do that once.</t>
        </is>
      </c>
      <c r="D317">
        <f>HYPERLINK("https://www.youtube.com/watch?v=mq10ZvZgxy4&amp;t=104s", "Go to time")</f>
        <v/>
      </c>
    </row>
    <row r="318">
      <c r="A318">
        <f>HYPERLINK("https://www.youtube.com/watch?v=mq10ZvZgxy4", "Video")</f>
        <v/>
      </c>
      <c r="B318" t="inlineStr">
        <is>
          <t>2:36</t>
        </is>
      </c>
      <c r="C318" t="inlineStr">
        <is>
          <t>And what it looks a little bit like flow or
being in the zone as an athlete.</t>
        </is>
      </c>
      <c r="D318">
        <f>HYPERLINK("https://www.youtube.com/watch?v=mq10ZvZgxy4&amp;t=156s", "Go to time")</f>
        <v/>
      </c>
    </row>
    <row r="319">
      <c r="A319">
        <f>HYPERLINK("https://www.youtube.com/watch?v=ItR0M69fMnQ", "Video")</f>
        <v/>
      </c>
      <c r="B319" t="inlineStr">
        <is>
          <t>3:32</t>
        </is>
      </c>
      <c r="C319" t="inlineStr">
        <is>
          <t>if they're ambitious they're all</t>
        </is>
      </c>
      <c r="D319">
        <f>HYPERLINK("https://www.youtube.com/watch?v=ItR0M69fMnQ&amp;t=212s", "Go to time")</f>
        <v/>
      </c>
    </row>
    <row r="320">
      <c r="A320">
        <f>HYPERLINK("https://www.youtube.com/watch?v=hByJBdQXjXU", "Video")</f>
        <v/>
      </c>
      <c r="B320" t="inlineStr">
        <is>
          <t>2:03</t>
        </is>
      </c>
      <c r="C320" t="inlineStr">
        <is>
          <t>well making their their orbits and the</t>
        </is>
      </c>
      <c r="D320">
        <f>HYPERLINK("https://www.youtube.com/watch?v=hByJBdQXjXU&amp;t=123s", "Go to time")</f>
        <v/>
      </c>
    </row>
    <row r="321">
      <c r="A321">
        <f>HYPERLINK("https://www.youtube.com/watch?v=hByJBdQXjXU", "Video")</f>
        <v/>
      </c>
      <c r="B321" t="inlineStr">
        <is>
          <t>3:46</t>
        </is>
      </c>
      <c r="C321" t="inlineStr">
        <is>
          <t>account then gives us a bit of a problem</t>
        </is>
      </c>
      <c r="D321">
        <f>HYPERLINK("https://www.youtube.com/watch?v=hByJBdQXjXU&amp;t=226s", "Go to time")</f>
        <v/>
      </c>
    </row>
    <row r="322">
      <c r="A322">
        <f>HYPERLINK("https://www.youtube.com/watch?v=hByJBdQXjXU", "Video")</f>
        <v/>
      </c>
      <c r="B322" t="inlineStr">
        <is>
          <t>4:08</t>
        </is>
      </c>
      <c r="C322" t="inlineStr">
        <is>
          <t>bit um so people have studied uh the</t>
        </is>
      </c>
      <c r="D322">
        <f>HYPERLINK("https://www.youtube.com/watch?v=hByJBdQXjXU&amp;t=248s", "Go to time")</f>
        <v/>
      </c>
    </row>
    <row r="323">
      <c r="A323">
        <f>HYPERLINK("https://www.youtube.com/watch?v=hByJBdQXjXU", "Video")</f>
        <v/>
      </c>
      <c r="B323" t="inlineStr">
        <is>
          <t>8:05</t>
        </is>
      </c>
      <c r="C323" t="inlineStr">
        <is>
          <t>I think that will influence a little bit</t>
        </is>
      </c>
      <c r="D323">
        <f>HYPERLINK("https://www.youtube.com/watch?v=hByJBdQXjXU&amp;t=485s", "Go to time")</f>
        <v/>
      </c>
    </row>
    <row r="324">
      <c r="A324">
        <f>HYPERLINK("https://www.youtube.com/watch?v=sjar64qViK0", "Video")</f>
        <v/>
      </c>
      <c r="B324" t="inlineStr">
        <is>
          <t>0:32</t>
        </is>
      </c>
      <c r="C324" t="inlineStr">
        <is>
          <t>they normally drink. So there's a lot of wine
out there and some people have a little bit</t>
        </is>
      </c>
      <c r="D324">
        <f>HYPERLINK("https://www.youtube.com/watch?v=sjar64qViK0&amp;t=32s", "Go to time")</f>
        <v/>
      </c>
    </row>
    <row r="325">
      <c r="A325">
        <f>HYPERLINK("https://www.youtube.com/watch?v=T_lEMcVqJRY", "Video")</f>
        <v/>
      </c>
      <c r="B325" t="inlineStr">
        <is>
          <t>2:55</t>
        </is>
      </c>
      <c r="C325" t="inlineStr">
        <is>
          <t>antiviral drugs where we can inhibit a</t>
        </is>
      </c>
      <c r="D325">
        <f>HYPERLINK("https://www.youtube.com/watch?v=T_lEMcVqJRY&amp;t=175s", "Go to time")</f>
        <v/>
      </c>
    </row>
    <row r="326">
      <c r="A326">
        <f>HYPERLINK("https://www.youtube.com/watch?v=T_lEMcVqJRY", "Video")</f>
        <v/>
      </c>
      <c r="B326" t="inlineStr">
        <is>
          <t>12:10</t>
        </is>
      </c>
      <c r="C326" t="inlineStr">
        <is>
          <t>might sound a little bit far-fetched</t>
        </is>
      </c>
      <c r="D326">
        <f>HYPERLINK("https://www.youtube.com/watch?v=T_lEMcVqJRY&amp;t=730s", "Go to time")</f>
        <v/>
      </c>
    </row>
    <row r="327">
      <c r="A327">
        <f>HYPERLINK("https://www.youtube.com/watch?v=3xvKkvdAzYs", "Video")</f>
        <v/>
      </c>
      <c r="B327" t="inlineStr">
        <is>
          <t>5:18</t>
        </is>
      </c>
      <c r="C327" t="inlineStr">
        <is>
          <t>beginning to understand a little bit</t>
        </is>
      </c>
      <c r="D327">
        <f>HYPERLINK("https://www.youtube.com/watch?v=3xvKkvdAzYs&amp;t=318s", "Go to time")</f>
        <v/>
      </c>
    </row>
    <row r="328">
      <c r="A328">
        <f>HYPERLINK("https://www.youtube.com/watch?v=3xvKkvdAzYs", "Video")</f>
        <v/>
      </c>
      <c r="B328" t="inlineStr">
        <is>
          <t>24:58</t>
        </is>
      </c>
      <c r="C328" t="inlineStr">
        <is>
          <t>that a little bit and there are a whole</t>
        </is>
      </c>
      <c r="D328">
        <f>HYPERLINK("https://www.youtube.com/watch?v=3xvKkvdAzYs&amp;t=1498s", "Go to time")</f>
        <v/>
      </c>
    </row>
    <row r="329">
      <c r="A329">
        <f>HYPERLINK("https://www.youtube.com/watch?v=3xvKkvdAzYs", "Video")</f>
        <v/>
      </c>
      <c r="B329" t="inlineStr">
        <is>
          <t>35:13</t>
        </is>
      </c>
      <c r="C329" t="inlineStr">
        <is>
          <t>little bit and they can present it to</t>
        </is>
      </c>
      <c r="D329">
        <f>HYPERLINK("https://www.youtube.com/watch?v=3xvKkvdAzYs&amp;t=2113s", "Go to time")</f>
        <v/>
      </c>
    </row>
    <row r="330">
      <c r="A330">
        <f>HYPERLINK("https://www.youtube.com/watch?v=3xvKkvdAzYs", "Video")</f>
        <v/>
      </c>
      <c r="B330" t="inlineStr">
        <is>
          <t>37:03</t>
        </is>
      </c>
      <c r="C330" t="inlineStr">
        <is>
          <t>can speak to with a little bit of</t>
        </is>
      </c>
      <c r="D330">
        <f>HYPERLINK("https://www.youtube.com/watch?v=3xvKkvdAzYs&amp;t=2223s", "Go to time")</f>
        <v/>
      </c>
    </row>
    <row r="331">
      <c r="A331">
        <f>HYPERLINK("https://www.youtube.com/watch?v=3xvKkvdAzYs", "Video")</f>
        <v/>
      </c>
      <c r="B331" t="inlineStr">
        <is>
          <t>44:21</t>
        </is>
      </c>
      <c r="C331" t="inlineStr">
        <is>
          <t>pick you can spend a little bit more</t>
        </is>
      </c>
      <c r="D331">
        <f>HYPERLINK("https://www.youtube.com/watch?v=3xvKkvdAzYs&amp;t=2661s", "Go to time")</f>
        <v/>
      </c>
    </row>
    <row r="332">
      <c r="A332">
        <f>HYPERLINK("https://www.youtube.com/watch?v=3xvKkvdAzYs", "Video")</f>
        <v/>
      </c>
      <c r="B332" t="inlineStr">
        <is>
          <t>44:51</t>
        </is>
      </c>
      <c r="C332" t="inlineStr">
        <is>
          <t>go home do a little bit of research and</t>
        </is>
      </c>
      <c r="D332">
        <f>HYPERLINK("https://www.youtube.com/watch?v=3xvKkvdAzYs&amp;t=2691s", "Go to time")</f>
        <v/>
      </c>
    </row>
    <row r="333">
      <c r="A333">
        <f>HYPERLINK("https://www.youtube.com/watch?v=9e-ugLMgfT4", "Video")</f>
        <v/>
      </c>
      <c r="B333" t="inlineStr">
        <is>
          <t>2:13</t>
        </is>
      </c>
      <c r="C333" t="inlineStr">
        <is>
          <t>that said oh it's a bit Brash to say</t>
        </is>
      </c>
      <c r="D333">
        <f>HYPERLINK("https://www.youtube.com/watch?v=9e-ugLMgfT4&amp;t=133s", "Go to time")</f>
        <v/>
      </c>
    </row>
    <row r="334">
      <c r="A334">
        <f>HYPERLINK("https://www.youtube.com/watch?v=9e-ugLMgfT4", "Video")</f>
        <v/>
      </c>
      <c r="B334" t="inlineStr">
        <is>
          <t>2:15</t>
        </is>
      </c>
      <c r="C334" t="inlineStr">
        <is>
          <t>it's a bit UNC Canadian it's a bit too</t>
        </is>
      </c>
      <c r="D334">
        <f>HYPERLINK("https://www.youtube.com/watch?v=9e-ugLMgfT4&amp;t=135s", "Go to time")</f>
        <v/>
      </c>
    </row>
    <row r="335">
      <c r="A335">
        <f>HYPERLINK("https://www.youtube.com/watch?v=9e-ugLMgfT4", "Video")</f>
        <v/>
      </c>
      <c r="B335" t="inlineStr">
        <is>
          <t>2:38</t>
        </is>
      </c>
      <c r="C335" t="inlineStr">
        <is>
          <t>little bit so I can just snuggle up to</t>
        </is>
      </c>
      <c r="D335">
        <f>HYPERLINK("https://www.youtube.com/watch?v=9e-ugLMgfT4&amp;t=158s", "Go to time")</f>
        <v/>
      </c>
    </row>
    <row r="336">
      <c r="A336">
        <f>HYPERLINK("https://www.youtube.com/watch?v=9e-ugLMgfT4", "Video")</f>
        <v/>
      </c>
      <c r="B336" t="inlineStr">
        <is>
          <t>3:11</t>
        </is>
      </c>
      <c r="C336" t="inlineStr">
        <is>
          <t>it's taking a bit of time to think this</t>
        </is>
      </c>
      <c r="D336">
        <f>HYPERLINK("https://www.youtube.com/watch?v=9e-ugLMgfT4&amp;t=191s", "Go to time")</f>
        <v/>
      </c>
    </row>
    <row r="337">
      <c r="A337">
        <f>HYPERLINK("https://www.youtube.com/watch?v=9e-ugLMgfT4", "Video")</f>
        <v/>
      </c>
      <c r="B337" t="inlineStr">
        <is>
          <t>3:16</t>
        </is>
      </c>
      <c r="C337" t="inlineStr">
        <is>
          <t>bit about it this this turnip its likes</t>
        </is>
      </c>
      <c r="D337">
        <f>HYPERLINK("https://www.youtube.com/watch?v=9e-ugLMgfT4&amp;t=196s", "Go to time")</f>
        <v/>
      </c>
    </row>
    <row r="338">
      <c r="A338">
        <f>HYPERLINK("https://www.youtube.com/watch?v=9e-ugLMgfT4", "Video")</f>
        <v/>
      </c>
      <c r="B338" t="inlineStr">
        <is>
          <t>3:37</t>
        </is>
      </c>
      <c r="C338" t="inlineStr">
        <is>
          <t>looks a bit like a cabbage but but</t>
        </is>
      </c>
      <c r="D338">
        <f>HYPERLINK("https://www.youtube.com/watch?v=9e-ugLMgfT4&amp;t=217s", "Go to time")</f>
        <v/>
      </c>
    </row>
    <row r="339">
      <c r="A339">
        <f>HYPERLINK("https://www.youtube.com/watch?v=yeRmGUAkRRY", "Video")</f>
        <v/>
      </c>
      <c r="B339" t="inlineStr">
        <is>
          <t>2:30</t>
        </is>
      </c>
      <c r="C339" t="inlineStr">
        <is>
          <t>in orbit around the Earth 
is utterly profound;</t>
        </is>
      </c>
      <c r="D339">
        <f>HYPERLINK("https://www.youtube.com/watch?v=yeRmGUAkRRY&amp;t=150s", "Go to time")</f>
        <v/>
      </c>
    </row>
    <row r="340">
      <c r="A340">
        <f>HYPERLINK("https://www.youtube.com/watch?v=yeRmGUAkRRY", "Video")</f>
        <v/>
      </c>
      <c r="B340" t="inlineStr">
        <is>
          <t>4:13</t>
        </is>
      </c>
      <c r="C340" t="inlineStr">
        <is>
          <t>who thought the sun 
orbited the Earth.</t>
        </is>
      </c>
      <c r="D340">
        <f>HYPERLINK("https://www.youtube.com/watch?v=yeRmGUAkRRY&amp;t=253s", "Go to time")</f>
        <v/>
      </c>
    </row>
    <row r="341">
      <c r="A341">
        <f>HYPERLINK("https://www.youtube.com/watch?v=dtwW6C_MKxY", "Video")</f>
        <v/>
      </c>
      <c r="B341" t="inlineStr">
        <is>
          <t>0:44</t>
        </is>
      </c>
      <c r="C341" t="inlineStr">
        <is>
          <t>technique is probably a little bit too</t>
        </is>
      </c>
      <c r="D341">
        <f>HYPERLINK("https://www.youtube.com/watch?v=dtwW6C_MKxY&amp;t=44s", "Go to time")</f>
        <v/>
      </c>
    </row>
    <row r="342">
      <c r="A342">
        <f>HYPERLINK("https://www.youtube.com/watch?v=xP_njE6sXUM", "Video")</f>
        <v/>
      </c>
      <c r="B342" t="inlineStr">
        <is>
          <t>6:07</t>
        </is>
      </c>
      <c r="C342" t="inlineStr">
        <is>
          <t>I'll sort of on the side do a little bit</t>
        </is>
      </c>
      <c r="D342">
        <f>HYPERLINK("https://www.youtube.com/watch?v=xP_njE6sXUM&amp;t=367s", "Go to time")</f>
        <v/>
      </c>
    </row>
    <row r="343">
      <c r="A343">
        <f>HYPERLINK("https://www.youtube.com/watch?v=xP_njE6sXUM", "Video")</f>
        <v/>
      </c>
      <c r="B343" t="inlineStr">
        <is>
          <t>6:18</t>
        </is>
      </c>
      <c r="C343" t="inlineStr">
        <is>
          <t>that you'll be there'll be a little bit</t>
        </is>
      </c>
      <c r="D343">
        <f>HYPERLINK("https://www.youtube.com/watch?v=xP_njE6sXUM&amp;t=378s", "Go to time")</f>
        <v/>
      </c>
    </row>
    <row r="344">
      <c r="A344">
        <f>HYPERLINK("https://www.youtube.com/watch?v=EAPXM50wy_U", "Video")</f>
        <v/>
      </c>
      <c r="B344" t="inlineStr">
        <is>
          <t>5:27</t>
        </is>
      </c>
      <c r="C344" t="inlineStr">
        <is>
          <t>when they had a bit of
computing power in their hands.</t>
        </is>
      </c>
      <c r="D344">
        <f>HYPERLINK("https://www.youtube.com/watch?v=EAPXM50wy_U&amp;t=327s", "Go to time")</f>
        <v/>
      </c>
    </row>
    <row r="345">
      <c r="A345">
        <f>HYPERLINK("https://www.youtube.com/watch?v=2I2UazlMoNo", "Video")</f>
        <v/>
      </c>
      <c r="B345" t="inlineStr">
        <is>
          <t>2:44</t>
        </is>
      </c>
      <c r="C345" t="inlineStr">
        <is>
          <t>looked a bit like Lucy might have looked</t>
        </is>
      </c>
      <c r="D345">
        <f>HYPERLINK("https://www.youtube.com/watch?v=2I2UazlMoNo&amp;t=164s", "Go to time")</f>
        <v/>
      </c>
    </row>
    <row r="346">
      <c r="A346">
        <f>HYPERLINK("https://www.youtube.com/watch?v=2I2UazlMoNo", "Video")</f>
        <v/>
      </c>
      <c r="B346" t="inlineStr">
        <is>
          <t>2:45</t>
        </is>
      </c>
      <c r="C346" t="inlineStr">
        <is>
          <t>a bit like the newly discovered fossil</t>
        </is>
      </c>
      <c r="D346">
        <f>HYPERLINK("https://www.youtube.com/watch?v=2I2UazlMoNo&amp;t=165s", "Go to time")</f>
        <v/>
      </c>
    </row>
    <row r="347">
      <c r="A347">
        <f>HYPERLINK("https://www.youtube.com/watch?v=ZBf9kQmdlvI", "Video")</f>
        <v/>
      </c>
      <c r="B347" t="inlineStr">
        <is>
          <t>1:41</t>
        </is>
      </c>
      <c r="C347" t="inlineStr">
        <is>
          <t>place uh I still go there quite a bit uh</t>
        </is>
      </c>
      <c r="D347">
        <f>HYPERLINK("https://www.youtube.com/watch?v=ZBf9kQmdlvI&amp;t=101s", "Go to time")</f>
        <v/>
      </c>
    </row>
    <row r="348">
      <c r="A348">
        <f>HYPERLINK("https://www.youtube.com/watch?v=dJ8qu1996pA", "Video")</f>
        <v/>
      </c>
      <c r="B348" t="inlineStr">
        <is>
          <t>2:38</t>
        </is>
      </c>
      <c r="C348" t="inlineStr">
        <is>
          <t>like the record labels would arbitrarily</t>
        </is>
      </c>
      <c r="D348">
        <f>HYPERLINK("https://www.youtube.com/watch?v=dJ8qu1996pA&amp;t=158s", "Go to time")</f>
        <v/>
      </c>
    </row>
    <row r="349">
      <c r="A349">
        <f>HYPERLINK("https://www.youtube.com/watch?v=kED85LOi8Ww", "Video")</f>
        <v/>
      </c>
      <c r="B349" t="inlineStr">
        <is>
          <t>2:44</t>
        </is>
      </c>
      <c r="C349" t="inlineStr">
        <is>
          <t>actually um it is a bit e-commerce it is</t>
        </is>
      </c>
      <c r="D349">
        <f>HYPERLINK("https://www.youtube.com/watch?v=kED85LOi8Ww&amp;t=164s", "Go to time")</f>
        <v/>
      </c>
    </row>
    <row r="350">
      <c r="A350">
        <f>HYPERLINK("https://www.youtube.com/watch?v=kED85LOi8Ww", "Video")</f>
        <v/>
      </c>
      <c r="B350" t="inlineStr">
        <is>
          <t>2:47</t>
        </is>
      </c>
      <c r="C350" t="inlineStr">
        <is>
          <t>a bit get people to come and play with</t>
        </is>
      </c>
      <c r="D350">
        <f>HYPERLINK("https://www.youtube.com/watch?v=kED85LOi8Ww&amp;t=167s", "Go to time")</f>
        <v/>
      </c>
    </row>
    <row r="351">
      <c r="A351">
        <f>HYPERLINK("https://www.youtube.com/watch?v=55-6FmDUjY8", "Video")</f>
        <v/>
      </c>
      <c r="B351" t="inlineStr">
        <is>
          <t>3:20</t>
        </is>
      </c>
      <c r="C351" t="inlineStr">
        <is>
          <t>life for families a little bit better</t>
        </is>
      </c>
      <c r="D351">
        <f>HYPERLINK("https://www.youtube.com/watch?v=55-6FmDUjY8&amp;t=200s", "Go to time")</f>
        <v/>
      </c>
    </row>
    <row r="352">
      <c r="A352">
        <f>HYPERLINK("https://www.youtube.com/watch?v=bysVPcKQfeY", "Video")</f>
        <v/>
      </c>
      <c r="B352" t="inlineStr">
        <is>
          <t>2:52</t>
        </is>
      </c>
      <c r="C352" t="inlineStr">
        <is>
          <t>So that's a little bit different.</t>
        </is>
      </c>
      <c r="D352">
        <f>HYPERLINK("https://www.youtube.com/watch?v=bysVPcKQfeY&amp;t=172s", "Go to time")</f>
        <v/>
      </c>
    </row>
    <row r="353">
      <c r="A353">
        <f>HYPERLINK("https://www.youtube.com/watch?v=ox5kpR0otpM", "Video")</f>
        <v/>
      </c>
      <c r="B353" t="inlineStr">
        <is>
          <t>3:56</t>
        </is>
      </c>
      <c r="C353" t="inlineStr">
        <is>
          <t>- Or maybe someone who's a
little bit more risk-tolerant.</t>
        </is>
      </c>
      <c r="D353">
        <f>HYPERLINK("https://www.youtube.com/watch?v=ox5kpR0otpM&amp;t=236s", "Go to time")</f>
        <v/>
      </c>
    </row>
    <row r="354">
      <c r="A354">
        <f>HYPERLINK("https://www.youtube.com/watch?v=328wX2x_s5g", "Video")</f>
        <v/>
      </c>
      <c r="B354" t="inlineStr">
        <is>
          <t>28:53</t>
        </is>
      </c>
      <c r="C354" t="inlineStr">
        <is>
          <t>In fact, perhaps the black is a bit more likely
to be recommended than the white one.</t>
        </is>
      </c>
      <c r="D354">
        <f>HYPERLINK("https://www.youtube.com/watch?v=328wX2x_s5g&amp;t=1733s", "Go to time")</f>
        <v/>
      </c>
    </row>
    <row r="355">
      <c r="A355">
        <f>HYPERLINK("https://www.youtube.com/watch?v=328wX2x_s5g", "Video")</f>
        <v/>
      </c>
      <c r="B355" t="inlineStr">
        <is>
          <t>36:04</t>
        </is>
      </c>
      <c r="C355" t="inlineStr">
        <is>
          <t>are quite a bit larger.</t>
        </is>
      </c>
      <c r="D355">
        <f>HYPERLINK("https://www.youtube.com/watch?v=328wX2x_s5g&amp;t=2164s", "Go to time")</f>
        <v/>
      </c>
    </row>
    <row r="356">
      <c r="A356">
        <f>HYPERLINK("https://www.youtube.com/watch?v=328wX2x_s5g", "Video")</f>
        <v/>
      </c>
      <c r="B356" t="inlineStr">
        <is>
          <t>41:05</t>
        </is>
      </c>
      <c r="C356" t="inlineStr">
        <is>
          <t>picture on the right, it tends to look a little
bit better than your average female face.</t>
        </is>
      </c>
      <c r="D356">
        <f>HYPERLINK("https://www.youtube.com/watch?v=328wX2x_s5g&amp;t=2465s", "Go to time")</f>
        <v/>
      </c>
    </row>
    <row r="357">
      <c r="A357">
        <f>HYPERLINK("https://www.youtube.com/watch?v=sYn8qf5_QIY", "Video")</f>
        <v/>
      </c>
      <c r="B357" t="inlineStr">
        <is>
          <t>7:00</t>
        </is>
      </c>
      <c r="C357" t="inlineStr">
        <is>
          <t>these little bits of logic.</t>
        </is>
      </c>
      <c r="D357">
        <f>HYPERLINK("https://www.youtube.com/watch?v=sYn8qf5_QIY&amp;t=420s", "Go to time")</f>
        <v/>
      </c>
    </row>
    <row r="358">
      <c r="A358">
        <f>HYPERLINK("https://www.youtube.com/watch?v=JaXHHcbESuc", "Video")</f>
        <v/>
      </c>
      <c r="B358" t="inlineStr">
        <is>
          <t>0:20</t>
        </is>
      </c>
      <c r="C358" t="inlineStr">
        <is>
          <t>a little bit, moving around.</t>
        </is>
      </c>
      <c r="D358">
        <f>HYPERLINK("https://www.youtube.com/watch?v=JaXHHcbESuc&amp;t=20s", "Go to time")</f>
        <v/>
      </c>
    </row>
    <row r="359">
      <c r="A359">
        <f>HYPERLINK("https://www.youtube.com/watch?v=-iWpIg6XfTw", "Video")</f>
        <v/>
      </c>
      <c r="B359" t="inlineStr">
        <is>
          <t>0:55</t>
        </is>
      </c>
      <c r="C359" t="inlineStr">
        <is>
          <t>uh we'll get a little bit of have a</t>
        </is>
      </c>
      <c r="D359">
        <f>HYPERLINK("https://www.youtube.com/watch?v=-iWpIg6XfTw&amp;t=55s", "Go to time")</f>
        <v/>
      </c>
    </row>
    <row r="360">
      <c r="A360">
        <f>HYPERLINK("https://www.youtube.com/watch?v=-iWpIg6XfTw", "Video")</f>
        <v/>
      </c>
      <c r="B360" t="inlineStr">
        <is>
          <t>1:23</t>
        </is>
      </c>
      <c r="C360" t="inlineStr">
        <is>
          <t>run the Gambit uh we we try to be very</t>
        </is>
      </c>
      <c r="D360">
        <f>HYPERLINK("https://www.youtube.com/watch?v=-iWpIg6XfTw&amp;t=83s", "Go to time")</f>
        <v/>
      </c>
    </row>
    <row r="361">
      <c r="A361">
        <f>HYPERLINK("https://www.youtube.com/watch?v=VAaBpr0v3HQ", "Video")</f>
        <v/>
      </c>
      <c r="B361" t="inlineStr">
        <is>
          <t>3:19</t>
        </is>
      </c>
      <c r="C361" t="inlineStr">
        <is>
          <t>If you start to look a little
bit deeper beyond self-report,</t>
        </is>
      </c>
      <c r="D361">
        <f>HYPERLINK("https://www.youtube.com/watch?v=VAaBpr0v3HQ&amp;t=199s", "Go to time")</f>
        <v/>
      </c>
    </row>
    <row r="362">
      <c r="A362">
        <f>HYPERLINK("https://www.youtube.com/watch?v=1wrUU_tV1YE", "Video")</f>
        <v/>
      </c>
      <c r="B362" t="inlineStr">
        <is>
          <t>2:08</t>
        </is>
      </c>
      <c r="C362" t="inlineStr">
        <is>
          <t>nation brings up people of “towering ambition”
– that's his word – “with a thirst and</t>
        </is>
      </c>
      <c r="D362">
        <f>HYPERLINK("https://www.youtube.com/watch?v=1wrUU_tV1YE&amp;t=128s", "Go to time")</f>
        <v/>
      </c>
    </row>
    <row r="363">
      <c r="A363">
        <f>HYPERLINK("https://www.youtube.com/watch?v=1wrUU_tV1YE", "Video")</f>
        <v/>
      </c>
      <c r="B363" t="inlineStr">
        <is>
          <t>2:57</t>
        </is>
      </c>
      <c r="C363" t="inlineStr">
        <is>
          <t>people of this kind of ambition.</t>
        </is>
      </c>
      <c r="D363">
        <f>HYPERLINK("https://www.youtube.com/watch?v=1wrUU_tV1YE&amp;t=177s", "Go to time")</f>
        <v/>
      </c>
    </row>
    <row r="364">
      <c r="A364">
        <f>HYPERLINK("https://www.youtube.com/watch?v=SWJvaAv74ls", "Video")</f>
        <v/>
      </c>
      <c r="B364" t="inlineStr">
        <is>
          <t>5:38</t>
        </is>
      </c>
      <c r="C364" t="inlineStr">
        <is>
          <t>we need to think culturally,
a little bit more expansively,</t>
        </is>
      </c>
      <c r="D364">
        <f>HYPERLINK("https://www.youtube.com/watch?v=SWJvaAv74ls&amp;t=338s", "Go to time")</f>
        <v/>
      </c>
    </row>
    <row r="365">
      <c r="A365">
        <f>HYPERLINK("https://www.youtube.com/watch?v=8c-EWSmOgDc", "Video")</f>
        <v/>
      </c>
      <c r="B365" t="inlineStr">
        <is>
          <t>3:55</t>
        </is>
      </c>
      <c r="C365" t="inlineStr">
        <is>
          <t>take all these bits of DNA from living lizards,
from the—extracting information from the</t>
        </is>
      </c>
      <c r="D365">
        <f>HYPERLINK("https://www.youtube.com/watch?v=8c-EWSmOgDc&amp;t=235s", "Go to time")</f>
        <v/>
      </c>
    </row>
    <row r="366">
      <c r="A366">
        <f>HYPERLINK("https://www.youtube.com/watch?v=ozUgtzIna2E", "Video")</f>
        <v/>
      </c>
      <c r="B366" t="inlineStr">
        <is>
          <t>4:03</t>
        </is>
      </c>
      <c r="C366" t="inlineStr">
        <is>
          <t>when I'm getting pulled around and I think
we're getting pulled around quite a bit.</t>
        </is>
      </c>
      <c r="D366">
        <f>HYPERLINK("https://www.youtube.com/watch?v=ozUgtzIna2E&amp;t=243s", "Go to time")</f>
        <v/>
      </c>
    </row>
    <row r="367">
      <c r="A367">
        <f>HYPERLINK("https://www.youtube.com/watch?v=7dsSsFdKHds", "Video")</f>
        <v/>
      </c>
      <c r="B367" t="inlineStr">
        <is>
          <t>1:00</t>
        </is>
      </c>
      <c r="C367" t="inlineStr">
        <is>
          <t>ways to be irrational we exhibit lots of</t>
        </is>
      </c>
      <c r="D367">
        <f>HYPERLINK("https://www.youtube.com/watch?v=7dsSsFdKHds&amp;t=60s", "Go to time")</f>
        <v/>
      </c>
    </row>
    <row r="368">
      <c r="A368">
        <f>HYPERLINK("https://www.youtube.com/watch?v=7dsSsFdKHds", "Video")</f>
        <v/>
      </c>
      <c r="B368" t="inlineStr">
        <is>
          <t>3:06</t>
        </is>
      </c>
      <c r="C368" t="inlineStr">
        <is>
          <t>are exhibiting and of course it's always</t>
        </is>
      </c>
      <c r="D368">
        <f>HYPERLINK("https://www.youtube.com/watch?v=7dsSsFdKHds&amp;t=186s", "Go to time")</f>
        <v/>
      </c>
    </row>
    <row r="369">
      <c r="A369">
        <f>HYPERLINK("https://www.youtube.com/watch?v=7dsSsFdKHds", "Video")</f>
        <v/>
      </c>
      <c r="B369" t="inlineStr">
        <is>
          <t>3:10</t>
        </is>
      </c>
      <c r="C369" t="inlineStr">
        <is>
          <t>exhibiting irrationalities and then use</t>
        </is>
      </c>
      <c r="D369">
        <f>HYPERLINK("https://www.youtube.com/watch?v=7dsSsFdKHds&amp;t=190s", "Go to time")</f>
        <v/>
      </c>
    </row>
    <row r="370">
      <c r="A370">
        <f>HYPERLINK("https://www.youtube.com/watch?v=7dsSsFdKHds", "Video")</f>
        <v/>
      </c>
      <c r="B370" t="inlineStr">
        <is>
          <t>23:12</t>
        </is>
      </c>
      <c r="C370" t="inlineStr">
        <is>
          <t>driving liking I learn a bit more about</t>
        </is>
      </c>
      <c r="D370">
        <f>HYPERLINK("https://www.youtube.com/watch?v=7dsSsFdKHds&amp;t=1392s", "Go to time")</f>
        <v/>
      </c>
    </row>
    <row r="371">
      <c r="A371">
        <f>HYPERLINK("https://www.youtube.com/watch?v=zDNzBgGYB3k", "Video")</f>
        <v/>
      </c>
      <c r="B371" t="inlineStr">
        <is>
          <t>7:17</t>
        </is>
      </c>
      <c r="C371" t="inlineStr">
        <is>
          <t>four months it's a little bit hard to</t>
        </is>
      </c>
      <c r="D371">
        <f>HYPERLINK("https://www.youtube.com/watch?v=zDNzBgGYB3k&amp;t=437s", "Go to time")</f>
        <v/>
      </c>
    </row>
    <row r="372">
      <c r="A372">
        <f>HYPERLINK("https://www.youtube.com/watch?v=MPQB67-YKM0", "Video")</f>
        <v/>
      </c>
      <c r="B372" t="inlineStr">
        <is>
          <t>1:56</t>
        </is>
      </c>
      <c r="C372" t="inlineStr">
        <is>
          <t>Obviously the higher priced ones do a bit
more, but you can do some great basic computing</t>
        </is>
      </c>
      <c r="D372">
        <f>HYPERLINK("https://www.youtube.com/watch?v=MPQB67-YKM0&amp;t=116s", "Go to time")</f>
        <v/>
      </c>
    </row>
    <row r="373">
      <c r="A373">
        <f>HYPERLINK("https://www.youtube.com/watch?v=gzksqQDI_kE", "Video")</f>
        <v/>
      </c>
      <c r="B373" t="inlineStr">
        <is>
          <t>6:01</t>
        </is>
      </c>
      <c r="C373" t="inlineStr">
        <is>
          <t>That would be a world in which lots of the
Earth's surface might become quite uninhabitable</t>
        </is>
      </c>
      <c r="D373">
        <f>HYPERLINK("https://www.youtube.com/watch?v=gzksqQDI_kE&amp;t=361s", "Go to time")</f>
        <v/>
      </c>
    </row>
    <row r="374">
      <c r="A374">
        <f>HYPERLINK("https://www.youtube.com/watch?v=gzksqQDI_kE", "Video")</f>
        <v/>
      </c>
      <c r="B374" t="inlineStr">
        <is>
          <t>7:37</t>
        </is>
      </c>
      <c r="C374" t="inlineStr">
        <is>
          <t>heat waves, much bigger storms are really
very serious dangers for the habitability</t>
        </is>
      </c>
      <c r="D374">
        <f>HYPERLINK("https://www.youtube.com/watch?v=gzksqQDI_kE&amp;t=457s", "Go to time")</f>
        <v/>
      </c>
    </row>
    <row r="375">
      <c r="A375">
        <f>HYPERLINK("https://www.youtube.com/watch?v=gzksqQDI_kE", "Video")</f>
        <v/>
      </c>
      <c r="B375" t="inlineStr">
        <is>
          <t>13:12</t>
        </is>
      </c>
      <c r="C375" t="inlineStr">
        <is>
          <t>still a little bit bound by the earlier perspective
that we'd have to forego economic growth to</t>
        </is>
      </c>
      <c r="D375">
        <f>HYPERLINK("https://www.youtube.com/watch?v=gzksqQDI_kE&amp;t=792s", "Go to time")</f>
        <v/>
      </c>
    </row>
    <row r="376">
      <c r="A376">
        <f>HYPERLINK("https://www.youtube.com/watch?v=Ttl47rss9Rk", "Video")</f>
        <v/>
      </c>
      <c r="B376" t="inlineStr">
        <is>
          <t>1:09</t>
        </is>
      </c>
      <c r="C376" t="inlineStr">
        <is>
          <t>So the world of bits and atoms emerged where
just how much of our lives was made of bits.</t>
        </is>
      </c>
      <c r="D376">
        <f>HYPERLINK("https://www.youtube.com/watch?v=Ttl47rss9Rk&amp;t=69s", "Go to time")</f>
        <v/>
      </c>
    </row>
    <row r="377">
      <c r="A377">
        <f>HYPERLINK("https://www.youtube.com/watch?v=Ttl47rss9Rk", "Video")</f>
        <v/>
      </c>
      <c r="B377" t="inlineStr">
        <is>
          <t>1:17</t>
        </is>
      </c>
      <c r="C377" t="inlineStr">
        <is>
          <t>And most people don’t realize that the word
bit didn’t even exist in 1949.</t>
        </is>
      </c>
      <c r="D377">
        <f>HYPERLINK("https://www.youtube.com/watch?v=Ttl47rss9Rk&amp;t=77s", "Go to time")</f>
        <v/>
      </c>
    </row>
    <row r="378">
      <c r="A378">
        <f>HYPERLINK("https://www.youtube.com/watch?v=Ttl47rss9Rk", "Video")</f>
        <v/>
      </c>
      <c r="B378" t="inlineStr">
        <is>
          <t>1:35</t>
        </is>
      </c>
      <c r="C378" t="inlineStr">
        <is>
          <t>And we never thought of bits and atoms as
related that you could convert something from</t>
        </is>
      </c>
      <c r="D378">
        <f>HYPERLINK("https://www.youtube.com/watch?v=Ttl47rss9Rk&amp;t=95s", "Go to time")</f>
        <v/>
      </c>
    </row>
    <row r="379">
      <c r="A379">
        <f>HYPERLINK("https://www.youtube.com/watch?v=Ttl47rss9Rk", "Video")</f>
        <v/>
      </c>
      <c r="B379" t="inlineStr">
        <is>
          <t>1:49</t>
        </is>
      </c>
      <c r="C379" t="inlineStr">
        <is>
          <t>and you transmit a part as bits and then it
gets created, it’s just again part of that</t>
        </is>
      </c>
      <c r="D379">
        <f>HYPERLINK("https://www.youtube.com/watch?v=Ttl47rss9Rk&amp;t=109s", "Go to time")</f>
        <v/>
      </c>
    </row>
    <row r="380">
      <c r="A380">
        <f>HYPERLINK("https://www.youtube.com/watch?v=Ttl47rss9Rk", "Video")</f>
        <v/>
      </c>
      <c r="B380" t="inlineStr">
        <is>
          <t>1:55</t>
        </is>
      </c>
      <c r="C380" t="inlineStr">
        <is>
          <t>same chain that has to do with the mixture
of bits and atoms and the transition from</t>
        </is>
      </c>
      <c r="D380">
        <f>HYPERLINK("https://www.youtube.com/watch?v=Ttl47rss9Rk&amp;t=115s", "Go to time")</f>
        <v/>
      </c>
    </row>
    <row r="381">
      <c r="A381">
        <f>HYPERLINK("https://www.youtube.com/watch?v=Ttl47rss9Rk", "Video")</f>
        <v/>
      </c>
      <c r="B381" t="inlineStr">
        <is>
          <t>2:01</t>
        </is>
      </c>
      <c r="C381" t="inlineStr">
        <is>
          <t>a world dominated by atoms to a world dominated
by bits.</t>
        </is>
      </c>
      <c r="D381">
        <f>HYPERLINK("https://www.youtube.com/watch?v=Ttl47rss9Rk&amp;t=121s", "Go to time")</f>
        <v/>
      </c>
    </row>
    <row r="382">
      <c r="A382">
        <f>HYPERLINK("https://www.youtube.com/watch?v=Ttl47rss9Rk", "Video")</f>
        <v/>
      </c>
      <c r="B382" t="inlineStr">
        <is>
          <t>2:25</t>
        </is>
      </c>
      <c r="C382" t="inlineStr">
        <is>
          <t>Back – whether it was a river, whether it
was a mountain, whether it was an arbitrary</t>
        </is>
      </c>
      <c r="D382">
        <f>HYPERLINK("https://www.youtube.com/watch?v=Ttl47rss9Rk&amp;t=145s", "Go to time")</f>
        <v/>
      </c>
    </row>
    <row r="383">
      <c r="A383">
        <f>HYPERLINK("https://www.youtube.com/watch?v=Ttl47rss9Rk", "Video")</f>
        <v/>
      </c>
      <c r="B383" t="inlineStr">
        <is>
          <t>3:03</t>
        </is>
      </c>
      <c r="C383" t="inlineStr">
        <is>
          <t>The term net neutrality has a little bit of
a pejorative ring.</t>
        </is>
      </c>
      <c r="D383">
        <f>HYPERLINK("https://www.youtube.com/watch?v=Ttl47rss9Rk&amp;t=183s", "Go to time")</f>
        <v/>
      </c>
    </row>
    <row r="384">
      <c r="A384">
        <f>HYPERLINK("https://www.youtube.com/watch?v=Ttl47rss9Rk", "Video")</f>
        <v/>
      </c>
      <c r="B384" t="inlineStr">
        <is>
          <t>3:23</t>
        </is>
      </c>
      <c r="C384" t="inlineStr">
        <is>
          <t>But the truth is all bits are not created
equal.</t>
        </is>
      </c>
      <c r="D384">
        <f>HYPERLINK("https://www.youtube.com/watch?v=Ttl47rss9Rk&amp;t=203s", "Go to time")</f>
        <v/>
      </c>
    </row>
    <row r="385">
      <c r="A385">
        <f>HYPERLINK("https://www.youtube.com/watch?v=Ttl47rss9Rk", "Video")</f>
        <v/>
      </c>
      <c r="B385" t="inlineStr">
        <is>
          <t>4:05</t>
        </is>
      </c>
      <c r="C385" t="inlineStr">
        <is>
          <t>Then a few bits of your heart data are, you
know, a small fraction of a book.</t>
        </is>
      </c>
      <c r="D385">
        <f>HYPERLINK("https://www.youtube.com/watch?v=Ttl47rss9Rk&amp;t=245s", "Go to time")</f>
        <v/>
      </c>
    </row>
    <row r="386">
      <c r="A386">
        <f>HYPERLINK("https://www.youtube.com/watch?v=Ttl47rss9Rk", "Video")</f>
        <v/>
      </c>
      <c r="B386" t="inlineStr">
        <is>
          <t>4:12</t>
        </is>
      </c>
      <c r="C386" t="inlineStr">
        <is>
          <t>So you have bits that represent your heart,
bits that represent books and bits that represent</t>
        </is>
      </c>
      <c r="D386">
        <f>HYPERLINK("https://www.youtube.com/watch?v=Ttl47rss9Rk&amp;t=252s", "Go to time")</f>
        <v/>
      </c>
    </row>
    <row r="387">
      <c r="A387">
        <f>HYPERLINK("https://www.youtube.com/watch?v=Ttl47rss9Rk", "Video")</f>
        <v/>
      </c>
      <c r="B387" t="inlineStr">
        <is>
          <t>4:57</t>
        </is>
      </c>
      <c r="C387" t="inlineStr">
        <is>
          <t>But the point being that all bits aren’t
created equal and whether that resolves itself</t>
        </is>
      </c>
      <c r="D387">
        <f>HYPERLINK("https://www.youtube.com/watch?v=Ttl47rss9Rk&amp;t=297s", "Go to time")</f>
        <v/>
      </c>
    </row>
    <row r="388">
      <c r="A388">
        <f>HYPERLINK("https://www.youtube.com/watch?v=Ttl47rss9Rk", "Video")</f>
        <v/>
      </c>
      <c r="B388" t="inlineStr">
        <is>
          <t>5:07</t>
        </is>
      </c>
      <c r="C388" t="inlineStr">
        <is>
          <t>in the food department you could argue that
genetics is their equivalent of bits and that</t>
        </is>
      </c>
      <c r="D388">
        <f>HYPERLINK("https://www.youtube.com/watch?v=Ttl47rss9Rk&amp;t=307s", "Go to time")</f>
        <v/>
      </c>
    </row>
    <row r="389">
      <c r="A389">
        <f>HYPERLINK("https://www.youtube.com/watch?v=Wa6mkQOe3Lc", "Video")</f>
        <v/>
      </c>
      <c r="B389" t="inlineStr">
        <is>
          <t>0:58</t>
        </is>
      </c>
      <c r="C389" t="inlineStr">
        <is>
          <t>bit more physical than what it was but</t>
        </is>
      </c>
      <c r="D389">
        <f>HYPERLINK("https://www.youtube.com/watch?v=Wa6mkQOe3Lc&amp;t=58s", "Go to time")</f>
        <v/>
      </c>
    </row>
    <row r="390">
      <c r="A390">
        <f>HYPERLINK("https://www.youtube.com/watch?v=Wa6mkQOe3Lc", "Video")</f>
        <v/>
      </c>
      <c r="B390" t="inlineStr">
        <is>
          <t>4:10</t>
        </is>
      </c>
      <c r="C390" t="inlineStr">
        <is>
          <t>here in a little bit the locals were</t>
        </is>
      </c>
      <c r="D390">
        <f>HYPERLINK("https://www.youtube.com/watch?v=Wa6mkQOe3Lc&amp;t=250s", "Go to time")</f>
        <v/>
      </c>
    </row>
    <row r="391">
      <c r="A391">
        <f>HYPERLINK("https://www.youtube.com/watch?v=d0I7XjPHlkI", "Video")</f>
        <v/>
      </c>
      <c r="B391" t="inlineStr">
        <is>
          <t>0:51</t>
        </is>
      </c>
      <c r="C391" t="inlineStr">
        <is>
          <t>Bit that guard in the leg.</t>
        </is>
      </c>
      <c r="D391">
        <f>HYPERLINK("https://www.youtube.com/watch?v=d0I7XjPHlkI&amp;t=51s", "Go to time")</f>
        <v/>
      </c>
    </row>
    <row r="392">
      <c r="A392">
        <f>HYPERLINK("https://www.youtube.com/watch?v=A6QUpq0uJSw", "Video")</f>
        <v/>
      </c>
      <c r="B392" t="inlineStr">
        <is>
          <t>2:45</t>
        </is>
      </c>
      <c r="C392" t="inlineStr">
        <is>
          <t>become a bit of an expert on it um so</t>
        </is>
      </c>
      <c r="D392">
        <f>HYPERLINK("https://www.youtube.com/watch?v=A6QUpq0uJSw&amp;t=165s", "Go to time")</f>
        <v/>
      </c>
    </row>
    <row r="393">
      <c r="A393">
        <f>HYPERLINK("https://www.youtube.com/watch?v=ywp4vaFJASE", "Video")</f>
        <v/>
      </c>
      <c r="B393" t="inlineStr">
        <is>
          <t>2:37</t>
        </is>
      </c>
      <c r="C393" t="inlineStr">
        <is>
          <t>You might call it ambition or just a drive
for excellence and being in love with my job.</t>
        </is>
      </c>
      <c r="D393">
        <f>HYPERLINK("https://www.youtube.com/watch?v=ywp4vaFJASE&amp;t=157s", "Go to time")</f>
        <v/>
      </c>
    </row>
    <row r="394">
      <c r="A394">
        <f>HYPERLINK("https://www.youtube.com/watch?v=_uNP0lvq3DY", "Video")</f>
        <v/>
      </c>
      <c r="B394" t="inlineStr">
        <is>
          <t>1:22</t>
        </is>
      </c>
      <c r="C394" t="inlineStr">
        <is>
          <t>Contrary to the popular image, I think, that
many people have of Bach as being a bit kind</t>
        </is>
      </c>
      <c r="D394">
        <f>HYPERLINK("https://www.youtube.com/watch?v=_uNP0lvq3DY&amp;t=82s", "Go to time")</f>
        <v/>
      </c>
    </row>
    <row r="395">
      <c r="A395">
        <f>HYPERLINK("https://www.youtube.com/watch?v=wBmKNMW5Yzw", "Video")</f>
        <v/>
      </c>
      <c r="B395" t="inlineStr">
        <is>
          <t>0:23</t>
        </is>
      </c>
      <c r="C395" t="inlineStr">
        <is>
          <t>foundational American ambition and that</t>
        </is>
      </c>
      <c r="D395">
        <f>HYPERLINK("https://www.youtube.com/watch?v=wBmKNMW5Yzw&amp;t=23s", "Go to time")</f>
        <v/>
      </c>
    </row>
    <row r="396">
      <c r="A396">
        <f>HYPERLINK("https://www.youtube.com/watch?v=vM6rvequsz4", "Video")</f>
        <v/>
      </c>
      <c r="B396" t="inlineStr">
        <is>
          <t>1:15</t>
        </is>
      </c>
      <c r="C396" t="inlineStr">
        <is>
          <t>habitat it might actually be</t>
        </is>
      </c>
      <c r="D396">
        <f>HYPERLINK("https://www.youtube.com/watch?v=vM6rvequsz4&amp;t=75s", "Go to time")</f>
        <v/>
      </c>
    </row>
    <row r="397">
      <c r="A397">
        <f>HYPERLINK("https://www.youtube.com/watch?v=0eQc_Dj1ASc", "Video")</f>
        <v/>
      </c>
      <c r="B397" t="inlineStr">
        <is>
          <t>5:28</t>
        </is>
      </c>
      <c r="C397" t="inlineStr">
        <is>
          <t>You need to be able to manipulate bits of
food like plucking free a piece of fruit.</t>
        </is>
      </c>
      <c r="D397">
        <f>HYPERLINK("https://www.youtube.com/watch?v=0eQc_Dj1ASc&amp;t=328s", "Go to time")</f>
        <v/>
      </c>
    </row>
    <row r="398">
      <c r="A398">
        <f>HYPERLINK("https://www.youtube.com/watch?v=0eQc_Dj1ASc", "Video")</f>
        <v/>
      </c>
      <c r="B398" t="inlineStr">
        <is>
          <t>9:00</t>
        </is>
      </c>
      <c r="C398" t="inlineStr">
        <is>
          <t>We've now discovered there are lots of what
are called habitable exoplanets.</t>
        </is>
      </c>
      <c r="D398">
        <f>HYPERLINK("https://www.youtube.com/watch?v=0eQc_Dj1ASc&amp;t=540s", "Go to time")</f>
        <v/>
      </c>
    </row>
    <row r="399">
      <c r="A399">
        <f>HYPERLINK("https://www.youtube.com/watch?v=IoubVUSk7h0", "Video")</f>
        <v/>
      </c>
      <c r="B399" t="inlineStr">
        <is>
          <t>5:05</t>
        </is>
      </c>
      <c r="C399" t="inlineStr">
        <is>
          <t>So it’s a little bit hazy and not clearly
outlined, and that gives rise to the ambiguity.</t>
        </is>
      </c>
      <c r="D399">
        <f>HYPERLINK("https://www.youtube.com/watch?v=IoubVUSk7h0&amp;t=305s", "Go to time")</f>
        <v/>
      </c>
    </row>
    <row r="400">
      <c r="A400">
        <f>HYPERLINK("https://www.youtube.com/watch?v=-F6ZCx37JaQ", "Video")</f>
        <v/>
      </c>
      <c r="B400" t="inlineStr">
        <is>
          <t>2:16</t>
        </is>
      </c>
      <c r="C400" t="inlineStr">
        <is>
          <t>enough for his tuition and a little bit of
his rent.</t>
        </is>
      </c>
      <c r="D400">
        <f>HYPERLINK("https://www.youtube.com/watch?v=-F6ZCx37JaQ&amp;t=136s", "Go to time")</f>
        <v/>
      </c>
    </row>
    <row r="401">
      <c r="A401">
        <f>HYPERLINK("https://www.youtube.com/watch?v=LXsfj7Rtfh8", "Video")</f>
        <v/>
      </c>
      <c r="B401" t="inlineStr">
        <is>
          <t>2:03</t>
        </is>
      </c>
      <c r="C401" t="inlineStr">
        <is>
          <t>box a bit to see if there are other ways</t>
        </is>
      </c>
      <c r="D401">
        <f>HYPERLINK("https://www.youtube.com/watch?v=LXsfj7Rtfh8&amp;t=123s", "Go to time")</f>
        <v/>
      </c>
    </row>
    <row r="402">
      <c r="A402">
        <f>HYPERLINK("https://www.youtube.com/watch?v=LXsfj7Rtfh8", "Video")</f>
        <v/>
      </c>
      <c r="B402" t="inlineStr">
        <is>
          <t>4:48</t>
        </is>
      </c>
      <c r="C402" t="inlineStr">
        <is>
          <t>life will pop up and inhabit it we don't</t>
        </is>
      </c>
      <c r="D402">
        <f>HYPERLINK("https://www.youtube.com/watch?v=LXsfj7Rtfh8&amp;t=288s", "Go to time")</f>
        <v/>
      </c>
    </row>
    <row r="403">
      <c r="A403">
        <f>HYPERLINK("https://www.youtube.com/watch?v=Fq_zKRqyCNU", "Video")</f>
        <v/>
      </c>
      <c r="B403" t="inlineStr">
        <is>
          <t>0:04</t>
        </is>
      </c>
      <c r="C403" t="inlineStr">
        <is>
          <t>- Most habits are good.</t>
        </is>
      </c>
      <c r="D403">
        <f>HYPERLINK("https://www.youtube.com/watch?v=Fq_zKRqyCNU&amp;t=4s", "Go to time")</f>
        <v/>
      </c>
    </row>
    <row r="404">
      <c r="A404">
        <f>HYPERLINK("https://www.youtube.com/watch?v=Fq_zKRqyCNU", "Video")</f>
        <v/>
      </c>
      <c r="B404" t="inlineStr">
        <is>
          <t>0:24</t>
        </is>
      </c>
      <c r="C404" t="inlineStr">
        <is>
          <t>We just see the effects of our habits,</t>
        </is>
      </c>
      <c r="D404">
        <f>HYPERLINK("https://www.youtube.com/watch?v=Fq_zKRqyCNU&amp;t=24s", "Go to time")</f>
        <v/>
      </c>
    </row>
    <row r="405">
      <c r="A405">
        <f>HYPERLINK("https://www.youtube.com/watch?v=Fq_zKRqyCNU", "Video")</f>
        <v/>
      </c>
      <c r="B405" t="inlineStr">
        <is>
          <t>1:01</t>
        </is>
      </c>
      <c r="C405" t="inlineStr">
        <is>
          <t>are out of habit instead of out of choice.</t>
        </is>
      </c>
      <c r="D405">
        <f>HYPERLINK("https://www.youtube.com/watch?v=Fq_zKRqyCNU&amp;t=61s", "Go to time")</f>
        <v/>
      </c>
    </row>
    <row r="406">
      <c r="A406">
        <f>HYPERLINK("https://www.youtube.com/watch?v=Fq_zKRqyCNU", "Video")</f>
        <v/>
      </c>
      <c r="B406" t="inlineStr">
        <is>
          <t>1:50</t>
        </is>
      </c>
      <c r="C406" t="inlineStr">
        <is>
          <t>The campaign did not
change people's habits.</t>
        </is>
      </c>
      <c r="D406">
        <f>HYPERLINK("https://www.youtube.com/watch?v=Fq_zKRqyCNU&amp;t=110s", "Go to time")</f>
        <v/>
      </c>
    </row>
    <row r="407">
      <c r="A407">
        <f>HYPERLINK("https://www.youtube.com/watch?v=Fq_zKRqyCNU", "Video")</f>
        <v/>
      </c>
      <c r="B407" t="inlineStr">
        <is>
          <t>1:56</t>
        </is>
      </c>
      <c r="C407" t="inlineStr">
        <is>
          <t>So the habit is a default.</t>
        </is>
      </c>
      <c r="D407">
        <f>HYPERLINK("https://www.youtube.com/watch?v=Fq_zKRqyCNU&amp;t=116s", "Go to time")</f>
        <v/>
      </c>
    </row>
    <row r="408">
      <c r="A408">
        <f>HYPERLINK("https://www.youtube.com/watch?v=Fq_zKRqyCNU", "Video")</f>
        <v/>
      </c>
      <c r="B408" t="inlineStr">
        <is>
          <t>2:06</t>
        </is>
      </c>
      <c r="C408" t="inlineStr">
        <is>
          <t>Again, you have this
'habit self' out here,</t>
        </is>
      </c>
      <c r="D408">
        <f>HYPERLINK("https://www.youtube.com/watch?v=Fq_zKRqyCNU&amp;t=126s", "Go to time")</f>
        <v/>
      </c>
    </row>
    <row r="409">
      <c r="A409">
        <f>HYPERLINK("https://www.youtube.com/watch?v=Fq_zKRqyCNU", "Video")</f>
        <v/>
      </c>
      <c r="B409" t="inlineStr">
        <is>
          <t>2:25</t>
        </is>
      </c>
      <c r="C409" t="inlineStr">
        <is>
          <t>The habit system is not part
of our conscious awareness;</t>
        </is>
      </c>
      <c r="D409">
        <f>HYPERLINK("https://www.youtube.com/watch?v=Fq_zKRqyCNU&amp;t=145s", "Go to time")</f>
        <v/>
      </c>
    </row>
    <row r="410">
      <c r="A410">
        <f>HYPERLINK("https://www.youtube.com/watch?v=Fq_zKRqyCNU", "Video")</f>
        <v/>
      </c>
      <c r="B410" t="inlineStr">
        <is>
          <t>2:52</t>
        </is>
      </c>
      <c r="C410" t="inlineStr">
        <is>
          <t>So we have habits to do one thing</t>
        </is>
      </c>
      <c r="D410">
        <f>HYPERLINK("https://www.youtube.com/watch?v=Fq_zKRqyCNU&amp;t=172s", "Go to time")</f>
        <v/>
      </c>
    </row>
    <row r="411">
      <c r="A411">
        <f>HYPERLINK("https://www.youtube.com/watch?v=Fq_zKRqyCNU", "Video")</f>
        <v/>
      </c>
      <c r="B411" t="inlineStr">
        <is>
          <t>3:11</t>
        </is>
      </c>
      <c r="C411" t="inlineStr">
        <is>
          <t>your habits and your more
conscious, 'thoughtful self'</t>
        </is>
      </c>
      <c r="D411">
        <f>HYPERLINK("https://www.youtube.com/watch?v=Fq_zKRqyCNU&amp;t=191s", "Go to time")</f>
        <v/>
      </c>
    </row>
    <row r="412">
      <c r="A412">
        <f>HYPERLINK("https://www.youtube.com/watch?v=Fq_zKRqyCNU", "Video")</f>
        <v/>
      </c>
      <c r="B412" t="inlineStr">
        <is>
          <t>3:25</t>
        </is>
      </c>
      <c r="C412" t="inlineStr">
        <is>
          <t>are actually acting on habit.</t>
        </is>
      </c>
      <c r="D412">
        <f>HYPERLINK("https://www.youtube.com/watch?v=Fq_zKRqyCNU&amp;t=205s", "Go to time")</f>
        <v/>
      </c>
    </row>
    <row r="413">
      <c r="A413">
        <f>HYPERLINK("https://www.youtube.com/watch?v=Fq_zKRqyCNU", "Video")</f>
        <v/>
      </c>
      <c r="B413" t="inlineStr">
        <is>
          <t>3:28</t>
        </is>
      </c>
      <c r="C413" t="inlineStr">
        <is>
          <t>They had figured out how to form habits</t>
        </is>
      </c>
      <c r="D413">
        <f>HYPERLINK("https://www.youtube.com/watch?v=Fq_zKRqyCNU&amp;t=208s", "Go to time")</f>
        <v/>
      </c>
    </row>
    <row r="414">
      <c r="A414">
        <f>HYPERLINK("https://www.youtube.com/watch?v=Fq_zKRqyCNU", "Video")</f>
        <v/>
      </c>
      <c r="B414" t="inlineStr">
        <is>
          <t>3:40</t>
        </is>
      </c>
      <c r="C414" t="inlineStr">
        <is>
          <t>Having an effective habit can set you up</t>
        </is>
      </c>
      <c r="D414">
        <f>HYPERLINK("https://www.youtube.com/watch?v=Fq_zKRqyCNU&amp;t=220s", "Go to time")</f>
        <v/>
      </c>
    </row>
    <row r="415">
      <c r="A415">
        <f>HYPERLINK("https://www.youtube.com/watch?v=Fq_zKRqyCNU", "Video")</f>
        <v/>
      </c>
      <c r="B415" t="inlineStr">
        <is>
          <t>3:49</t>
        </is>
      </c>
      <c r="C415" t="inlineStr">
        <is>
          <t>and can integrate both your habit self</t>
        </is>
      </c>
      <c r="D415">
        <f>HYPERLINK("https://www.youtube.com/watch?v=Fq_zKRqyCNU&amp;t=229s", "Go to time")</f>
        <v/>
      </c>
    </row>
    <row r="416">
      <c r="A416">
        <f>HYPERLINK("https://www.youtube.com/watch?v=MsoPZQR3v4I", "Video")</f>
        <v/>
      </c>
      <c r="B416" t="inlineStr">
        <is>
          <t>2:44</t>
        </is>
      </c>
      <c r="C416" t="inlineStr">
        <is>
          <t>guy, he walks absolutely the opposite way
than an officer in the army. He walks bit</t>
        </is>
      </c>
      <c r="D416">
        <f>HYPERLINK("https://www.youtube.com/watch?v=MsoPZQR3v4I&amp;t=164s", "Go to time")</f>
        <v/>
      </c>
    </row>
    <row r="417">
      <c r="A417">
        <f>HYPERLINK("https://www.youtube.com/watch?v=MsoPZQR3v4I", "Video")</f>
        <v/>
      </c>
      <c r="B417" t="inlineStr">
        <is>
          <t>2:51</t>
        </is>
      </c>
      <c r="C417" t="inlineStr">
        <is>
          <t>like this. His knees are sagging down a bit
like this. So, you know, the way you walk</t>
        </is>
      </c>
      <c r="D417">
        <f>HYPERLINK("https://www.youtube.com/watch?v=MsoPZQR3v4I&amp;t=171s", "Go to time")</f>
        <v/>
      </c>
    </row>
    <row r="418">
      <c r="A418">
        <f>HYPERLINK("https://www.youtube.com/watch?v=5tAlpCLzjFc", "Video")</f>
        <v/>
      </c>
      <c r="B418" t="inlineStr">
        <is>
          <t>3:05</t>
        </is>
      </c>
      <c r="C418" t="inlineStr">
        <is>
          <t>these are often secrets
about money, work, ambitions,</t>
        </is>
      </c>
      <c r="D418">
        <f>HYPERLINK("https://www.youtube.com/watch?v=5tAlpCLzjFc&amp;t=185s", "Go to time")</f>
        <v/>
      </c>
    </row>
    <row r="419">
      <c r="A419">
        <f>HYPERLINK("https://www.youtube.com/watch?v=SPPschNafwI", "Video")</f>
        <v/>
      </c>
      <c r="B419" t="inlineStr">
        <is>
          <t>1:34</t>
        </is>
      </c>
      <c r="C419" t="inlineStr">
        <is>
          <t>bit is low carbohydrate uh low glycemic</t>
        </is>
      </c>
      <c r="D419">
        <f>HYPERLINK("https://www.youtube.com/watch?v=SPPschNafwI&amp;t=94s", "Go to time")</f>
        <v/>
      </c>
    </row>
    <row r="420">
      <c r="A420">
        <f>HYPERLINK("https://www.youtube.com/watch?v=2zcN-pL3xsM", "Video")</f>
        <v/>
      </c>
      <c r="B420" t="inlineStr">
        <is>
          <t>0:24</t>
        </is>
      </c>
      <c r="C420" t="inlineStr">
        <is>
          <t>that has a little bit of intelligence</t>
        </is>
      </c>
      <c r="D420">
        <f>HYPERLINK("https://www.youtube.com/watch?v=2zcN-pL3xsM&amp;t=24s", "Go to time")</f>
        <v/>
      </c>
    </row>
    <row r="421">
      <c r="A421">
        <f>HYPERLINK("https://www.youtube.com/watch?v=IG9HxttOKGQ", "Video")</f>
        <v/>
      </c>
      <c r="B421" t="inlineStr">
        <is>
          <t>10:13</t>
        </is>
      </c>
      <c r="C421" t="inlineStr">
        <is>
          <t>world leaders with the Gambit the kind</t>
        </is>
      </c>
      <c r="D421">
        <f>HYPERLINK("https://www.youtube.com/watch?v=IG9HxttOKGQ&amp;t=613s", "Go to time")</f>
        <v/>
      </c>
    </row>
    <row r="422">
      <c r="A422">
        <f>HYPERLINK("https://www.youtube.com/watch?v=IG9HxttOKGQ", "Video")</f>
        <v/>
      </c>
      <c r="B422" t="inlineStr">
        <is>
          <t>10:16</t>
        </is>
      </c>
      <c r="C422" t="inlineStr">
        <is>
          <t>of management Gambit of what's it like</t>
        </is>
      </c>
      <c r="D422">
        <f>HYPERLINK("https://www.youtube.com/watch?v=IG9HxttOKGQ&amp;t=616s", "Go to time")</f>
        <v/>
      </c>
    </row>
    <row r="423">
      <c r="A423">
        <f>HYPERLINK("https://www.youtube.com/watch?v=IG9HxttOKGQ", "Video")</f>
        <v/>
      </c>
      <c r="B423" t="inlineStr">
        <is>
          <t>11:09</t>
        </is>
      </c>
      <c r="C423" t="inlineStr">
        <is>
          <t>because helmet schm Schmidt had a bit of</t>
        </is>
      </c>
      <c r="D423">
        <f>HYPERLINK("https://www.youtube.com/watch?v=IG9HxttOKGQ&amp;t=669s", "Go to time")</f>
        <v/>
      </c>
    </row>
    <row r="424">
      <c r="A424">
        <f>HYPERLINK("https://www.youtube.com/watch?v=IG9HxttOKGQ", "Video")</f>
        <v/>
      </c>
      <c r="B424" t="inlineStr">
        <is>
          <t>29:43</t>
        </is>
      </c>
      <c r="C424" t="inlineStr">
        <is>
          <t>habits of mind or assumptions or the</t>
        </is>
      </c>
      <c r="D424">
        <f>HYPERLINK("https://www.youtube.com/watch?v=IG9HxttOKGQ&amp;t=1783s", "Go to time")</f>
        <v/>
      </c>
    </row>
    <row r="425">
      <c r="A425">
        <f>HYPERLINK("https://www.youtube.com/watch?v=IG9HxttOKGQ", "Video")</f>
        <v/>
      </c>
      <c r="B425" t="inlineStr">
        <is>
          <t>31:43</t>
        </is>
      </c>
      <c r="C425" t="inlineStr">
        <is>
          <t>you know when you get a little bit of</t>
        </is>
      </c>
      <c r="D425">
        <f>HYPERLINK("https://www.youtube.com/watch?v=IG9HxttOKGQ&amp;t=1903s", "Go to time")</f>
        <v/>
      </c>
    </row>
    <row r="426">
      <c r="A426">
        <f>HYPERLINK("https://www.youtube.com/watch?v=IG9HxttOKGQ", "Video")</f>
        <v/>
      </c>
      <c r="B426" t="inlineStr">
        <is>
          <t>31:52</t>
        </is>
      </c>
      <c r="C426" t="inlineStr">
        <is>
          <t>the world slows down a little bit you're</t>
        </is>
      </c>
      <c r="D426">
        <f>HYPERLINK("https://www.youtube.com/watch?v=IG9HxttOKGQ&amp;t=1912s", "Go to time")</f>
        <v/>
      </c>
    </row>
    <row r="427">
      <c r="A427">
        <f>HYPERLINK("https://www.youtube.com/watch?v=IG9HxttOKGQ", "Video")</f>
        <v/>
      </c>
      <c r="B427" t="inlineStr">
        <is>
          <t>38:53</t>
        </is>
      </c>
      <c r="C427" t="inlineStr">
        <is>
          <t>biases or habits or assumptions onto</t>
        </is>
      </c>
      <c r="D427">
        <f>HYPERLINK("https://www.youtube.com/watch?v=IG9HxttOKGQ&amp;t=2333s", "Go to time")</f>
        <v/>
      </c>
    </row>
    <row r="428">
      <c r="A428">
        <f>HYPERLINK("https://www.youtube.com/watch?v=IG9HxttOKGQ", "Video")</f>
        <v/>
      </c>
      <c r="B428" t="inlineStr">
        <is>
          <t>40:26</t>
        </is>
      </c>
      <c r="C428" t="inlineStr">
        <is>
          <t>bites from uh major Media news platforms</t>
        </is>
      </c>
      <c r="D428">
        <f>HYPERLINK("https://www.youtube.com/watch?v=IG9HxttOKGQ&amp;t=2426s", "Go to time")</f>
        <v/>
      </c>
    </row>
    <row r="429">
      <c r="A429">
        <f>HYPERLINK("https://www.youtube.com/watch?v=xDaBjc4QyWU", "Video")</f>
        <v/>
      </c>
      <c r="B429" t="inlineStr">
        <is>
          <t>5:13</t>
        </is>
      </c>
      <c r="C429" t="inlineStr">
        <is>
          <t>every time you do a transaction—is just
use your debit card.</t>
        </is>
      </c>
      <c r="D429">
        <f>HYPERLINK("https://www.youtube.com/watch?v=xDaBjc4QyWU&amp;t=313s", "Go to time")</f>
        <v/>
      </c>
    </row>
    <row r="430">
      <c r="A430">
        <f>HYPERLINK("https://www.youtube.com/watch?v=xDaBjc4QyWU", "Video")</f>
        <v/>
      </c>
      <c r="B430" t="inlineStr">
        <is>
          <t>5:16</t>
        </is>
      </c>
      <c r="C430" t="inlineStr">
        <is>
          <t>I said debit, not credit.</t>
        </is>
      </c>
      <c r="D430">
        <f>HYPERLINK("https://www.youtube.com/watch?v=xDaBjc4QyWU&amp;t=316s", "Go to time")</f>
        <v/>
      </c>
    </row>
    <row r="431">
      <c r="A431">
        <f>HYPERLINK("https://www.youtube.com/watch?v=xDaBjc4QyWU", "Video")</f>
        <v/>
      </c>
      <c r="B431" t="inlineStr">
        <is>
          <t>5:17</t>
        </is>
      </c>
      <c r="C431" t="inlineStr">
        <is>
          <t>You use your debit card and your bank has
a complete record of all your purchases.</t>
        </is>
      </c>
      <c r="D431">
        <f>HYPERLINK("https://www.youtube.com/watch?v=xDaBjc4QyWU&amp;t=317s", "Go to time")</f>
        <v/>
      </c>
    </row>
    <row r="432">
      <c r="A432">
        <f>HYPERLINK("https://www.youtube.com/watch?v=xDaBjc4QyWU", "Video")</f>
        <v/>
      </c>
      <c r="B432" t="inlineStr">
        <is>
          <t>7:56</t>
        </is>
      </c>
      <c r="C432" t="inlineStr">
        <is>
          <t>It’s like you’re buying yourself degrees
of freedom through this developing a habit</t>
        </is>
      </c>
      <c r="D432">
        <f>HYPERLINK("https://www.youtube.com/watch?v=xDaBjc4QyWU&amp;t=476s", "Go to time")</f>
        <v/>
      </c>
    </row>
    <row r="433">
      <c r="A433">
        <f>HYPERLINK("https://www.youtube.com/watch?v=fe5Sc9RR8oY", "Video")</f>
        <v/>
      </c>
      <c r="B433" t="inlineStr">
        <is>
          <t>2:37</t>
        </is>
      </c>
      <c r="C433" t="inlineStr">
        <is>
          <t>bit the Brits really enjoy the be</t>
        </is>
      </c>
      <c r="D433">
        <f>HYPERLINK("https://www.youtube.com/watch?v=fe5Sc9RR8oY&amp;t=157s", "Go to time")</f>
        <v/>
      </c>
    </row>
    <row r="434">
      <c r="A434">
        <f>HYPERLINK("https://www.youtube.com/watch?v=VMbhM59K5FQ", "Video")</f>
        <v/>
      </c>
      <c r="B434" t="inlineStr">
        <is>
          <t>0:16</t>
        </is>
      </c>
      <c r="C434" t="inlineStr">
        <is>
          <t>a little bit overworked
or a little bit stressed</t>
        </is>
      </c>
      <c r="D434">
        <f>HYPERLINK("https://www.youtube.com/watch?v=VMbhM59K5FQ&amp;t=16s", "Go to time")</f>
        <v/>
      </c>
    </row>
    <row r="435">
      <c r="A435">
        <f>HYPERLINK("https://www.youtube.com/watch?v=VMbhM59K5FQ", "Video")</f>
        <v/>
      </c>
      <c r="B435" t="inlineStr">
        <is>
          <t>0:19</t>
        </is>
      </c>
      <c r="C435" t="inlineStr">
        <is>
          <t>or a little bit tired.</t>
        </is>
      </c>
      <c r="D435">
        <f>HYPERLINK("https://www.youtube.com/watch?v=VMbhM59K5FQ&amp;t=19s", "Go to time")</f>
        <v/>
      </c>
    </row>
    <row r="436">
      <c r="A436">
        <f>HYPERLINK("https://www.youtube.com/watch?v=VMbhM59K5FQ", "Video")</f>
        <v/>
      </c>
      <c r="B436" t="inlineStr">
        <is>
          <t>1:12</t>
        </is>
      </c>
      <c r="C436" t="inlineStr">
        <is>
          <t>It's like everything they say
kind of irks you a little bit,</t>
        </is>
      </c>
      <c r="D436">
        <f>HYPERLINK("https://www.youtube.com/watch?v=VMbhM59K5FQ&amp;t=72s", "Go to time")</f>
        <v/>
      </c>
    </row>
    <row r="437">
      <c r="A437">
        <f>HYPERLINK("https://www.youtube.com/watch?v=VMbhM59K5FQ", "Video")</f>
        <v/>
      </c>
      <c r="B437" t="inlineStr">
        <is>
          <t>2:50</t>
        </is>
      </c>
      <c r="C437" t="inlineStr">
        <is>
          <t>a little bit myself.</t>
        </is>
      </c>
      <c r="D437">
        <f>HYPERLINK("https://www.youtube.com/watch?v=VMbhM59K5FQ&amp;t=170s", "Go to time")</f>
        <v/>
      </c>
    </row>
    <row r="438">
      <c r="A438">
        <f>HYPERLINK("https://www.youtube.com/watch?v=VMbhM59K5FQ", "Video")</f>
        <v/>
      </c>
      <c r="B438" t="inlineStr">
        <is>
          <t>3:12</t>
        </is>
      </c>
      <c r="C438" t="inlineStr">
        <is>
          <t>When there's a sense that
things are a little bit unfair,</t>
        </is>
      </c>
      <c r="D438">
        <f>HYPERLINK("https://www.youtube.com/watch?v=VMbhM59K5FQ&amp;t=192s", "Go to time")</f>
        <v/>
      </c>
    </row>
    <row r="439">
      <c r="A439">
        <f>HYPERLINK("https://www.youtube.com/watch?v=VMbhM59K5FQ", "Video")</f>
        <v/>
      </c>
      <c r="B439" t="inlineStr">
        <is>
          <t>3:33</t>
        </is>
      </c>
      <c r="C439" t="inlineStr">
        <is>
          <t>especially when they start
feeling a little bit unfair,</t>
        </is>
      </c>
      <c r="D439">
        <f>HYPERLINK("https://www.youtube.com/watch?v=VMbhM59K5FQ&amp;t=213s", "Go to time")</f>
        <v/>
      </c>
    </row>
    <row r="440">
      <c r="A440">
        <f>HYPERLINK("https://www.youtube.com/watch?v=VMbhM59K5FQ", "Video")</f>
        <v/>
      </c>
      <c r="B440" t="inlineStr">
        <is>
          <t>4:50</t>
        </is>
      </c>
      <c r="C440" t="inlineStr">
        <is>
          <t>a little bit emotionally
exhausted, a little bit cynical,</t>
        </is>
      </c>
      <c r="D440">
        <f>HYPERLINK("https://www.youtube.com/watch?v=VMbhM59K5FQ&amp;t=290s", "Go to time")</f>
        <v/>
      </c>
    </row>
    <row r="441">
      <c r="A441">
        <f>HYPERLINK("https://www.youtube.com/watch?v=VMbhM59K5FQ", "Video")</f>
        <v/>
      </c>
      <c r="B441" t="inlineStr">
        <is>
          <t>4:53</t>
        </is>
      </c>
      <c r="C441" t="inlineStr">
        <is>
          <t>a little bit like your job
isn't effective as much anymore.</t>
        </is>
      </c>
      <c r="D441">
        <f>HYPERLINK("https://www.youtube.com/watch?v=VMbhM59K5FQ&amp;t=293s", "Go to time")</f>
        <v/>
      </c>
    </row>
    <row r="442">
      <c r="A442">
        <f>HYPERLINK("https://www.youtube.com/watch?v=VMbhM59K5FQ", "Video")</f>
        <v/>
      </c>
      <c r="B442" t="inlineStr">
        <is>
          <t>6:24</t>
        </is>
      </c>
      <c r="C442" t="inlineStr">
        <is>
          <t>playing a little bit more Guitar Hero-</t>
        </is>
      </c>
      <c r="D442">
        <f>HYPERLINK("https://www.youtube.com/watch?v=VMbhM59K5FQ&amp;t=384s", "Go to time")</f>
        <v/>
      </c>
    </row>
    <row r="443">
      <c r="A443">
        <f>HYPERLINK("https://www.youtube.com/watch?v=VMbhM59K5FQ", "Video")</f>
        <v/>
      </c>
      <c r="B443" t="inlineStr">
        <is>
          <t>6:26</t>
        </is>
      </c>
      <c r="C443" t="inlineStr">
        <is>
          <t>but also engaging a little bit more</t>
        </is>
      </c>
      <c r="D443">
        <f>HYPERLINK("https://www.youtube.com/watch?v=VMbhM59K5FQ&amp;t=386s", "Go to time")</f>
        <v/>
      </c>
    </row>
    <row r="444">
      <c r="A444">
        <f>HYPERLINK("https://www.youtube.com/watch?v=G6kRrns73GI", "Video")</f>
        <v/>
      </c>
      <c r="B444" t="inlineStr">
        <is>
          <t>0:55</t>
        </is>
      </c>
      <c r="C444" t="inlineStr">
        <is>
          <t>underlying bits of globalization I mean</t>
        </is>
      </c>
      <c r="D444">
        <f>HYPERLINK("https://www.youtube.com/watch?v=G6kRrns73GI&amp;t=55s", "Go to time")</f>
        <v/>
      </c>
    </row>
    <row r="445">
      <c r="A445">
        <f>HYPERLINK("https://www.youtube.com/watch?v=OMmmtFIKBCY", "Video")</f>
        <v/>
      </c>
      <c r="B445" t="inlineStr">
        <is>
          <t>0:09</t>
        </is>
      </c>
      <c r="C445" t="inlineStr">
        <is>
          <t>Bitcoin or blockchains.</t>
        </is>
      </c>
      <c r="D445">
        <f>HYPERLINK("https://www.youtube.com/watch?v=OMmmtFIKBCY&amp;t=9s", "Go to time")</f>
        <v/>
      </c>
    </row>
    <row r="446">
      <c r="A446">
        <f>HYPERLINK("https://www.youtube.com/watch?v=OMmmtFIKBCY", "Video")</f>
        <v/>
      </c>
      <c r="B446" t="inlineStr">
        <is>
          <t>0:33</t>
        </is>
      </c>
      <c r="C446" t="inlineStr">
        <is>
          <t>In the case of Bitcoin or related cryptocurrencies
a lot of the near-term impact of that is really</t>
        </is>
      </c>
      <c r="D446">
        <f>HYPERLINK("https://www.youtube.com/watch?v=OMmmtFIKBCY&amp;t=33s", "Go to time")</f>
        <v/>
      </c>
    </row>
    <row r="447">
      <c r="A447">
        <f>HYPERLINK("https://www.youtube.com/watch?v=OMmmtFIKBCY", "Video")</f>
        <v/>
      </c>
      <c r="B447" t="inlineStr">
        <is>
          <t>0:44</t>
        </is>
      </c>
      <c r="C447" t="inlineStr">
        <is>
          <t>And so if you look at Bitcoin really what
it is is in some sense a store of value or</t>
        </is>
      </c>
      <c r="D447">
        <f>HYPERLINK("https://www.youtube.com/watch?v=OMmmtFIKBCY&amp;t=44s", "Go to time")</f>
        <v/>
      </c>
    </row>
    <row r="448">
      <c r="A448">
        <f>HYPERLINK("https://www.youtube.com/watch?v=2hnFT-CTYmI", "Video")</f>
        <v/>
      </c>
      <c r="B448" t="inlineStr">
        <is>
          <t>2:20</t>
        </is>
      </c>
      <c r="C448" t="inlineStr">
        <is>
          <t>otherness a little bit</t>
        </is>
      </c>
      <c r="D448">
        <f>HYPERLINK("https://www.youtube.com/watch?v=2hnFT-CTYmI&amp;t=140s", "Go to time")</f>
        <v/>
      </c>
    </row>
    <row r="449">
      <c r="A449">
        <f>HYPERLINK("https://www.youtube.com/watch?v=2hnFT-CTYmI", "Video")</f>
        <v/>
      </c>
      <c r="B449" t="inlineStr">
        <is>
          <t>2:37</t>
        </is>
      </c>
      <c r="C449" t="inlineStr">
        <is>
          <t>a little bit of that but now because</t>
        </is>
      </c>
      <c r="D449">
        <f>HYPERLINK("https://www.youtube.com/watch?v=2hnFT-CTYmI&amp;t=157s", "Go to time")</f>
        <v/>
      </c>
    </row>
    <row r="450">
      <c r="A450">
        <f>HYPERLINK("https://www.youtube.com/watch?v=qlQaMvMcFOk", "Video")</f>
        <v/>
      </c>
      <c r="B450" t="inlineStr">
        <is>
          <t>2:51</t>
        </is>
      </c>
      <c r="C450" t="inlineStr">
        <is>
          <t>little bit uh downplayed I would say in</t>
        </is>
      </c>
      <c r="D450">
        <f>HYPERLINK("https://www.youtube.com/watch?v=qlQaMvMcFOk&amp;t=171s", "Go to time")</f>
        <v/>
      </c>
    </row>
    <row r="451">
      <c r="A451">
        <f>HYPERLINK("https://www.youtube.com/watch?v=qlQaMvMcFOk", "Video")</f>
        <v/>
      </c>
      <c r="B451" t="inlineStr">
        <is>
          <t>3:16</t>
        </is>
      </c>
      <c r="C451" t="inlineStr">
        <is>
          <t>look a little bit into into uh their own</t>
        </is>
      </c>
      <c r="D451">
        <f>HYPERLINK("https://www.youtube.com/watch?v=qlQaMvMcFOk&amp;t=196s", "Go to time")</f>
        <v/>
      </c>
    </row>
    <row r="452">
      <c r="A452">
        <f>HYPERLINK("https://www.youtube.com/watch?v=uUfq1WJW7Xs", "Video")</f>
        <v/>
      </c>
      <c r="B452" t="inlineStr">
        <is>
          <t>5:59</t>
        </is>
      </c>
      <c r="C452" t="inlineStr">
        <is>
          <t>So it's a bit of a negative feedback loop.</t>
        </is>
      </c>
      <c r="D452">
        <f>HYPERLINK("https://www.youtube.com/watch?v=uUfq1WJW7Xs&amp;t=359s", "Go to time")</f>
        <v/>
      </c>
    </row>
    <row r="453">
      <c r="A453">
        <f>HYPERLINK("https://www.youtube.com/watch?v=uUfq1WJW7Xs", "Video")</f>
        <v/>
      </c>
      <c r="B453" t="inlineStr">
        <is>
          <t>7:44</t>
        </is>
      </c>
      <c r="C453" t="inlineStr">
        <is>
          <t>just as a habit.</t>
        </is>
      </c>
      <c r="D453">
        <f>HYPERLINK("https://www.youtube.com/watch?v=uUfq1WJW7Xs&amp;t=464s", "Go to time")</f>
        <v/>
      </c>
    </row>
    <row r="454">
      <c r="A454">
        <f>HYPERLINK("https://www.youtube.com/watch?v=BKCKihV_xLY", "Video")</f>
        <v/>
      </c>
      <c r="B454" t="inlineStr">
        <is>
          <t>0:13</t>
        </is>
      </c>
      <c r="C454" t="inlineStr">
        <is>
          <t>that we do it that maybe is a little bit</t>
        </is>
      </c>
      <c r="D454">
        <f>HYPERLINK("https://www.youtube.com/watch?v=BKCKihV_xLY&amp;t=13s", "Go to time")</f>
        <v/>
      </c>
    </row>
    <row r="455">
      <c r="A455">
        <f>HYPERLINK("https://www.youtube.com/watch?v=BKCKihV_xLY", "Video")</f>
        <v/>
      </c>
      <c r="B455" t="inlineStr">
        <is>
          <t>9:22</t>
        </is>
      </c>
      <c r="C455" t="inlineStr">
        <is>
          <t>few uh maybe a little bit uh kind of</t>
        </is>
      </c>
      <c r="D455">
        <f>HYPERLINK("https://www.youtube.com/watch?v=BKCKihV_xLY&amp;t=562s", "Go to time")</f>
        <v/>
      </c>
    </row>
    <row r="456">
      <c r="A456">
        <f>HYPERLINK("https://www.youtube.com/watch?v=PIQwgsfxXm4", "Video")</f>
        <v/>
      </c>
      <c r="B456" t="inlineStr">
        <is>
          <t>0:54</t>
        </is>
      </c>
      <c r="C456" t="inlineStr">
        <is>
          <t>prohibition but</t>
        </is>
      </c>
      <c r="D456">
        <f>HYPERLINK("https://www.youtube.com/watch?v=PIQwgsfxXm4&amp;t=54s", "Go to time")</f>
        <v/>
      </c>
    </row>
    <row r="457">
      <c r="A457">
        <f>HYPERLINK("https://www.youtube.com/watch?v=ON1goZRwO9o", "Video")</f>
        <v/>
      </c>
      <c r="B457" t="inlineStr">
        <is>
          <t>1:38</t>
        </is>
      </c>
      <c r="C457" t="inlineStr">
        <is>
          <t>so on and that was a bit of a challenge</t>
        </is>
      </c>
      <c r="D457">
        <f>HYPERLINK("https://www.youtube.com/watch?v=ON1goZRwO9o&amp;t=98s", "Go to time")</f>
        <v/>
      </c>
    </row>
    <row r="458">
      <c r="A458">
        <f>HYPERLINK("https://www.youtube.com/watch?v=UrZ_j7JFhZM", "Video")</f>
        <v/>
      </c>
      <c r="B458" t="inlineStr">
        <is>
          <t>3:06</t>
        </is>
      </c>
      <c r="C458" t="inlineStr">
        <is>
          <t>Ambitions to end up in a first class</t>
        </is>
      </c>
      <c r="D458">
        <f>HYPERLINK("https://www.youtube.com/watch?v=UrZ_j7JFhZM&amp;t=186s", "Go to time")</f>
        <v/>
      </c>
    </row>
    <row r="459">
      <c r="A459">
        <f>HYPERLINK("https://www.youtube.com/watch?v=Bzj29-6cJVg", "Video")</f>
        <v/>
      </c>
      <c r="B459" t="inlineStr">
        <is>
          <t>1:25</t>
        </is>
      </c>
      <c r="C459" t="inlineStr">
        <is>
          <t>condition can you taste the bitter in</t>
        </is>
      </c>
      <c r="D459">
        <f>HYPERLINK("https://www.youtube.com/watch?v=Bzj29-6cJVg&amp;t=85s", "Go to time")</f>
        <v/>
      </c>
    </row>
    <row r="460">
      <c r="A460">
        <f>HYPERLINK("https://www.youtube.com/watch?v=3ebxPnLLqQw", "Video")</f>
        <v/>
      </c>
      <c r="B460" t="inlineStr">
        <is>
          <t>0:34</t>
        </is>
      </c>
      <c r="C460" t="inlineStr">
        <is>
          <t>little bit more than we can read but</t>
        </is>
      </c>
      <c r="D460">
        <f>HYPERLINK("https://www.youtube.com/watch?v=3ebxPnLLqQw&amp;t=34s", "Go to time")</f>
        <v/>
      </c>
    </row>
    <row r="461">
      <c r="A461">
        <f>HYPERLINK("https://www.youtube.com/watch?v=3ebxPnLLqQw", "Video")</f>
        <v/>
      </c>
      <c r="B461" t="inlineStr">
        <is>
          <t>1:31</t>
        </is>
      </c>
      <c r="C461" t="inlineStr">
        <is>
          <t>think we've lost a little bit of the</t>
        </is>
      </c>
      <c r="D461">
        <f>HYPERLINK("https://www.youtube.com/watch?v=3ebxPnLLqQw&amp;t=91s", "Go to time")</f>
        <v/>
      </c>
    </row>
    <row r="462">
      <c r="A462">
        <f>HYPERLINK("https://www.youtube.com/watch?v=3ebxPnLLqQw", "Video")</f>
        <v/>
      </c>
      <c r="B462" t="inlineStr">
        <is>
          <t>3:55</t>
        </is>
      </c>
      <c r="C462" t="inlineStr">
        <is>
          <t>he's a blogger and it feels a little bit</t>
        </is>
      </c>
      <c r="D462">
        <f>HYPERLINK("https://www.youtube.com/watch?v=3ebxPnLLqQw&amp;t=235s", "Go to time")</f>
        <v/>
      </c>
    </row>
    <row r="463">
      <c r="A463">
        <f>HYPERLINK("https://www.youtube.com/watch?v=5FInHdzPoZg", "Video")</f>
        <v/>
      </c>
      <c r="B463" t="inlineStr">
        <is>
          <t>0:29</t>
        </is>
      </c>
      <c r="C463" t="inlineStr">
        <is>
          <t>barriers down a bit and then there was</t>
        </is>
      </c>
      <c r="D463">
        <f>HYPERLINK("https://www.youtube.com/watch?v=5FInHdzPoZg&amp;t=29s", "Go to time")</f>
        <v/>
      </c>
    </row>
    <row r="464">
      <c r="A464">
        <f>HYPERLINK("https://www.youtube.com/watch?v=yfLOtaL0KEc", "Video")</f>
        <v/>
      </c>
      <c r="B464" t="inlineStr">
        <is>
          <t>3:58</t>
        </is>
      </c>
      <c r="C464" t="inlineStr">
        <is>
          <t>a little bit of trust to
people that you don't know</t>
        </is>
      </c>
      <c r="D464">
        <f>HYPERLINK("https://www.youtube.com/watch?v=yfLOtaL0KEc&amp;t=238s", "Go to time")</f>
        <v/>
      </c>
    </row>
    <row r="465">
      <c r="A465">
        <f>HYPERLINK("https://www.youtube.com/watch?v=yfLOtaL0KEc", "Video")</f>
        <v/>
      </c>
      <c r="B465" t="inlineStr">
        <is>
          <t>8:44</t>
        </is>
      </c>
      <c r="C465" t="inlineStr">
        <is>
          <t>- Which when you exhibit
your own moral courage</t>
        </is>
      </c>
      <c r="D465">
        <f>HYPERLINK("https://www.youtube.com/watch?v=yfLOtaL0KEc&amp;t=524s", "Go to time")</f>
        <v/>
      </c>
    </row>
    <row r="466">
      <c r="A466">
        <f>HYPERLINK("https://www.youtube.com/watch?v=yfLOtaL0KEc", "Video")</f>
        <v/>
      </c>
      <c r="B466" t="inlineStr">
        <is>
          <t>9:01</t>
        </is>
      </c>
      <c r="C466" t="inlineStr">
        <is>
          <t>is if you just saw a little bit of doubt,</t>
        </is>
      </c>
      <c r="D466">
        <f>HYPERLINK("https://www.youtube.com/watch?v=yfLOtaL0KEc&amp;t=541s", "Go to time")</f>
        <v/>
      </c>
    </row>
    <row r="467">
      <c r="A467">
        <f>HYPERLINK("https://www.youtube.com/watch?v=mLDCEaK3Grs", "Video")</f>
        <v/>
      </c>
      <c r="B467" t="inlineStr">
        <is>
          <t>0:41</t>
        </is>
      </c>
      <c r="C467" t="inlineStr">
        <is>
          <t>Well, that was still a bit unusual back then.</t>
        </is>
      </c>
      <c r="D467">
        <f>HYPERLINK("https://www.youtube.com/watch?v=mLDCEaK3Grs&amp;t=41s", "Go to time")</f>
        <v/>
      </c>
    </row>
    <row r="468">
      <c r="A468">
        <f>HYPERLINK("https://www.youtube.com/watch?v=B-A4CzvHCLE", "Video")</f>
        <v/>
      </c>
      <c r="B468" t="inlineStr">
        <is>
          <t>2:10</t>
        </is>
      </c>
      <c r="C468" t="inlineStr">
        <is>
          <t>You can develop a habit of not letting those
thoughts take you over, but countering them</t>
        </is>
      </c>
      <c r="D468">
        <f>HYPERLINK("https://www.youtube.com/watch?v=B-A4CzvHCLE&amp;t=130s", "Go to time")</f>
        <v/>
      </c>
    </row>
    <row r="469">
      <c r="A469">
        <f>HYPERLINK("https://www.youtube.com/watch?v=Q-B_ONJIEcE", "Video")</f>
        <v/>
      </c>
      <c r="B469" t="inlineStr">
        <is>
          <t>10:30</t>
        </is>
      </c>
      <c r="C469" t="inlineStr">
        <is>
          <t>bit of poetry, the lines from the shampoo
bottle.  “Wet hair, lather, rinse, repeat.”</t>
        </is>
      </c>
      <c r="D469">
        <f>HYPERLINK("https://www.youtube.com/watch?v=Q-B_ONJIEcE&amp;t=630s", "Go to time")</f>
        <v/>
      </c>
    </row>
    <row r="470">
      <c r="A470">
        <f>HYPERLINK("https://www.youtube.com/watch?v=Q-B_ONJIEcE", "Video")</f>
        <v/>
      </c>
      <c r="B470" t="inlineStr">
        <is>
          <t>12:57</t>
        </is>
      </c>
      <c r="C470" t="inlineStr">
        <is>
          <t>we use to assemble bits of language into more
complex stretches of language including syntax,</t>
        </is>
      </c>
      <c r="D470">
        <f>HYPERLINK("https://www.youtube.com/watch?v=Q-B_ONJIEcE&amp;t=777s", "Go to time")</f>
        <v/>
      </c>
    </row>
    <row r="471">
      <c r="A471">
        <f>HYPERLINK("https://www.youtube.com/watch?v=Q-B_ONJIEcE", "Video")</f>
        <v/>
      </c>
      <c r="B471" t="inlineStr">
        <is>
          <t>13:11</t>
        </is>
      </c>
      <c r="C471" t="inlineStr">
        <is>
          <t>rules that allow us to assemble bits of words,
like prefixes and suffixes into complex words;</t>
        </is>
      </c>
      <c r="D471">
        <f>HYPERLINK("https://www.youtube.com/watch?v=Q-B_ONJIEcE&amp;t=791s", "Go to time")</f>
        <v/>
      </c>
    </row>
    <row r="472">
      <c r="A472">
        <f>HYPERLINK("https://www.youtube.com/watch?v=Q-B_ONJIEcE", "Video")</f>
        <v/>
      </c>
      <c r="B472" t="inlineStr">
        <is>
          <t>13:51</t>
        </is>
      </c>
      <c r="C472" t="inlineStr">
        <is>
          <t>to the arbitrariness of the sign.  Take for
example the word, “duck.”  The word,</t>
        </is>
      </c>
      <c r="D472">
        <f>HYPERLINK("https://www.youtube.com/watch?v=Q-B_ONJIEcE&amp;t=831s", "Go to time")</f>
        <v/>
      </c>
    </row>
    <row r="473">
      <c r="A473">
        <f>HYPERLINK("https://www.youtube.com/watch?v=Q-B_ONJIEcE", "Video")</f>
        <v/>
      </c>
      <c r="B473" t="inlineStr">
        <is>
          <t>15:07</t>
        </is>
      </c>
      <c r="C473" t="inlineStr">
        <is>
          <t>from the age of one.  When you think that
every one of these words is arbitrary as a</t>
        </is>
      </c>
      <c r="D473">
        <f>HYPERLINK("https://www.youtube.com/watch?v=Q-B_ONJIEcE&amp;t=907s", "Go to time")</f>
        <v/>
      </c>
    </row>
    <row r="474">
      <c r="A474">
        <f>HYPERLINK("https://www.youtube.com/watch?v=Q-B_ONJIEcE", "Video")</f>
        <v/>
      </c>
      <c r="B474" t="inlineStr">
        <is>
          <t>20:41</t>
        </is>
      </c>
      <c r="C474" t="inlineStr">
        <is>
          <t>that when a dog bites a man, that isn’t
news, but when a man bites a dog, that is</t>
        </is>
      </c>
      <c r="D474">
        <f>HYPERLINK("https://www.youtube.com/watch?v=Q-B_ONJIEcE&amp;t=1241s", "Go to time")</f>
        <v/>
      </c>
    </row>
    <row r="475">
      <c r="A475">
        <f>HYPERLINK("https://www.youtube.com/watch?v=Q-B_ONJIEcE", "Video")</f>
        <v/>
      </c>
      <c r="B475" t="inlineStr">
        <is>
          <t>24:47</t>
        </is>
      </c>
      <c r="C475" t="inlineStr">
        <is>
          <t>At the two-word stage, which you typically
see in children who are 18 months or a bit</t>
        </is>
      </c>
      <c r="D475">
        <f>HYPERLINK("https://www.youtube.com/watch?v=Q-B_ONJIEcE&amp;t=1487s", "Go to time")</f>
        <v/>
      </c>
    </row>
    <row r="476">
      <c r="A476">
        <f>HYPERLINK("https://www.youtube.com/watch?v=Q-B_ONJIEcE", "Video")</f>
        <v/>
      </c>
      <c r="B476" t="inlineStr">
        <is>
          <t>26:00</t>
        </is>
      </c>
      <c r="C476" t="inlineStr">
        <is>
          <t>in which they make errors like, “We holded
the baby rabbits” or “He teared the paper</t>
        </is>
      </c>
      <c r="D476">
        <f>HYPERLINK("https://www.youtube.com/watch?v=Q-B_ONJIEcE&amp;t=1560s", "Go to time")</f>
        <v/>
      </c>
    </row>
    <row r="477">
      <c r="A477">
        <f>HYPERLINK("https://www.youtube.com/watch?v=Q-B_ONJIEcE", "Video")</f>
        <v/>
      </c>
      <c r="B477" t="inlineStr">
        <is>
          <t>42:07</t>
        </is>
      </c>
      <c r="C477" t="inlineStr">
        <is>
          <t>there would not be little silences between
the words the way there are little bits of</t>
        </is>
      </c>
      <c r="D477">
        <f>HYPERLINK("https://www.youtube.com/watch?v=Q-B_ONJIEcE&amp;t=2527s", "Go to time")</f>
        <v/>
      </c>
    </row>
    <row r="478">
      <c r="A478">
        <f>HYPERLINK("https://www.youtube.com/watch?v=eqX38J9ya1I", "Video")</f>
        <v/>
      </c>
      <c r="B478" t="inlineStr">
        <is>
          <t>3:01</t>
        </is>
      </c>
      <c r="C478" t="inlineStr">
        <is>
          <t>and there's the sexual
inhibitory system or brakes.</t>
        </is>
      </c>
      <c r="D478">
        <f>HYPERLINK("https://www.youtube.com/watch?v=eqX38J9ya1I&amp;t=181s", "Go to time")</f>
        <v/>
      </c>
    </row>
    <row r="479">
      <c r="A479">
        <f>HYPERLINK("https://www.youtube.com/watch?v=eqX38J9ya1I", "Video")</f>
        <v/>
      </c>
      <c r="B479" t="inlineStr">
        <is>
          <t>4:01</t>
        </is>
      </c>
      <c r="C479" t="inlineStr">
        <is>
          <t>so there's just a little
bit of sex-related stimuli,</t>
        </is>
      </c>
      <c r="D479">
        <f>HYPERLINK("https://www.youtube.com/watch?v=eqX38J9ya1I&amp;t=241s", "Go to time")</f>
        <v/>
      </c>
    </row>
    <row r="480">
      <c r="A480">
        <f>HYPERLINK("https://www.youtube.com/watch?v=eqX38J9ya1I", "Video")</f>
        <v/>
      </c>
      <c r="B480" t="inlineStr">
        <is>
          <t>4:07</t>
        </is>
      </c>
      <c r="C480" t="inlineStr">
        <is>
          <t>the inhibitory impulses, are
noticing all the good reasons</t>
        </is>
      </c>
      <c r="D480">
        <f>HYPERLINK("https://www.youtube.com/watch?v=eqX38J9ya1I&amp;t=247s", "Go to time")</f>
        <v/>
      </c>
    </row>
    <row r="481">
      <c r="A481">
        <f>HYPERLINK("https://www.youtube.com/watch?v=DON-aM2tze4", "Video")</f>
        <v/>
      </c>
      <c r="B481" t="inlineStr">
        <is>
          <t>5:33</t>
        </is>
      </c>
      <c r="C481" t="inlineStr">
        <is>
          <t>kruma he stole a bit but most of these</t>
        </is>
      </c>
      <c r="D481">
        <f>HYPERLINK("https://www.youtube.com/watch?v=DON-aM2tze4&amp;t=333s", "Go to time")</f>
        <v/>
      </c>
    </row>
    <row r="482">
      <c r="A482">
        <f>HYPERLINK("https://www.youtube.com/watch?v=lyvgcLEJ3ds", "Video")</f>
        <v/>
      </c>
      <c r="B482" t="inlineStr">
        <is>
          <t>2:57</t>
        </is>
      </c>
      <c r="C482" t="inlineStr">
        <is>
          <t>how how much of that goes on quite a bit</t>
        </is>
      </c>
      <c r="D482">
        <f>HYPERLINK("https://www.youtube.com/watch?v=lyvgcLEJ3ds&amp;t=177s", "Go to time")</f>
        <v/>
      </c>
    </row>
    <row r="483">
      <c r="A483">
        <f>HYPERLINK("https://www.youtube.com/watch?v=Dvm8xj22VTs", "Video")</f>
        <v/>
      </c>
      <c r="B483" t="inlineStr">
        <is>
          <t>3:29</t>
        </is>
      </c>
      <c r="C483" t="inlineStr">
        <is>
          <t>little bit off often they're</t>
        </is>
      </c>
      <c r="D483">
        <f>HYPERLINK("https://www.youtube.com/watch?v=Dvm8xj22VTs&amp;t=209s", "Go to time")</f>
        <v/>
      </c>
    </row>
    <row r="484">
      <c r="A484">
        <f>HYPERLINK("https://www.youtube.com/watch?v=NfzDSSiLtBQ", "Video")</f>
        <v/>
      </c>
      <c r="B484" t="inlineStr">
        <is>
          <t>1:44</t>
        </is>
      </c>
      <c r="C484" t="inlineStr">
        <is>
          <t>the thinking and the habit
and reward circuits</t>
        </is>
      </c>
      <c r="D484">
        <f>HYPERLINK("https://www.youtube.com/watch?v=NfzDSSiLtBQ&amp;t=104s", "Go to time")</f>
        <v/>
      </c>
    </row>
    <row r="485">
      <c r="A485">
        <f>HYPERLINK("https://www.youtube.com/watch?v=NfzDSSiLtBQ", "Video")</f>
        <v/>
      </c>
      <c r="B485" t="inlineStr">
        <is>
          <t>2:08</t>
        </is>
      </c>
      <c r="C485" t="inlineStr">
        <is>
          <t>And then the habit circuit
in the brain says</t>
        </is>
      </c>
      <c r="D485">
        <f>HYPERLINK("https://www.youtube.com/watch?v=NfzDSSiLtBQ&amp;t=128s", "Go to time")</f>
        <v/>
      </c>
    </row>
    <row r="486">
      <c r="A486">
        <f>HYPERLINK("https://www.youtube.com/watch?v=NfzDSSiLtBQ", "Video")</f>
        <v/>
      </c>
      <c r="B486" t="inlineStr">
        <is>
          <t>3:24</t>
        </is>
      </c>
      <c r="C486" t="inlineStr">
        <is>
          <t>it was a little bit more concrete
of the idea of like, “Oh,</t>
        </is>
      </c>
      <c r="D486">
        <f>HYPERLINK("https://www.youtube.com/watch?v=NfzDSSiLtBQ&amp;t=204s", "Go to time")</f>
        <v/>
      </c>
    </row>
    <row r="487">
      <c r="A487">
        <f>HYPERLINK("https://www.youtube.com/watch?v=4GIK-bLCbV8", "Video")</f>
        <v/>
      </c>
      <c r="B487" t="inlineStr">
        <is>
          <t>1:21</t>
        </is>
      </c>
      <c r="C487" t="inlineStr">
        <is>
          <t>us that that Bittersweet glow of having</t>
        </is>
      </c>
      <c r="D487">
        <f>HYPERLINK("https://www.youtube.com/watch?v=4GIK-bLCbV8&amp;t=81s", "Go to time")</f>
        <v/>
      </c>
    </row>
    <row r="488">
      <c r="A488">
        <f>HYPERLINK("https://www.youtube.com/watch?v=CSv0pQbo6tg", "Video")</f>
        <v/>
      </c>
      <c r="B488" t="inlineStr">
        <is>
          <t>29:55</t>
        </is>
      </c>
      <c r="C488" t="inlineStr">
        <is>
          <t>of arbitrary uh</t>
        </is>
      </c>
      <c r="D488">
        <f>HYPERLINK("https://www.youtube.com/watch?v=CSv0pQbo6tg&amp;t=1795s", "Go to time")</f>
        <v/>
      </c>
    </row>
    <row r="489">
      <c r="A489">
        <f>HYPERLINK("https://www.youtube.com/watch?v=CSv0pQbo6tg", "Video")</f>
        <v/>
      </c>
      <c r="B489" t="inlineStr">
        <is>
          <t>29:59</t>
        </is>
      </c>
      <c r="C489" t="inlineStr">
        <is>
          <t>arbitrary action by by the criminal</t>
        </is>
      </c>
      <c r="D489">
        <f>HYPERLINK("https://www.youtube.com/watch?v=CSv0pQbo6tg&amp;t=1799s", "Go to time")</f>
        <v/>
      </c>
    </row>
    <row r="490">
      <c r="A490">
        <f>HYPERLINK("https://www.youtube.com/watch?v=tGxyKLsZIGU", "Video")</f>
        <v/>
      </c>
      <c r="B490" t="inlineStr">
        <is>
          <t>0:29</t>
        </is>
      </c>
      <c r="C490" t="inlineStr">
        <is>
          <t>can borrow a little little bit of money</t>
        </is>
      </c>
      <c r="D490">
        <f>HYPERLINK("https://www.youtube.com/watch?v=tGxyKLsZIGU&amp;t=29s", "Go to time")</f>
        <v/>
      </c>
    </row>
    <row r="491">
      <c r="A491">
        <f>HYPERLINK("https://www.youtube.com/watch?v=tGxyKLsZIGU", "Video")</f>
        <v/>
      </c>
      <c r="B491" t="inlineStr">
        <is>
          <t>4:57</t>
        </is>
      </c>
      <c r="C491" t="inlineStr">
        <is>
          <t>little bit of money you'll be able to</t>
        </is>
      </c>
      <c r="D491">
        <f>HYPERLINK("https://www.youtube.com/watch?v=tGxyKLsZIGU&amp;t=297s", "Go to time")</f>
        <v/>
      </c>
    </row>
    <row r="492">
      <c r="A492">
        <f>HYPERLINK("https://www.youtube.com/watch?v=8KRGFyBFJpQ", "Video")</f>
        <v/>
      </c>
      <c r="B492" t="inlineStr">
        <is>
          <t>5:02</t>
        </is>
      </c>
      <c r="C492" t="inlineStr">
        <is>
          <t>in that sense it's a little bit of a</t>
        </is>
      </c>
      <c r="D492">
        <f>HYPERLINK("https://www.youtube.com/watch?v=8KRGFyBFJpQ&amp;t=302s", "Go to time")</f>
        <v/>
      </c>
    </row>
    <row r="493">
      <c r="A493">
        <f>HYPERLINK("https://www.youtube.com/watch?v=3Svp_TRqW78", "Video")</f>
        <v/>
      </c>
      <c r="B493" t="inlineStr">
        <is>
          <t>1:41</t>
        </is>
      </c>
      <c r="C493" t="inlineStr">
        <is>
          <t>and he had the last remaining bits of</t>
        </is>
      </c>
      <c r="D493">
        <f>HYPERLINK("https://www.youtube.com/watch?v=3Svp_TRqW78&amp;t=101s", "Go to time")</f>
        <v/>
      </c>
    </row>
    <row r="494">
      <c r="A494">
        <f>HYPERLINK("https://www.youtube.com/watch?v=B9cQkNv46gQ", "Video")</f>
        <v/>
      </c>
      <c r="B494" t="inlineStr">
        <is>
          <t>0:58</t>
        </is>
      </c>
      <c r="C494" t="inlineStr">
        <is>
          <t>So yeah, we wanted a bit more integrity to
the film than the cliché’s that could have</t>
        </is>
      </c>
      <c r="D494">
        <f>HYPERLINK("https://www.youtube.com/watch?v=B9cQkNv46gQ&amp;t=58s", "Go to time")</f>
        <v/>
      </c>
    </row>
    <row r="495">
      <c r="A495">
        <f>HYPERLINK("https://www.youtube.com/watch?v=PuAwied4x2Q", "Video")</f>
        <v/>
      </c>
      <c r="B495" t="inlineStr">
        <is>
          <t>6:56</t>
        </is>
      </c>
      <c r="C495" t="inlineStr">
        <is>
          <t>when they had a bit of
computing power in their hands.</t>
        </is>
      </c>
      <c r="D495">
        <f>HYPERLINK("https://www.youtube.com/watch?v=PuAwied4x2Q&amp;t=416s", "Go to time")</f>
        <v/>
      </c>
    </row>
    <row r="496">
      <c r="A496">
        <f>HYPERLINK("https://www.youtube.com/watch?v=PuAwied4x2Q", "Video")</f>
        <v/>
      </c>
      <c r="B496" t="inlineStr">
        <is>
          <t>22:07</t>
        </is>
      </c>
      <c r="C496" t="inlineStr">
        <is>
          <t>there was this exhibit called "Futurama,"</t>
        </is>
      </c>
      <c r="D496">
        <f>HYPERLINK("https://www.youtube.com/watch?v=PuAwied4x2Q&amp;t=1327s", "Go to time")</f>
        <v/>
      </c>
    </row>
    <row r="497">
      <c r="A497">
        <f>HYPERLINK("https://www.youtube.com/watch?v=PuAwied4x2Q", "Video")</f>
        <v/>
      </c>
      <c r="B497" t="inlineStr">
        <is>
          <t>22:27</t>
        </is>
      </c>
      <c r="C497" t="inlineStr">
        <is>
          <t>but the one thing across
the entire exhibit</t>
        </is>
      </c>
      <c r="D497">
        <f>HYPERLINK("https://www.youtube.com/watch?v=PuAwied4x2Q&amp;t=1347s", "Go to time")</f>
        <v/>
      </c>
    </row>
    <row r="498">
      <c r="A498">
        <f>HYPERLINK("https://www.youtube.com/watch?v=8RX_pdlXQJQ", "Video")</f>
        <v/>
      </c>
      <c r="B498" t="inlineStr">
        <is>
          <t>1:52</t>
        </is>
      </c>
      <c r="C498" t="inlineStr">
        <is>
          <t>bring a bit of originality that have our own
take on things.</t>
        </is>
      </c>
      <c r="D498">
        <f>HYPERLINK("https://www.youtube.com/watch?v=8RX_pdlXQJQ&amp;t=112s", "Go to time")</f>
        <v/>
      </c>
    </row>
    <row r="499">
      <c r="A499">
        <f>HYPERLINK("https://www.youtube.com/watch?v=W3BmxyA3QPQ", "Video")</f>
        <v/>
      </c>
      <c r="B499" t="inlineStr">
        <is>
          <t>0:10</t>
        </is>
      </c>
      <c r="C499" t="inlineStr">
        <is>
          <t>uh I mean the sign bite answer is you</t>
        </is>
      </c>
      <c r="D499">
        <f>HYPERLINK("https://www.youtube.com/watch?v=W3BmxyA3QPQ&amp;t=10s", "Go to time")</f>
        <v/>
      </c>
    </row>
    <row r="500">
      <c r="A500">
        <f>HYPERLINK("https://www.youtube.com/watch?v=Kj6LvWYiBJA", "Video")</f>
        <v/>
      </c>
      <c r="B500" t="inlineStr">
        <is>
          <t>5:29</t>
        </is>
      </c>
      <c r="C500" t="inlineStr">
        <is>
          <t>and of course, I'm
oversimplifying a little bit-</t>
        </is>
      </c>
      <c r="D500">
        <f>HYPERLINK("https://www.youtube.com/watch?v=Kj6LvWYiBJA&amp;t=329s", "Go to time")</f>
        <v/>
      </c>
    </row>
    <row r="501">
      <c r="A501">
        <f>HYPERLINK("https://www.youtube.com/watch?v=JtPZFl7Pt30", "Video")</f>
        <v/>
      </c>
      <c r="B501" t="inlineStr">
        <is>
          <t>4:58</t>
        </is>
      </c>
      <c r="C501" t="inlineStr">
        <is>
          <t>very inhibiting to a a vibrant and</t>
        </is>
      </c>
      <c r="D501">
        <f>HYPERLINK("https://www.youtube.com/watch?v=JtPZFl7Pt30&amp;t=298s", "Go to time")</f>
        <v/>
      </c>
    </row>
    <row r="502">
      <c r="A502">
        <f>HYPERLINK("https://www.youtube.com/watch?v=YRgjPVZ4DDo", "Video")</f>
        <v/>
      </c>
      <c r="B502" t="inlineStr">
        <is>
          <t>1:34</t>
        </is>
      </c>
      <c r="C502" t="inlineStr">
        <is>
          <t>little bit like the uh the senior</t>
        </is>
      </c>
      <c r="D502">
        <f>HYPERLINK("https://www.youtube.com/watch?v=YRgjPVZ4DDo&amp;t=94s", "Go to time")</f>
        <v/>
      </c>
    </row>
    <row r="503">
      <c r="A503">
        <f>HYPERLINK("https://www.youtube.com/watch?v=YRgjPVZ4DDo", "Video")</f>
        <v/>
      </c>
      <c r="B503" t="inlineStr">
        <is>
          <t>4:30</t>
        </is>
      </c>
      <c r="C503" t="inlineStr">
        <is>
          <t>provide a bit of a safety net for that</t>
        </is>
      </c>
      <c r="D503">
        <f>HYPERLINK("https://www.youtube.com/watch?v=YRgjPVZ4DDo&amp;t=270s", "Go to time")</f>
        <v/>
      </c>
    </row>
    <row r="504">
      <c r="A504">
        <f>HYPERLINK("https://www.youtube.com/watch?v=H2j74HEwV58", "Video")</f>
        <v/>
      </c>
      <c r="B504" t="inlineStr">
        <is>
          <t>4:09</t>
        </is>
      </c>
      <c r="C504" t="inlineStr">
        <is>
          <t>We understand a little bit about it, but there's
much more to be learned.</t>
        </is>
      </c>
      <c r="D504">
        <f>HYPERLINK("https://www.youtube.com/watch?v=H2j74HEwV58&amp;t=249s", "Go to time")</f>
        <v/>
      </c>
    </row>
    <row r="505">
      <c r="A505">
        <f>HYPERLINK("https://www.youtube.com/watch?v=H2j74HEwV58", "Video")</f>
        <v/>
      </c>
      <c r="B505" t="inlineStr">
        <is>
          <t>4:29</t>
        </is>
      </c>
      <c r="C505" t="inlineStr">
        <is>
          <t>inhibit spreading.</t>
        </is>
      </c>
      <c r="D505">
        <f>HYPERLINK("https://www.youtube.com/watch?v=H2j74HEwV58&amp;t=269s", "Go to time")</f>
        <v/>
      </c>
    </row>
    <row r="506">
      <c r="A506">
        <f>HYPERLINK("https://www.youtube.com/watch?v=H2j74HEwV58", "Video")</f>
        <v/>
      </c>
      <c r="B506" t="inlineStr">
        <is>
          <t>6:11</t>
        </is>
      </c>
      <c r="C506" t="inlineStr">
        <is>
          <t>So these clipped off bits of protein, these
little peptides, get filtered from the kidney</t>
        </is>
      </c>
      <c r="D506">
        <f>HYPERLINK("https://www.youtube.com/watch?v=H2j74HEwV58&amp;t=371s", "Go to time")</f>
        <v/>
      </c>
    </row>
    <row r="507">
      <c r="A507">
        <f>HYPERLINK("https://www.youtube.com/watch?v=BOjBXo3hMmY", "Video")</f>
        <v/>
      </c>
      <c r="B507" t="inlineStr">
        <is>
          <t>1:24</t>
        </is>
      </c>
      <c r="C507" t="inlineStr">
        <is>
          <t>obituaries since I'm 19 years old every</t>
        </is>
      </c>
      <c r="D507">
        <f>HYPERLINK("https://www.youtube.com/watch?v=BOjBXo3hMmY&amp;t=84s", "Go to time")</f>
        <v/>
      </c>
    </row>
    <row r="508">
      <c r="A508">
        <f>HYPERLINK("https://www.youtube.com/watch?v=BOjBXo3hMmY", "Video")</f>
        <v/>
      </c>
      <c r="B508" t="inlineStr">
        <is>
          <t>2:30</t>
        </is>
      </c>
      <c r="C508" t="inlineStr">
        <is>
          <t>that's what the obituary is the life</t>
        </is>
      </c>
      <c r="D508">
        <f>HYPERLINK("https://www.youtube.com/watch?v=BOjBXo3hMmY&amp;t=150s", "Go to time")</f>
        <v/>
      </c>
    </row>
    <row r="509">
      <c r="A509">
        <f>HYPERLINK("https://www.youtube.com/watch?v=bu7VulZUUdE", "Video")</f>
        <v/>
      </c>
      <c r="B509" t="inlineStr">
        <is>
          <t>1:42</t>
        </is>
      </c>
      <c r="C509" t="inlineStr">
        <is>
          <t>a rabbit.</t>
        </is>
      </c>
      <c r="D509">
        <f>HYPERLINK("https://www.youtube.com/watch?v=bu7VulZUUdE&amp;t=102s", "Go to time")</f>
        <v/>
      </c>
    </row>
    <row r="510">
      <c r="A510">
        <f>HYPERLINK("https://www.youtube.com/watch?v=BjmPvovl-V4", "Video")</f>
        <v/>
      </c>
      <c r="B510" t="inlineStr">
        <is>
          <t>9:55</t>
        </is>
      </c>
      <c r="C510" t="inlineStr">
        <is>
          <t>has some tiny bit of consciousness.</t>
        </is>
      </c>
      <c r="D510">
        <f>HYPERLINK("https://www.youtube.com/watch?v=BjmPvovl-V4&amp;t=595s", "Go to time")</f>
        <v/>
      </c>
    </row>
    <row r="511">
      <c r="A511">
        <f>HYPERLINK("https://www.youtube.com/watch?v=BjmPvovl-V4", "Video")</f>
        <v/>
      </c>
      <c r="B511" t="inlineStr">
        <is>
          <t>36:08</t>
        </is>
      </c>
      <c r="C511" t="inlineStr">
        <is>
          <t>When we were chatting a bit earlier</t>
        </is>
      </c>
      <c r="D511">
        <f>HYPERLINK("https://www.youtube.com/watch?v=BjmPvovl-V4&amp;t=2168s", "Go to time")</f>
        <v/>
      </c>
    </row>
    <row r="512">
      <c r="A512">
        <f>HYPERLINK("https://www.youtube.com/watch?v=BjmPvovl-V4", "Video")</f>
        <v/>
      </c>
      <c r="B512" t="inlineStr">
        <is>
          <t>36:12</t>
        </is>
      </c>
      <c r="C512" t="inlineStr">
        <is>
          <t>I was having a little bit of trouble</t>
        </is>
      </c>
      <c r="D512">
        <f>HYPERLINK("https://www.youtube.com/watch?v=BjmPvovl-V4&amp;t=2172s", "Go to time")</f>
        <v/>
      </c>
    </row>
    <row r="513">
      <c r="A513">
        <f>HYPERLINK("https://www.youtube.com/watch?v=tljAoZMXUEk", "Video")</f>
        <v/>
      </c>
      <c r="B513" t="inlineStr">
        <is>
          <t>0:28</t>
        </is>
      </c>
      <c r="C513" t="inlineStr">
        <is>
          <t>stuff um there's a a certain ambition um</t>
        </is>
      </c>
      <c r="D513">
        <f>HYPERLINK("https://www.youtube.com/watch?v=tljAoZMXUEk&amp;t=28s", "Go to time")</f>
        <v/>
      </c>
    </row>
    <row r="514">
      <c r="A514">
        <f>HYPERLINK("https://www.youtube.com/watch?v=tljAoZMXUEk", "Video")</f>
        <v/>
      </c>
      <c r="B514" t="inlineStr">
        <is>
          <t>3:18</t>
        </is>
      </c>
      <c r="C514" t="inlineStr">
        <is>
          <t>it in a little bit too passive of a</t>
        </is>
      </c>
      <c r="D514">
        <f>HYPERLINK("https://www.youtube.com/watch?v=tljAoZMXUEk&amp;t=198s", "Go to time")</f>
        <v/>
      </c>
    </row>
    <row r="515">
      <c r="A515">
        <f>HYPERLINK("https://www.youtube.com/watch?v=tljAoZMXUEk", "Video")</f>
        <v/>
      </c>
      <c r="B515" t="inlineStr">
        <is>
          <t>6:01</t>
        </is>
      </c>
      <c r="C515" t="inlineStr">
        <is>
          <t>spinning out of orbit you know there's</t>
        </is>
      </c>
      <c r="D515">
        <f>HYPERLINK("https://www.youtube.com/watch?v=tljAoZMXUEk&amp;t=361s", "Go to time")</f>
        <v/>
      </c>
    </row>
    <row r="516">
      <c r="A516">
        <f>HYPERLINK("https://www.youtube.com/watch?v=tljAoZMXUEk", "Video")</f>
        <v/>
      </c>
      <c r="B516" t="inlineStr">
        <is>
          <t>6:49</t>
        </is>
      </c>
      <c r="C516" t="inlineStr">
        <is>
          <t>bit Nimble and a little bit flexible to</t>
        </is>
      </c>
      <c r="D516">
        <f>HYPERLINK("https://www.youtube.com/watch?v=tljAoZMXUEk&amp;t=409s", "Go to time")</f>
        <v/>
      </c>
    </row>
    <row r="517">
      <c r="A517">
        <f>HYPERLINK("https://www.youtube.com/watch?v=XxXHgGZzojU", "Video")</f>
        <v/>
      </c>
      <c r="B517" t="inlineStr">
        <is>
          <t>2:50</t>
        </is>
      </c>
      <c r="C517" t="inlineStr">
        <is>
          <t>with a little bit more of the female pattern 
and in some circumstances if you have a girl</t>
        </is>
      </c>
      <c r="D517">
        <f>HYPERLINK("https://www.youtube.com/watch?v=XxXHgGZzojU&amp;t=170s", "Go to time")</f>
        <v/>
      </c>
    </row>
    <row r="518">
      <c r="A518">
        <f>HYPERLINK("https://www.youtube.com/watch?v=XxXHgGZzojU", "Video")</f>
        <v/>
      </c>
      <c r="B518" t="inlineStr">
        <is>
          <t>2:54</t>
        </is>
      </c>
      <c r="C518" t="inlineStr">
        <is>
          <t>and she's attracted to girls she'll end up with a 
little bit more of the male pattern in childhood.</t>
        </is>
      </c>
      <c r="D518">
        <f>HYPERLINK("https://www.youtube.com/watch?v=XxXHgGZzojU&amp;t=174s", "Go to time")</f>
        <v/>
      </c>
    </row>
    <row r="519">
      <c r="A519">
        <f>HYPERLINK("https://www.youtube.com/watch?v=XxXHgGZzojU", "Video")</f>
        <v/>
      </c>
      <c r="B519" t="inlineStr">
        <is>
          <t>6:43</t>
        </is>
      </c>
      <c r="C519" t="inlineStr">
        <is>
          <t>of males every successive male will be a little 
bit more likely to be gay. So the father down</t>
        </is>
      </c>
      <c r="D519">
        <f>HYPERLINK("https://www.youtube.com/watch?v=XxXHgGZzojU&amp;t=403s", "Go to time")</f>
        <v/>
      </c>
    </row>
    <row r="520">
      <c r="A520">
        <f>HYPERLINK("https://www.youtube.com/watch?v=XxXHgGZzojU", "Video")</f>
        <v/>
      </c>
      <c r="B520" t="inlineStr">
        <is>
          <t>7:10</t>
        </is>
      </c>
      <c r="C520" t="inlineStr">
        <is>
          <t>little bit, and this results in something 
called the fraternal birth order effect,</t>
        </is>
      </c>
      <c r="D520">
        <f>HYPERLINK("https://www.youtube.com/watch?v=XxXHgGZzojU&amp;t=430s", "Go to time")</f>
        <v/>
      </c>
    </row>
    <row r="521">
      <c r="A521">
        <f>HYPERLINK("https://www.youtube.com/watch?v=_2q7iCzsB54", "Video")</f>
        <v/>
      </c>
      <c r="B521" t="inlineStr">
        <is>
          <t>3:08</t>
        </is>
      </c>
      <c r="C521" t="inlineStr">
        <is>
          <t>nutritional habits lack of exercise all</t>
        </is>
      </c>
      <c r="D521">
        <f>HYPERLINK("https://www.youtube.com/watch?v=_2q7iCzsB54&amp;t=188s", "Go to time")</f>
        <v/>
      </c>
    </row>
    <row r="522">
      <c r="A522">
        <f>HYPERLINK("https://www.youtube.com/watch?v=VhZxtb3LVU4", "Video")</f>
        <v/>
      </c>
      <c r="B522" t="inlineStr">
        <is>
          <t>3:53</t>
        </is>
      </c>
      <c r="C522" t="inlineStr">
        <is>
          <t>or making a little bit less money making</t>
        </is>
      </c>
      <c r="D522">
        <f>HYPERLINK("https://www.youtube.com/watch?v=VhZxtb3LVU4&amp;t=233s", "Go to time")</f>
        <v/>
      </c>
    </row>
    <row r="523">
      <c r="A523">
        <f>HYPERLINK("https://www.youtube.com/watch?v=oT8JM7o4WtM", "Video")</f>
        <v/>
      </c>
      <c r="B523" t="inlineStr">
        <is>
          <t>0:34</t>
        </is>
      </c>
      <c r="C523" t="inlineStr">
        <is>
          <t>And so I say we're entering the second Well,
some people are a little bit hesitant to pass</t>
        </is>
      </c>
      <c r="D523">
        <f>HYPERLINK("https://www.youtube.com/watch?v=oT8JM7o4WtM&amp;t=34s", "Go to time")</f>
        <v/>
      </c>
    </row>
    <row r="524">
      <c r="A524">
        <f>HYPERLINK("https://www.youtube.com/watch?v=oT8JM7o4WtM", "Video")</f>
        <v/>
      </c>
      <c r="B524" t="inlineStr">
        <is>
          <t>1:04</t>
        </is>
      </c>
      <c r="C524" t="inlineStr">
        <is>
          <t>Because $10,000 to put a pound of anything
into orbit around the planet Earth, just $10,000</t>
        </is>
      </c>
      <c r="D524">
        <f>HYPERLINK("https://www.youtube.com/watch?v=oT8JM7o4WtM&amp;t=64s", "Go to time")</f>
        <v/>
      </c>
    </row>
    <row r="525">
      <c r="A525">
        <f>HYPERLINK("https://www.youtube.com/watch?v=O9sLCp2Jq74", "Video")</f>
        <v/>
      </c>
      <c r="B525" t="inlineStr">
        <is>
          <t>8:48</t>
        </is>
      </c>
      <c r="C525" t="inlineStr">
        <is>
          <t>to change the nonprofit
structure a little bit in order</t>
        </is>
      </c>
      <c r="D525">
        <f>HYPERLINK("https://www.youtube.com/watch?v=O9sLCp2Jq74&amp;t=528s", "Go to time")</f>
        <v/>
      </c>
    </row>
    <row r="526">
      <c r="A526">
        <f>HYPERLINK("https://www.youtube.com/watch?v=O9sLCp2Jq74", "Video")</f>
        <v/>
      </c>
      <c r="B526" t="inlineStr">
        <is>
          <t>9:50</t>
        </is>
      </c>
      <c r="C526" t="inlineStr">
        <is>
          <t>So, so there was, you know,
there was a little bit</t>
        </is>
      </c>
      <c r="D526">
        <f>HYPERLINK("https://www.youtube.com/watch?v=O9sLCp2Jq74&amp;t=590s", "Go to time")</f>
        <v/>
      </c>
    </row>
    <row r="527">
      <c r="A527">
        <f>HYPERLINK("https://www.youtube.com/watch?v=O9sLCp2Jq74", "Video")</f>
        <v/>
      </c>
      <c r="B527" t="inlineStr">
        <is>
          <t>14:12</t>
        </is>
      </c>
      <c r="C527" t="inlineStr">
        <is>
          <t>So I think he is a bit
of a polarizing figure.</t>
        </is>
      </c>
      <c r="D527">
        <f>HYPERLINK("https://www.youtube.com/watch?v=O9sLCp2Jq74&amp;t=852s", "Go to time")</f>
        <v/>
      </c>
    </row>
    <row r="528">
      <c r="A528">
        <f>HYPERLINK("https://www.youtube.com/watch?v=O9sLCp2Jq74", "Video")</f>
        <v/>
      </c>
      <c r="B528" t="inlineStr">
        <is>
          <t>14:46</t>
        </is>
      </c>
      <c r="C528" t="inlineStr">
        <is>
          <t>that he's a little bit
duplicitous in this regard.</t>
        </is>
      </c>
      <c r="D528">
        <f>HYPERLINK("https://www.youtube.com/watch?v=O9sLCp2Jq74&amp;t=886s", "Go to time")</f>
        <v/>
      </c>
    </row>
    <row r="529">
      <c r="A529">
        <f>HYPERLINK("https://www.youtube.com/watch?v=O9sLCp2Jq74", "Video")</f>
        <v/>
      </c>
      <c r="B529" t="inlineStr">
        <is>
          <t>15:10</t>
        </is>
      </c>
      <c r="C529" t="inlineStr">
        <is>
          <t>or is it actually a bit of a habit?</t>
        </is>
      </c>
      <c r="D529">
        <f>HYPERLINK("https://www.youtube.com/watch?v=O9sLCp2Jq74&amp;t=910s", "Go to time")</f>
        <v/>
      </c>
    </row>
    <row r="530">
      <c r="A530">
        <f>HYPERLINK("https://www.youtube.com/watch?v=O9sLCp2Jq74", "Video")</f>
        <v/>
      </c>
      <c r="B530" t="inlineStr">
        <is>
          <t>15:35</t>
        </is>
      </c>
      <c r="C530" t="inlineStr">
        <is>
          <t>So like, it's just sort
of habitual for him.</t>
        </is>
      </c>
      <c r="D530">
        <f>HYPERLINK("https://www.youtube.com/watch?v=O9sLCp2Jq74&amp;t=935s", "Go to time")</f>
        <v/>
      </c>
    </row>
    <row r="531">
      <c r="A531">
        <f>HYPERLINK("https://www.youtube.com/watch?v=O9sLCp2Jq74", "Video")</f>
        <v/>
      </c>
      <c r="B531" t="inlineStr">
        <is>
          <t>15:49</t>
        </is>
      </c>
      <c r="C531" t="inlineStr">
        <is>
          <t>- And I'm curious to talk
about Greg Brockman a bit.</t>
        </is>
      </c>
      <c r="D531">
        <f>HYPERLINK("https://www.youtube.com/watch?v=O9sLCp2Jq74&amp;t=949s", "Go to time")</f>
        <v/>
      </c>
    </row>
    <row r="532">
      <c r="A532">
        <f>HYPERLINK("https://www.youtube.com/watch?v=O9sLCp2Jq74", "Video")</f>
        <v/>
      </c>
      <c r="B532" t="inlineStr">
        <is>
          <t>28:47</t>
        </is>
      </c>
      <c r="C532" t="inlineStr">
        <is>
          <t>that they need exorbitant amounts of money</t>
        </is>
      </c>
      <c r="D532">
        <f>HYPERLINK("https://www.youtube.com/watch?v=O9sLCp2Jq74&amp;t=1727s", "Go to time")</f>
        <v/>
      </c>
    </row>
    <row r="533">
      <c r="A533">
        <f>HYPERLINK("https://www.youtube.com/watch?v=O9sLCp2Jq74", "Video")</f>
        <v/>
      </c>
      <c r="B533" t="inlineStr">
        <is>
          <t>50:36</t>
        </is>
      </c>
      <c r="C533" t="inlineStr">
        <is>
          <t>as a, as a bit of a champion</t>
        </is>
      </c>
      <c r="D533">
        <f>HYPERLINK("https://www.youtube.com/watch?v=O9sLCp2Jq74&amp;t=3036s", "Go to time")</f>
        <v/>
      </c>
    </row>
    <row r="534">
      <c r="A534">
        <f>HYPERLINK("https://www.youtube.com/watch?v=OGJaYoFTufQ", "Video")</f>
        <v/>
      </c>
      <c r="B534" t="inlineStr">
        <is>
          <t>1:32</t>
        </is>
      </c>
      <c r="C534" t="inlineStr">
        <is>
          <t>because of this sound bite culture and</t>
        </is>
      </c>
      <c r="D534">
        <f>HYPERLINK("https://www.youtube.com/watch?v=OGJaYoFTufQ&amp;t=92s", "Go to time")</f>
        <v/>
      </c>
    </row>
    <row r="535">
      <c r="A535">
        <f>HYPERLINK("https://www.youtube.com/watch?v=Ywec1MbeQDk", "Video")</f>
        <v/>
      </c>
      <c r="B535" t="inlineStr">
        <is>
          <t>0:04</t>
        </is>
      </c>
      <c r="C535" t="inlineStr">
        <is>
          <t>- Habits kind of got a
bad name in psychology.</t>
        </is>
      </c>
      <c r="D535">
        <f>HYPERLINK("https://www.youtube.com/watch?v=Ywec1MbeQDk&amp;t=4s", "Go to time")</f>
        <v/>
      </c>
    </row>
    <row r="536">
      <c r="A536">
        <f>HYPERLINK("https://www.youtube.com/watch?v=Ywec1MbeQDk", "Video")</f>
        <v/>
      </c>
      <c r="B536" t="inlineStr">
        <is>
          <t>0:18</t>
        </is>
      </c>
      <c r="C536" t="inlineStr">
        <is>
          <t>Because your dogs learn through habits,</t>
        </is>
      </c>
      <c r="D536">
        <f>HYPERLINK("https://www.youtube.com/watch?v=Ywec1MbeQDk&amp;t=18s", "Go to time")</f>
        <v/>
      </c>
    </row>
    <row r="537">
      <c r="A537">
        <f>HYPERLINK("https://www.youtube.com/watch?v=Ywec1MbeQDk", "Video")</f>
        <v/>
      </c>
      <c r="B537" t="inlineStr">
        <is>
          <t>0:33</t>
        </is>
      </c>
      <c r="C537" t="inlineStr">
        <is>
          <t>Habits don't involve
much conscious thought,</t>
        </is>
      </c>
      <c r="D537">
        <f>HYPERLINK("https://www.youtube.com/watch?v=Ywec1MbeQDk&amp;t=33s", "Go to time")</f>
        <v/>
      </c>
    </row>
    <row r="538">
      <c r="A538">
        <f>HYPERLINK("https://www.youtube.com/watch?v=Ywec1MbeQDk", "Video")</f>
        <v/>
      </c>
      <c r="B538" t="inlineStr">
        <is>
          <t>0:50</t>
        </is>
      </c>
      <c r="C538" t="inlineStr">
        <is>
          <t>that people act on habits</t>
        </is>
      </c>
      <c r="D538">
        <f>HYPERLINK("https://www.youtube.com/watch?v=Ywec1MbeQDk&amp;t=50s", "Go to time")</f>
        <v/>
      </c>
    </row>
    <row r="539">
      <c r="A539">
        <f>HYPERLINK("https://www.youtube.com/watch?v=Ywec1MbeQDk", "Video")</f>
        <v/>
      </c>
      <c r="B539" t="inlineStr">
        <is>
          <t>1:03</t>
        </is>
      </c>
      <c r="C539" t="inlineStr">
        <is>
          <t>I do research on habits</t>
        </is>
      </c>
      <c r="D539">
        <f>HYPERLINK("https://www.youtube.com/watch?v=Ywec1MbeQDk&amp;t=63s", "Go to time")</f>
        <v/>
      </c>
    </row>
    <row r="540">
      <c r="A540">
        <f>HYPERLINK("https://www.youtube.com/watch?v=Ywec1MbeQDk", "Video")</f>
        <v/>
      </c>
      <c r="B540" t="inlineStr">
        <is>
          <t>2:20</t>
        </is>
      </c>
      <c r="C540" t="inlineStr">
        <is>
          <t>because they had formed a
habit to take the stairs,</t>
        </is>
      </c>
      <c r="D540">
        <f>HYPERLINK("https://www.youtube.com/watch?v=Ywec1MbeQDk&amp;t=140s", "Go to time")</f>
        <v/>
      </c>
    </row>
    <row r="541">
      <c r="A541">
        <f>HYPERLINK("https://www.youtube.com/watch?v=Ywec1MbeQDk", "Video")</f>
        <v/>
      </c>
      <c r="B541" t="inlineStr">
        <is>
          <t>2:48</t>
        </is>
      </c>
      <c r="C541" t="inlineStr">
        <is>
          <t>and so what behaviors become a habit.</t>
        </is>
      </c>
      <c r="D541">
        <f>HYPERLINK("https://www.youtube.com/watch?v=Ywec1MbeQDk&amp;t=168s", "Go to time")</f>
        <v/>
      </c>
    </row>
    <row r="542">
      <c r="A542">
        <f>HYPERLINK("https://www.youtube.com/watch?v=Ywec1MbeQDk", "Video")</f>
        <v/>
      </c>
      <c r="B542" t="inlineStr">
        <is>
          <t>3:03</t>
        </is>
      </c>
      <c r="C542" t="inlineStr">
        <is>
          <t>to start to change our habits, right?</t>
        </is>
      </c>
      <c r="D542">
        <f>HYPERLINK("https://www.youtube.com/watch?v=Ywec1MbeQDk&amp;t=183s", "Go to time")</f>
        <v/>
      </c>
    </row>
    <row r="543">
      <c r="A543">
        <f>HYPERLINK("https://www.youtube.com/watch?v=Ywec1MbeQDk", "Video")</f>
        <v/>
      </c>
      <c r="B543" t="inlineStr">
        <is>
          <t>3:06</t>
        </is>
      </c>
      <c r="C543" t="inlineStr">
        <is>
          <t>Exert self-control, and our
habits will then change.</t>
        </is>
      </c>
      <c r="D543">
        <f>HYPERLINK("https://www.youtube.com/watch?v=Ywec1MbeQDk&amp;t=186s", "Go to time")</f>
        <v/>
      </c>
    </row>
    <row r="544">
      <c r="A544">
        <f>HYPERLINK("https://www.youtube.com/watch?v=Ywec1MbeQDk", "Video")</f>
        <v/>
      </c>
      <c r="B544" t="inlineStr">
        <is>
          <t>3:15</t>
        </is>
      </c>
      <c r="C544" t="inlineStr">
        <is>
          <t>Our habits are stored</t>
        </is>
      </c>
      <c r="D544">
        <f>HYPERLINK("https://www.youtube.com/watch?v=Ywec1MbeQDk&amp;t=195s", "Go to time")</f>
        <v/>
      </c>
    </row>
    <row r="545">
      <c r="A545">
        <f>HYPERLINK("https://www.youtube.com/watch?v=Ywec1MbeQDk", "Video")</f>
        <v/>
      </c>
      <c r="B545" t="inlineStr">
        <is>
          <t>3:30</t>
        </is>
      </c>
      <c r="C545" t="inlineStr">
        <is>
          <t>And so, there's no way you
can change that habit memory</t>
        </is>
      </c>
      <c r="D545">
        <f>HYPERLINK("https://www.youtube.com/watch?v=Ywec1MbeQDk&amp;t=210s", "Go to time")</f>
        <v/>
      </c>
    </row>
    <row r="546">
      <c r="A546">
        <f>HYPERLINK("https://www.youtube.com/watch?v=Ywec1MbeQDk", "Video")</f>
        <v/>
      </c>
      <c r="B546" t="inlineStr">
        <is>
          <t>3:53</t>
        </is>
      </c>
      <c r="C546" t="inlineStr">
        <is>
          <t>Rewards get us to repeat
behaviors and form habits.</t>
        </is>
      </c>
      <c r="D546">
        <f>HYPERLINK("https://www.youtube.com/watch?v=Ywec1MbeQDk&amp;t=233s", "Go to time")</f>
        <v/>
      </c>
    </row>
    <row r="547">
      <c r="A547">
        <f>HYPERLINK("https://www.youtube.com/watch?v=Ywec1MbeQDk", "Video")</f>
        <v/>
      </c>
      <c r="B547" t="inlineStr">
        <is>
          <t>4:08</t>
        </is>
      </c>
      <c r="C547" t="inlineStr">
        <is>
          <t>Habits reorganize the way we
store information in memory.</t>
        </is>
      </c>
      <c r="D547">
        <f>HYPERLINK("https://www.youtube.com/watch?v=Ywec1MbeQDk&amp;t=248s", "Go to time")</f>
        <v/>
      </c>
    </row>
    <row r="548">
      <c r="A548">
        <f>HYPERLINK("https://www.youtube.com/watch?v=Ywec1MbeQDk", "Video")</f>
        <v/>
      </c>
      <c r="B548" t="inlineStr">
        <is>
          <t>4:55</t>
        </is>
      </c>
      <c r="C548" t="inlineStr">
        <is>
          <t>that our habits help
give us meaning in life.</t>
        </is>
      </c>
      <c r="D548">
        <f>HYPERLINK("https://www.youtube.com/watch?v=Ywec1MbeQDk&amp;t=295s", "Go to time")</f>
        <v/>
      </c>
    </row>
    <row r="549">
      <c r="A549">
        <f>HYPERLINK("https://www.youtube.com/watch?v=Ywec1MbeQDk", "Video")</f>
        <v/>
      </c>
      <c r="B549" t="inlineStr">
        <is>
          <t>5:00</t>
        </is>
      </c>
      <c r="C549" t="inlineStr">
        <is>
          <t>Rituals have a habit component.</t>
        </is>
      </c>
      <c r="D549">
        <f>HYPERLINK("https://www.youtube.com/watch?v=Ywec1MbeQDk&amp;t=300s", "Go to time")</f>
        <v/>
      </c>
    </row>
    <row r="550">
      <c r="A550">
        <f>HYPERLINK("https://www.youtube.com/watch?v=Ywec1MbeQDk", "Video")</f>
        <v/>
      </c>
      <c r="B550" t="inlineStr">
        <is>
          <t>5:08</t>
        </is>
      </c>
      <c r="C550" t="inlineStr">
        <is>
          <t>really are kind of automatic and habitual.</t>
        </is>
      </c>
      <c r="D550">
        <f>HYPERLINK("https://www.youtube.com/watch?v=Ywec1MbeQDk&amp;t=308s", "Go to time")</f>
        <v/>
      </c>
    </row>
    <row r="551">
      <c r="A551">
        <f>HYPERLINK("https://www.youtube.com/watch?v=kJGxVeQw3SE", "Video")</f>
        <v/>
      </c>
      <c r="B551" t="inlineStr">
        <is>
          <t>3:14</t>
        </is>
      </c>
      <c r="C551" t="inlineStr">
        <is>
          <t>For an atheist, it's a burlesque; it's a little
bit of a joke you can dismiss her.</t>
        </is>
      </c>
      <c r="D551">
        <f>HYPERLINK("https://www.youtube.com/watch?v=kJGxVeQw3SE&amp;t=194s", "Go to time")</f>
        <v/>
      </c>
    </row>
    <row r="552">
      <c r="A552">
        <f>HYPERLINK("https://www.youtube.com/watch?v=0Ov6ztnqfGc", "Video")</f>
        <v/>
      </c>
      <c r="B552" t="inlineStr">
        <is>
          <t>2:02</t>
        </is>
      </c>
      <c r="C552" t="inlineStr">
        <is>
          <t>fight to get that little bit of water so</t>
        </is>
      </c>
      <c r="D552">
        <f>HYPERLINK("https://www.youtube.com/watch?v=0Ov6ztnqfGc&amp;t=122s", "Go to time")</f>
        <v/>
      </c>
    </row>
    <row r="553">
      <c r="A553">
        <f>HYPERLINK("https://www.youtube.com/watch?v=jdOPIFpK5hc", "Video")</f>
        <v/>
      </c>
      <c r="B553" t="inlineStr">
        <is>
          <t>4:00</t>
        </is>
      </c>
      <c r="C553" t="inlineStr">
        <is>
          <t>and, by my own metric, being
just a little bit neurotic</t>
        </is>
      </c>
      <c r="D553">
        <f>HYPERLINK("https://www.youtube.com/watch?v=jdOPIFpK5hc&amp;t=240s", "Go to time")</f>
        <v/>
      </c>
    </row>
    <row r="554">
      <c r="A554">
        <f>HYPERLINK("https://www.youtube.com/watch?v=ikvrwOnay3g", "Video")</f>
        <v/>
      </c>
      <c r="B554" t="inlineStr">
        <is>
          <t>5:39</t>
        </is>
      </c>
      <c r="C554" t="inlineStr">
        <is>
          <t>to take bits and pieces of past experience</t>
        </is>
      </c>
      <c r="D554">
        <f>HYPERLINK("https://www.youtube.com/watch?v=ikvrwOnay3g&amp;t=339s", "Go to time")</f>
        <v/>
      </c>
    </row>
    <row r="555">
      <c r="A555">
        <f>HYPERLINK("https://www.youtube.com/watch?v=Qe9WK-dZN8M", "Video")</f>
        <v/>
      </c>
      <c r="B555" t="inlineStr">
        <is>
          <t>0:36</t>
        </is>
      </c>
      <c r="C555" t="inlineStr">
        <is>
          <t>France I think have a little bit of a</t>
        </is>
      </c>
      <c r="D555">
        <f>HYPERLINK("https://www.youtube.com/watch?v=Qe9WK-dZN8M&amp;t=36s", "Go to time")</f>
        <v/>
      </c>
    </row>
    <row r="556">
      <c r="A556">
        <f>HYPERLINK("https://www.youtube.com/watch?v=Qe9WK-dZN8M", "Video")</f>
        <v/>
      </c>
      <c r="B556" t="inlineStr">
        <is>
          <t>1:06</t>
        </is>
      </c>
      <c r="C556" t="inlineStr">
        <is>
          <t>little bit more of it's a more of a</t>
        </is>
      </c>
      <c r="D556">
        <f>HYPERLINK("https://www.youtube.com/watch?v=Qe9WK-dZN8M&amp;t=66s", "Go to time")</f>
        <v/>
      </c>
    </row>
    <row r="557">
      <c r="A557">
        <f>HYPERLINK("https://www.youtube.com/watch?v=Qe9WK-dZN8M", "Video")</f>
        <v/>
      </c>
      <c r="B557" t="inlineStr">
        <is>
          <t>1:13</t>
        </is>
      </c>
      <c r="C557" t="inlineStr">
        <is>
          <t>little bit more of a formal institution</t>
        </is>
      </c>
      <c r="D557">
        <f>HYPERLINK("https://www.youtube.com/watch?v=Qe9WK-dZN8M&amp;t=73s", "Go to time")</f>
        <v/>
      </c>
    </row>
    <row r="558">
      <c r="A558">
        <f>HYPERLINK("https://www.youtube.com/watch?v=LyZZVRq09vQ", "Video")</f>
        <v/>
      </c>
      <c r="B558" t="inlineStr">
        <is>
          <t>0:21</t>
        </is>
      </c>
      <c r="C558" t="inlineStr">
        <is>
          <t>which some observers considered a bit</t>
        </is>
      </c>
      <c r="D558">
        <f>HYPERLINK("https://www.youtube.com/watch?v=LyZZVRq09vQ&amp;t=21s", "Go to time")</f>
        <v/>
      </c>
    </row>
    <row r="559">
      <c r="A559">
        <f>HYPERLINK("https://www.youtube.com/watch?v=clsCuzG-Yho", "Video")</f>
        <v/>
      </c>
      <c r="B559" t="inlineStr">
        <is>
          <t>0:37</t>
        </is>
      </c>
      <c r="C559" t="inlineStr">
        <is>
          <t>bit of your left side and they have to</t>
        </is>
      </c>
      <c r="D559">
        <f>HYPERLINK("https://www.youtube.com/watch?v=clsCuzG-Yho&amp;t=37s", "Go to time")</f>
        <v/>
      </c>
    </row>
    <row r="560">
      <c r="A560">
        <f>HYPERLINK("https://www.youtube.com/watch?v=Gv-QISxPsFw", "Video")</f>
        <v/>
      </c>
      <c r="B560" t="inlineStr">
        <is>
          <t>1:59</t>
        </is>
      </c>
      <c r="C560" t="inlineStr">
        <is>
          <t>each other a little bit but I find that</t>
        </is>
      </c>
      <c r="D560">
        <f>HYPERLINK("https://www.youtube.com/watch?v=Gv-QISxPsFw&amp;t=119s", "Go to time")</f>
        <v/>
      </c>
    </row>
    <row r="561">
      <c r="A561">
        <f>HYPERLINK("https://www.youtube.com/watch?v=rlYNgqXCnhc", "Video")</f>
        <v/>
      </c>
      <c r="B561" t="inlineStr">
        <is>
          <t>2:25</t>
        </is>
      </c>
      <c r="C561" t="inlineStr">
        <is>
          <t>economy. A lot of ambitious code has</t>
        </is>
      </c>
      <c r="D561">
        <f>HYPERLINK("https://www.youtube.com/watch?v=rlYNgqXCnhc&amp;t=145s", "Go to time")</f>
        <v/>
      </c>
    </row>
    <row r="562">
      <c r="A562">
        <f>HYPERLINK("https://www.youtube.com/watch?v=UXnLOtuE7LE", "Video")</f>
        <v/>
      </c>
      <c r="B562" t="inlineStr">
        <is>
          <t>6:32</t>
        </is>
      </c>
      <c r="C562" t="inlineStr">
        <is>
          <t>bit into the background sometimes we we</t>
        </is>
      </c>
      <c r="D562">
        <f>HYPERLINK("https://www.youtube.com/watch?v=UXnLOtuE7LE&amp;t=392s", "Go to time")</f>
        <v/>
      </c>
    </row>
    <row r="563">
      <c r="A563">
        <f>HYPERLINK("https://www.youtube.com/watch?v=BJfmfkDQb14", "Video")</f>
        <v/>
      </c>
      <c r="B563" t="inlineStr">
        <is>
          <t>3:35</t>
        </is>
      </c>
      <c r="C563" t="inlineStr">
        <is>
          <t>When, as a kid, you get bitten by a dog,</t>
        </is>
      </c>
      <c r="D563">
        <f>HYPERLINK("https://www.youtube.com/watch?v=BJfmfkDQb14&amp;t=215s", "Go to time")</f>
        <v/>
      </c>
    </row>
    <row r="564">
      <c r="A564">
        <f>HYPERLINK("https://www.youtube.com/watch?v=BJfmfkDQb14", "Video")</f>
        <v/>
      </c>
      <c r="B564" t="inlineStr">
        <is>
          <t>3:51</t>
        </is>
      </c>
      <c r="C564" t="inlineStr">
        <is>
          <t>The dog bite doesn't become a big issue</t>
        </is>
      </c>
      <c r="D564">
        <f>HYPERLINK("https://www.youtube.com/watch?v=BJfmfkDQb14&amp;t=231s", "Go to time")</f>
        <v/>
      </c>
    </row>
    <row r="565">
      <c r="A565">
        <f>HYPERLINK("https://www.youtube.com/watch?v=0cZi_sU3SJI", "Video")</f>
        <v/>
      </c>
      <c r="B565" t="inlineStr">
        <is>
          <t>0:25</t>
        </is>
      </c>
      <c r="C565" t="inlineStr">
        <is>
          <t>changes incrementally a little bit</t>
        </is>
      </c>
      <c r="D565">
        <f>HYPERLINK("https://www.youtube.com/watch?v=0cZi_sU3SJI&amp;t=25s", "Go to time")</f>
        <v/>
      </c>
    </row>
    <row r="566">
      <c r="A566">
        <f>HYPERLINK("https://www.youtube.com/watch?v=MoOHWHEJOLU", "Video")</f>
        <v/>
      </c>
      <c r="B566" t="inlineStr">
        <is>
          <t>0:15</t>
        </is>
      </c>
      <c r="C566" t="inlineStr">
        <is>
          <t>profound mistake it's a little bit like</t>
        </is>
      </c>
      <c r="D566">
        <f>HYPERLINK("https://www.youtube.com/watch?v=MoOHWHEJOLU&amp;t=15s", "Go to time")</f>
        <v/>
      </c>
    </row>
    <row r="567">
      <c r="A567">
        <f>HYPERLINK("https://www.youtube.com/watch?v=lZqhSCu0Vbk", "Video")</f>
        <v/>
      </c>
      <c r="B567" t="inlineStr">
        <is>
          <t>0:50</t>
        </is>
      </c>
      <c r="C567" t="inlineStr">
        <is>
          <t>arbitrary and it was really that</t>
        </is>
      </c>
      <c r="D567">
        <f>HYPERLINK("https://www.youtube.com/watch?v=lZqhSCu0Vbk&amp;t=50s", "Go to time")</f>
        <v/>
      </c>
    </row>
    <row r="568">
      <c r="A568">
        <f>HYPERLINK("https://www.youtube.com/watch?v=JFRK5p_Oxu0", "Video")</f>
        <v/>
      </c>
      <c r="B568" t="inlineStr">
        <is>
          <t>2:27</t>
        </is>
      </c>
      <c r="C568" t="inlineStr">
        <is>
          <t>Now, of course, it sounds
a little bit idyllic</t>
        </is>
      </c>
      <c r="D568">
        <f>HYPERLINK("https://www.youtube.com/watch?v=JFRK5p_Oxu0&amp;t=147s", "Go to time")</f>
        <v/>
      </c>
    </row>
    <row r="569">
      <c r="A569">
        <f>HYPERLINK("https://www.youtube.com/watch?v=JFRK5p_Oxu0", "Video")</f>
        <v/>
      </c>
      <c r="B569" t="inlineStr">
        <is>
          <t>4:05</t>
        </is>
      </c>
      <c r="C569" t="inlineStr">
        <is>
          <t>Everybody had to do their bit.</t>
        </is>
      </c>
      <c r="D569">
        <f>HYPERLINK("https://www.youtube.com/watch?v=JFRK5p_Oxu0&amp;t=245s", "Go to time")</f>
        <v/>
      </c>
    </row>
    <row r="570">
      <c r="A570">
        <f>HYPERLINK("https://www.youtube.com/watch?v=JFRK5p_Oxu0", "Video")</f>
        <v/>
      </c>
      <c r="B570" t="inlineStr">
        <is>
          <t>8:23</t>
        </is>
      </c>
      <c r="C570" t="inlineStr">
        <is>
          <t>is to inherit a bit of wealth
and put that wealth to work.</t>
        </is>
      </c>
      <c r="D570">
        <f>HYPERLINK("https://www.youtube.com/watch?v=JFRK5p_Oxu0&amp;t=503s", "Go to time")</f>
        <v/>
      </c>
    </row>
    <row r="571">
      <c r="A571">
        <f>HYPERLINK("https://www.youtube.com/watch?v=FNKApPrhlew", "Video")</f>
        <v/>
      </c>
      <c r="B571" t="inlineStr">
        <is>
          <t>2:50</t>
        </is>
      </c>
      <c r="C571" t="inlineStr">
        <is>
          <t>We are habit-forming animals,</t>
        </is>
      </c>
      <c r="D571">
        <f>HYPERLINK("https://www.youtube.com/watch?v=FNKApPrhlew&amp;t=170s", "Go to time")</f>
        <v/>
      </c>
    </row>
    <row r="572">
      <c r="A572">
        <f>HYPERLINK("https://www.youtube.com/watch?v=xAnkEG2K_Jg", "Video")</f>
        <v/>
      </c>
      <c r="B572" t="inlineStr">
        <is>
          <t>0:26</t>
        </is>
      </c>
      <c r="C572" t="inlineStr">
        <is>
          <t>are yearly scholarships like fbite there</t>
        </is>
      </c>
      <c r="D572">
        <f>HYPERLINK("https://www.youtube.com/watch?v=xAnkEG2K_Jg&amp;t=26s", "Go to time")</f>
        <v/>
      </c>
    </row>
    <row r="573">
      <c r="A573">
        <f>HYPERLINK("https://www.youtube.com/watch?v=IUiMBlV8J-U", "Video")</f>
        <v/>
      </c>
      <c r="B573" t="inlineStr">
        <is>
          <t>7:13</t>
        </is>
      </c>
      <c r="C573" t="inlineStr">
        <is>
          <t>had a little bit of time off recently</t>
        </is>
      </c>
      <c r="D573">
        <f>HYPERLINK("https://www.youtube.com/watch?v=IUiMBlV8J-U&amp;t=433s", "Go to time")</f>
        <v/>
      </c>
    </row>
    <row r="574">
      <c r="A574">
        <f>HYPERLINK("https://www.youtube.com/watch?v=gqxpi4KYBoM", "Video")</f>
        <v/>
      </c>
      <c r="B574" t="inlineStr">
        <is>
          <t>1:46</t>
        </is>
      </c>
      <c r="C574" t="inlineStr">
        <is>
          <t>just like any other habit
or routine or ritual</t>
        </is>
      </c>
      <c r="D574">
        <f>HYPERLINK("https://www.youtube.com/watch?v=gqxpi4KYBoM&amp;t=106s", "Go to time")</f>
        <v/>
      </c>
    </row>
    <row r="575">
      <c r="A575">
        <f>HYPERLINK("https://www.youtube.com/watch?v=bmKIEHwMY80", "Video")</f>
        <v/>
      </c>
      <c r="B575" t="inlineStr">
        <is>
          <t>8:21</t>
        </is>
      </c>
      <c r="C575" t="inlineStr">
        <is>
          <t>of arbitrarily give it a place to go and</t>
        </is>
      </c>
      <c r="D575">
        <f>HYPERLINK("https://www.youtube.com/watch?v=bmKIEHwMY80&amp;t=501s", "Go to time")</f>
        <v/>
      </c>
    </row>
    <row r="576">
      <c r="A576">
        <f>HYPERLINK("https://www.youtube.com/watch?v=Sz1n0RHwLqA", "Video")</f>
        <v/>
      </c>
      <c r="B576" t="inlineStr">
        <is>
          <t>1:01</t>
        </is>
      </c>
      <c r="C576" t="inlineStr">
        <is>
          <t>became a little bit sharper</t>
        </is>
      </c>
      <c r="D576">
        <f>HYPERLINK("https://www.youtube.com/watch?v=Sz1n0RHwLqA&amp;t=61s", "Go to time")</f>
        <v/>
      </c>
    </row>
    <row r="577">
      <c r="A577">
        <f>HYPERLINK("https://www.youtube.com/watch?v=Sz1n0RHwLqA", "Video")</f>
        <v/>
      </c>
      <c r="B577" t="inlineStr">
        <is>
          <t>5:45</t>
        </is>
      </c>
      <c r="C577" t="inlineStr">
        <is>
          <t>No, but it's a little bit of evidence</t>
        </is>
      </c>
      <c r="D577">
        <f>HYPERLINK("https://www.youtube.com/watch?v=Sz1n0RHwLqA&amp;t=345s", "Go to time")</f>
        <v/>
      </c>
    </row>
    <row r="578">
      <c r="A578">
        <f>HYPERLINK("https://www.youtube.com/watch?v=UvPJUy3mFl4", "Video")</f>
        <v/>
      </c>
      <c r="B578" t="inlineStr">
        <is>
          <t>3:39</t>
        </is>
      </c>
      <c r="C578" t="inlineStr">
        <is>
          <t>wonderful rise uh stagnating a bit or</t>
        </is>
      </c>
      <c r="D578">
        <f>HYPERLINK("https://www.youtube.com/watch?v=UvPJUy3mFl4&amp;t=219s", "Go to time")</f>
        <v/>
      </c>
    </row>
    <row r="579">
      <c r="A579">
        <f>HYPERLINK("https://www.youtube.com/watch?v=_pUxqKqnMlQ", "Video")</f>
        <v/>
      </c>
      <c r="B579" t="inlineStr">
        <is>
          <t>6:05</t>
        </is>
      </c>
      <c r="C579" t="inlineStr">
        <is>
          <t>and the sort of arbitrary nature</t>
        </is>
      </c>
      <c r="D579">
        <f>HYPERLINK("https://www.youtube.com/watch?v=_pUxqKqnMlQ&amp;t=365s", "Go to time")</f>
        <v/>
      </c>
    </row>
    <row r="580">
      <c r="A580">
        <f>HYPERLINK("https://www.youtube.com/watch?v=9qGcelNEf2A", "Video")</f>
        <v/>
      </c>
      <c r="B580" t="inlineStr">
        <is>
          <t>0:02</t>
        </is>
      </c>
      <c r="C580" t="inlineStr">
        <is>
          <t>is a bit like being the map makers.</t>
        </is>
      </c>
      <c r="D580">
        <f>HYPERLINK("https://www.youtube.com/watch?v=9qGcelNEf2A&amp;t=2s", "Go to time")</f>
        <v/>
      </c>
    </row>
    <row r="581">
      <c r="A581">
        <f>HYPERLINK("https://www.youtube.com/watch?v=9qGcelNEf2A", "Video")</f>
        <v/>
      </c>
      <c r="B581" t="inlineStr">
        <is>
          <t>2:52</t>
        </is>
      </c>
      <c r="C581" t="inlineStr">
        <is>
          <t>that seems a little bit different,</t>
        </is>
      </c>
      <c r="D581">
        <f>HYPERLINK("https://www.youtube.com/watch?v=9qGcelNEf2A&amp;t=172s", "Go to time")</f>
        <v/>
      </c>
    </row>
    <row r="582">
      <c r="A582">
        <f>HYPERLINK("https://www.youtube.com/watch?v=9qGcelNEf2A", "Video")</f>
        <v/>
      </c>
      <c r="B582" t="inlineStr">
        <is>
          <t>3:13</t>
        </is>
      </c>
      <c r="C582" t="inlineStr">
        <is>
          <t>We don't see a civilization
cohabiting the Earth with us.</t>
        </is>
      </c>
      <c r="D582">
        <f>HYPERLINK("https://www.youtube.com/watch?v=9qGcelNEf2A&amp;t=193s", "Go to time")</f>
        <v/>
      </c>
    </row>
    <row r="583">
      <c r="A583">
        <f>HYPERLINK("https://www.youtube.com/watch?v=9qGcelNEf2A", "Video")</f>
        <v/>
      </c>
      <c r="B583" t="inlineStr">
        <is>
          <t>3:40</t>
        </is>
      </c>
      <c r="C583" t="inlineStr">
        <is>
          <t>that we are not currently
cohabiting the Earth</t>
        </is>
      </c>
      <c r="D583">
        <f>HYPERLINK("https://www.youtube.com/watch?v=9qGcelNEf2A&amp;t=220s", "Go to time")</f>
        <v/>
      </c>
    </row>
    <row r="584">
      <c r="A584">
        <f>HYPERLINK("https://www.youtube.com/watch?v=9qGcelNEf2A", "Video")</f>
        <v/>
      </c>
      <c r="B584" t="inlineStr">
        <is>
          <t>11:35</t>
        </is>
      </c>
      <c r="C584" t="inlineStr">
        <is>
          <t>was maybe a bit ambitious,</t>
        </is>
      </c>
      <c r="D584">
        <f>HYPERLINK("https://www.youtube.com/watch?v=9qGcelNEf2A&amp;t=695s", "Go to time")</f>
        <v/>
      </c>
    </row>
    <row r="585">
      <c r="A585">
        <f>HYPERLINK("https://www.youtube.com/watch?v=9qGcelNEf2A", "Video")</f>
        <v/>
      </c>
      <c r="B585" t="inlineStr">
        <is>
          <t>11:49</t>
        </is>
      </c>
      <c r="C585" t="inlineStr">
        <is>
          <t>to indicate a little bit of</t>
        </is>
      </c>
      <c r="D585">
        <f>HYPERLINK("https://www.youtube.com/watch?v=9qGcelNEf2A&amp;t=709s", "Go to time")</f>
        <v/>
      </c>
    </row>
    <row r="586">
      <c r="A586">
        <f>HYPERLINK("https://www.youtube.com/watch?v=9qGcelNEf2A", "Video")</f>
        <v/>
      </c>
      <c r="B586" t="inlineStr">
        <is>
          <t>12:13</t>
        </is>
      </c>
      <c r="C586" t="inlineStr">
        <is>
          <t>Now, METI is a little bit controversial.</t>
        </is>
      </c>
      <c r="D586">
        <f>HYPERLINK("https://www.youtube.com/watch?v=9qGcelNEf2A&amp;t=733s", "Go to time")</f>
        <v/>
      </c>
    </row>
    <row r="587">
      <c r="A587">
        <f>HYPERLINK("https://www.youtube.com/watch?v=9qGcelNEf2A", "Video")</f>
        <v/>
      </c>
      <c r="B587" t="inlineStr">
        <is>
          <t>12:59</t>
        </is>
      </c>
      <c r="C587" t="inlineStr">
        <is>
          <t>I do have a bit of an issue</t>
        </is>
      </c>
      <c r="D587">
        <f>HYPERLINK("https://www.youtube.com/watch?v=9qGcelNEf2A&amp;t=779s", "Go to time")</f>
        <v/>
      </c>
    </row>
    <row r="588">
      <c r="A588">
        <f>HYPERLINK("https://www.youtube.com/watch?v=9qGcelNEf2A", "Video")</f>
        <v/>
      </c>
      <c r="B588" t="inlineStr">
        <is>
          <t>13:42</t>
        </is>
      </c>
      <c r="C588" t="inlineStr">
        <is>
          <t>that it's a little bit archaic</t>
        </is>
      </c>
      <c r="D588">
        <f>HYPERLINK("https://www.youtube.com/watch?v=9qGcelNEf2A&amp;t=822s", "Go to time")</f>
        <v/>
      </c>
    </row>
    <row r="589">
      <c r="A589">
        <f>HYPERLINK("https://www.youtube.com/watch?v=9qGcelNEf2A", "Video")</f>
        <v/>
      </c>
      <c r="B589" t="inlineStr">
        <is>
          <t>14:02</t>
        </is>
      </c>
      <c r="C589" t="inlineStr">
        <is>
          <t>I suspect they are well aware
that this plant is inhabited</t>
        </is>
      </c>
      <c r="D589">
        <f>HYPERLINK("https://www.youtube.com/watch?v=9qGcelNEf2A&amp;t=842s", "Go to time")</f>
        <v/>
      </c>
    </row>
    <row r="590">
      <c r="A590">
        <f>HYPERLINK("https://www.youtube.com/watch?v=9qGcelNEf2A", "Video")</f>
        <v/>
      </c>
      <c r="B590" t="inlineStr">
        <is>
          <t>16:45</t>
        </is>
      </c>
      <c r="C590" t="inlineStr">
        <is>
          <t>can be a little bit depressing.</t>
        </is>
      </c>
      <c r="D590">
        <f>HYPERLINK("https://www.youtube.com/watch?v=9qGcelNEf2A&amp;t=1005s", "Go to time")</f>
        <v/>
      </c>
    </row>
    <row r="591">
      <c r="A591">
        <f>HYPERLINK("https://www.youtube.com/watch?v=HCTKavcQX4s", "Video")</f>
        <v/>
      </c>
      <c r="B591" t="inlineStr">
        <is>
          <t>3:20</t>
        </is>
      </c>
      <c r="C591" t="inlineStr">
        <is>
          <t>exorbitant number and various estimates</t>
        </is>
      </c>
      <c r="D591">
        <f>HYPERLINK("https://www.youtube.com/watch?v=HCTKavcQX4s&amp;t=200s", "Go to time")</f>
        <v/>
      </c>
    </row>
    <row r="592">
      <c r="A592">
        <f>HYPERLINK("https://www.youtube.com/watch?v=_QJ3M8M_RU8", "Video")</f>
        <v/>
      </c>
      <c r="B592" t="inlineStr">
        <is>
          <t>18:33</t>
        </is>
      </c>
      <c r="C592" t="inlineStr">
        <is>
          <t>and there's the sexual
inhibitory system or brakes.</t>
        </is>
      </c>
      <c r="D592">
        <f>HYPERLINK("https://www.youtube.com/watch?v=_QJ3M8M_RU8&amp;t=1113s", "Go to time")</f>
        <v/>
      </c>
    </row>
    <row r="593">
      <c r="A593">
        <f>HYPERLINK("https://www.youtube.com/watch?v=_QJ3M8M_RU8", "Video")</f>
        <v/>
      </c>
      <c r="B593" t="inlineStr">
        <is>
          <t>19:33</t>
        </is>
      </c>
      <c r="C593" t="inlineStr">
        <is>
          <t>so there's just a little
bit of sex-related stimuli,</t>
        </is>
      </c>
      <c r="D593">
        <f>HYPERLINK("https://www.youtube.com/watch?v=_QJ3M8M_RU8&amp;t=1173s", "Go to time")</f>
        <v/>
      </c>
    </row>
    <row r="594">
      <c r="A594">
        <f>HYPERLINK("https://www.youtube.com/watch?v=_QJ3M8M_RU8", "Video")</f>
        <v/>
      </c>
      <c r="B594" t="inlineStr">
        <is>
          <t>19:40</t>
        </is>
      </c>
      <c r="C594" t="inlineStr">
        <is>
          <t>the inhibitory impulses, are
noticing all the good reasons</t>
        </is>
      </c>
      <c r="D594">
        <f>HYPERLINK("https://www.youtube.com/watch?v=_QJ3M8M_RU8&amp;t=1180s", "Go to time")</f>
        <v/>
      </c>
    </row>
    <row r="595">
      <c r="A595">
        <f>HYPERLINK("https://www.youtube.com/watch?v=NDsExjoyoqw", "Video")</f>
        <v/>
      </c>
      <c r="B595" t="inlineStr">
        <is>
          <t>0:00</t>
        </is>
      </c>
      <c r="C595" t="inlineStr">
        <is>
          <t>It's been a big year for bitcoin, the virtual
currency.</t>
        </is>
      </c>
      <c r="D595">
        <f>HYPERLINK("https://www.youtube.com/watch?v=NDsExjoyoqw&amp;t=0s", "Go to time")</f>
        <v/>
      </c>
    </row>
    <row r="596">
      <c r="A596">
        <f>HYPERLINK("https://www.youtube.com/watch?v=NDsExjoyoqw", "Video")</f>
        <v/>
      </c>
      <c r="B596" t="inlineStr">
        <is>
          <t>0:24</t>
        </is>
      </c>
      <c r="C596" t="inlineStr">
        <is>
          <t>with the possible loss of millions of dollars
for people who thought they had bitcoins that</t>
        </is>
      </c>
      <c r="D596">
        <f>HYPERLINK("https://www.youtube.com/watch?v=NDsExjoyoqw&amp;t=24s", "Go to time")</f>
        <v/>
      </c>
    </row>
    <row r="597">
      <c r="A597">
        <f>HYPERLINK("https://www.youtube.com/watch?v=NDsExjoyoqw", "Video")</f>
        <v/>
      </c>
      <c r="B597" t="inlineStr">
        <is>
          <t>0:37</t>
        </is>
      </c>
      <c r="C597" t="inlineStr">
        <is>
          <t>Will there be tracking of bitcoins, is it
something that will remain truly private in</t>
        </is>
      </c>
      <c r="D597">
        <f>HYPERLINK("https://www.youtube.com/watch?v=NDsExjoyoqw&amp;t=37s", "Go to time")</f>
        <v/>
      </c>
    </row>
    <row r="598">
      <c r="A598">
        <f>HYPERLINK("https://www.youtube.com/watch?v=NDsExjoyoqw", "Video")</f>
        <v/>
      </c>
      <c r="B598" t="inlineStr">
        <is>
          <t>0:42</t>
        </is>
      </c>
      <c r="C598" t="inlineStr">
        <is>
          <t>Now bitcoin over the past year has seen a
lot of volatility in its value in part because</t>
        </is>
      </c>
      <c r="D598">
        <f>HYPERLINK("https://www.youtube.com/watch?v=NDsExjoyoqw&amp;t=42s", "Go to time")</f>
        <v/>
      </c>
    </row>
    <row r="599">
      <c r="A599">
        <f>HYPERLINK("https://www.youtube.com/watch?v=NDsExjoyoqw", "Video")</f>
        <v/>
      </c>
      <c r="B599" t="inlineStr">
        <is>
          <t>0:52</t>
        </is>
      </c>
      <c r="C599" t="inlineStr">
        <is>
          <t>of bitcoin and that has spurred more demand
that people want to hold this thing as a currency</t>
        </is>
      </c>
      <c r="D599">
        <f>HYPERLINK("https://www.youtube.com/watch?v=NDsExjoyoqw&amp;t=52s", "Go to time")</f>
        <v/>
      </c>
    </row>
    <row r="600">
      <c r="A600">
        <f>HYPERLINK("https://www.youtube.com/watch?v=NDsExjoyoqw", "Video")</f>
        <v/>
      </c>
      <c r="B600" t="inlineStr">
        <is>
          <t>1:05</t>
        </is>
      </c>
      <c r="C600" t="inlineStr">
        <is>
          <t>virtual currencies will enter the market and
compete with bitcoin, you have to think about</t>
        </is>
      </c>
      <c r="D600">
        <f>HYPERLINK("https://www.youtube.com/watch?v=NDsExjoyoqw&amp;t=65s", "Go to time")</f>
        <v/>
      </c>
    </row>
    <row r="601">
      <c r="A601">
        <f>HYPERLINK("https://www.youtube.com/watch?v=NDsExjoyoqw", "Video")</f>
        <v/>
      </c>
      <c r="B601" t="inlineStr">
        <is>
          <t>1:27</t>
        </is>
      </c>
      <c r="C601" t="inlineStr">
        <is>
          <t>Bitcoin is a little riskier because we don't
know exactly what the demand for bitcoins</t>
        </is>
      </c>
      <c r="D601">
        <f>HYPERLINK("https://www.youtube.com/watch?v=NDsExjoyoqw&amp;t=87s", "Go to time")</f>
        <v/>
      </c>
    </row>
    <row r="602">
      <c r="A602">
        <f>HYPERLINK("https://www.youtube.com/watch?v=NDsExjoyoqw", "Video")</f>
        <v/>
      </c>
      <c r="B602" t="inlineStr">
        <is>
          <t>1:32</t>
        </is>
      </c>
      <c r="C602" t="inlineStr">
        <is>
          <t>will be in the future and there's the possibility
that we will run out of new bitcoins.</t>
        </is>
      </c>
      <c r="D602">
        <f>HYPERLINK("https://www.youtube.com/watch?v=NDsExjoyoqw&amp;t=92s", "Go to time")</f>
        <v/>
      </c>
    </row>
    <row r="603">
      <c r="A603">
        <f>HYPERLINK("https://www.youtube.com/watch?v=NDsExjoyoqw", "Video")</f>
        <v/>
      </c>
      <c r="B603" t="inlineStr">
        <is>
          <t>1:39</t>
        </is>
      </c>
      <c r="C603" t="inlineStr">
        <is>
          <t>If that number is reached and no more bitcoins
are created then essentially individuals will</t>
        </is>
      </c>
      <c r="D603">
        <f>HYPERLINK("https://www.youtube.com/watch?v=NDsExjoyoqw&amp;t=99s", "Go to time")</f>
        <v/>
      </c>
    </row>
    <row r="604">
      <c r="A604">
        <f>HYPERLINK("https://www.youtube.com/watch?v=NDsExjoyoqw", "Video")</f>
        <v/>
      </c>
      <c r="B604" t="inlineStr">
        <is>
          <t>1:45</t>
        </is>
      </c>
      <c r="C604" t="inlineStr">
        <is>
          <t>have the power to make monetary policy for
the entire bitcoin market by either hoarding</t>
        </is>
      </c>
      <c r="D604">
        <f>HYPERLINK("https://www.youtube.com/watch?v=NDsExjoyoqw&amp;t=105s", "Go to time")</f>
        <v/>
      </c>
    </row>
    <row r="605">
      <c r="A605">
        <f>HYPERLINK("https://www.youtube.com/watch?v=NDsExjoyoqw", "Video")</f>
        <v/>
      </c>
      <c r="B605" t="inlineStr">
        <is>
          <t>1:50</t>
        </is>
      </c>
      <c r="C605" t="inlineStr">
        <is>
          <t>bitcoins to contract the money supply or pushing
their bitcoins out into the market to expand</t>
        </is>
      </c>
      <c r="D605">
        <f>HYPERLINK("https://www.youtube.com/watch?v=NDsExjoyoqw&amp;t=110s", "Go to time")</f>
        <v/>
      </c>
    </row>
    <row r="606">
      <c r="A606">
        <f>HYPERLINK("https://www.youtube.com/watch?v=NDsExjoyoqw", "Video")</f>
        <v/>
      </c>
      <c r="B606" t="inlineStr">
        <is>
          <t>2:03</t>
        </is>
      </c>
      <c r="C606" t="inlineStr">
        <is>
          <t>But it is something that could possibly happen
in the bitcoin market in the future.</t>
        </is>
      </c>
      <c r="D606">
        <f>HYPERLINK("https://www.youtube.com/watch?v=NDsExjoyoqw&amp;t=123s", "Go to time")</f>
        <v/>
      </c>
    </row>
    <row r="607">
      <c r="A607">
        <f>HYPERLINK("https://www.youtube.com/watch?v=NDsExjoyoqw", "Video")</f>
        <v/>
      </c>
      <c r="B607" t="inlineStr">
        <is>
          <t>2:08</t>
        </is>
      </c>
      <c r="C607" t="inlineStr">
        <is>
          <t>Now if you're considering buying bitcoins
I think the right way to think about it is</t>
        </is>
      </c>
      <c r="D607">
        <f>HYPERLINK("https://www.youtube.com/watch?v=NDsExjoyoqw&amp;t=128s", "Go to time")</f>
        <v/>
      </c>
    </row>
    <row r="608">
      <c r="A608">
        <f>HYPERLINK("https://www.youtube.com/watch?v=NDsExjoyoqw", "Video")</f>
        <v/>
      </c>
      <c r="B608" t="inlineStr">
        <is>
          <t>2:27</t>
        </is>
      </c>
      <c r="C608" t="inlineStr">
        <is>
          <t>So I would say bitcoin can be a fun experiment.</t>
        </is>
      </c>
      <c r="D608">
        <f>HYPERLINK("https://www.youtube.com/watch?v=NDsExjoyoqw&amp;t=147s", "Go to time")</f>
        <v/>
      </c>
    </row>
    <row r="609">
      <c r="A609">
        <f>HYPERLINK("https://www.youtube.com/watch?v=mIAh7-OaZ74", "Video")</f>
        <v/>
      </c>
      <c r="B609" t="inlineStr">
        <is>
          <t>3:53</t>
        </is>
      </c>
      <c r="C609" t="inlineStr">
        <is>
          <t>those categories should make
you feel a little bit more</t>
        </is>
      </c>
      <c r="D609">
        <f>HYPERLINK("https://www.youtube.com/watch?v=mIAh7-OaZ74&amp;t=233s", "Go to time")</f>
        <v/>
      </c>
    </row>
    <row r="610">
      <c r="A610">
        <f>HYPERLINK("https://www.youtube.com/watch?v=aeGqMTJlc04", "Video")</f>
        <v/>
      </c>
      <c r="B610" t="inlineStr">
        <is>
          <t>1:01</t>
        </is>
      </c>
      <c r="C610" t="inlineStr">
        <is>
          <t>damaged in phineous gauge the orbit of</t>
        </is>
      </c>
      <c r="D610">
        <f>HYPERLINK("https://www.youtube.com/watch?v=aeGqMTJlc04&amp;t=61s", "Go to time")</f>
        <v/>
      </c>
    </row>
    <row r="611">
      <c r="A611">
        <f>HYPERLINK("https://www.youtube.com/watch?v=inx2dMobzYs", "Video")</f>
        <v/>
      </c>
      <c r="B611" t="inlineStr">
        <is>
          <t>5:28</t>
        </is>
      </c>
      <c r="C611" t="inlineStr">
        <is>
          <t>who deviate a little bit
from the common patterns</t>
        </is>
      </c>
      <c r="D611">
        <f>HYPERLINK("https://www.youtube.com/watch?v=inx2dMobzYs&amp;t=328s", "Go to time")</f>
        <v/>
      </c>
    </row>
    <row r="612">
      <c r="A612">
        <f>HYPERLINK("https://www.youtube.com/watch?v=5717toe3Vrc", "Video")</f>
        <v/>
      </c>
      <c r="B612" t="inlineStr">
        <is>
          <t>0:55</t>
        </is>
      </c>
      <c r="C612" t="inlineStr">
        <is>
          <t>with in my book I write quite a bit</t>
        </is>
      </c>
      <c r="D612">
        <f>HYPERLINK("https://www.youtube.com/watch?v=5717toe3Vrc&amp;t=55s", "Go to time")</f>
        <v/>
      </c>
    </row>
    <row r="613">
      <c r="A613">
        <f>HYPERLINK("https://www.youtube.com/watch?v=YIaovbv7ZgM", "Video")</f>
        <v/>
      </c>
      <c r="B613" t="inlineStr">
        <is>
          <t>2:03</t>
        </is>
      </c>
      <c r="C613" t="inlineStr">
        <is>
          <t>with Dan a bit if you think about the us</t>
        </is>
      </c>
      <c r="D613">
        <f>HYPERLINK("https://www.youtube.com/watch?v=YIaovbv7ZgM&amp;t=123s", "Go to time")</f>
        <v/>
      </c>
    </row>
    <row r="614">
      <c r="A614">
        <f>HYPERLINK("https://www.youtube.com/watch?v=XnHCEFORVYA", "Video")</f>
        <v/>
      </c>
      <c r="B614" t="inlineStr">
        <is>
          <t>0:54</t>
        </is>
      </c>
      <c r="C614" t="inlineStr">
        <is>
          <t>And I talked a little bit about retail workers,
the most common occupation in the economy.</t>
        </is>
      </c>
      <c r="D614">
        <f>HYPERLINK("https://www.youtube.com/watch?v=XnHCEFORVYA&amp;t=54s", "Go to time")</f>
        <v/>
      </c>
    </row>
    <row r="615">
      <c r="A615">
        <f>HYPERLINK("https://www.youtube.com/watch?v=M1FmgA9uGyk", "Video")</f>
        <v/>
      </c>
      <c r="B615" t="inlineStr">
        <is>
          <t>0:50</t>
        </is>
      </c>
      <c r="C615" t="inlineStr">
        <is>
          <t>Japanese yakatori and she's a little bit</t>
        </is>
      </c>
      <c r="D615">
        <f>HYPERLINK("https://www.youtube.com/watch?v=M1FmgA9uGyk&amp;t=50s", "Go to time")</f>
        <v/>
      </c>
    </row>
    <row r="616">
      <c r="A616">
        <f>HYPERLINK("https://www.youtube.com/watch?v=M1FmgA9uGyk", "Video")</f>
        <v/>
      </c>
      <c r="B616" t="inlineStr">
        <is>
          <t>1:12</t>
        </is>
      </c>
      <c r="C616" t="inlineStr">
        <is>
          <t>they let me have it for a little bit and</t>
        </is>
      </c>
      <c r="D616">
        <f>HYPERLINK("https://www.youtube.com/watch?v=M1FmgA9uGyk&amp;t=72s", "Go to time")</f>
        <v/>
      </c>
    </row>
    <row r="617">
      <c r="A617">
        <f>HYPERLINK("https://www.youtube.com/watch?v=g95jIjaa5QI", "Video")</f>
        <v/>
      </c>
      <c r="B617" t="inlineStr">
        <is>
          <t>0:20</t>
        </is>
      </c>
      <c r="C617" t="inlineStr">
        <is>
          <t>say a little bit more important I think</t>
        </is>
      </c>
      <c r="D617">
        <f>HYPERLINK("https://www.youtube.com/watch?v=g95jIjaa5QI&amp;t=20s", "Go to time")</f>
        <v/>
      </c>
    </row>
    <row r="618">
      <c r="A618">
        <f>HYPERLINK("https://www.youtube.com/watch?v=g95jIjaa5QI", "Video")</f>
        <v/>
      </c>
      <c r="B618" t="inlineStr">
        <is>
          <t>1:19</t>
        </is>
      </c>
      <c r="C618" t="inlineStr">
        <is>
          <t>bits of research and bits of</t>
        </is>
      </c>
      <c r="D618">
        <f>HYPERLINK("https://www.youtube.com/watch?v=g95jIjaa5QI&amp;t=79s", "Go to time")</f>
        <v/>
      </c>
    </row>
    <row r="619">
      <c r="A619">
        <f>HYPERLINK("https://www.youtube.com/watch?v=w1W7_asxSao", "Video")</f>
        <v/>
      </c>
      <c r="B619" t="inlineStr">
        <is>
          <t>0:39</t>
        </is>
      </c>
      <c r="C619" t="inlineStr">
        <is>
          <t>day I was in a Bernardo exhibition and</t>
        </is>
      </c>
      <c r="D619">
        <f>HYPERLINK("https://www.youtube.com/watch?v=w1W7_asxSao&amp;t=39s", "Go to time")</f>
        <v/>
      </c>
    </row>
    <row r="620">
      <c r="A620">
        <f>HYPERLINK("https://www.youtube.com/watch?v=tt3sG0p-Leg", "Video")</f>
        <v/>
      </c>
      <c r="B620" t="inlineStr">
        <is>
          <t>0:29</t>
        </is>
      </c>
      <c r="C620" t="inlineStr">
        <is>
          <t>little bit lighter stage of the quiet</t>
        </is>
      </c>
      <c r="D620">
        <f>HYPERLINK("https://www.youtube.com/watch?v=tt3sG0p-Leg&amp;t=29s", "Go to time")</f>
        <v/>
      </c>
    </row>
    <row r="621">
      <c r="A621">
        <f>HYPERLINK("https://www.youtube.com/watch?v=tt3sG0p-Leg", "Video")</f>
        <v/>
      </c>
      <c r="B621" t="inlineStr">
        <is>
          <t>1:22</t>
        </is>
      </c>
      <c r="C621" t="inlineStr">
        <is>
          <t>their dreams in the morning a little bit</t>
        </is>
      </c>
      <c r="D621">
        <f>HYPERLINK("https://www.youtube.com/watch?v=tt3sG0p-Leg&amp;t=82s", "Go to time")</f>
        <v/>
      </c>
    </row>
    <row r="622">
      <c r="A622">
        <f>HYPERLINK("https://www.youtube.com/watch?v=tt3sG0p-Leg", "Video")</f>
        <v/>
      </c>
      <c r="B622" t="inlineStr">
        <is>
          <t>2:19</t>
        </is>
      </c>
      <c r="C622" t="inlineStr">
        <is>
          <t>insomnia which is a little bit of a</t>
        </is>
      </c>
      <c r="D622">
        <f>HYPERLINK("https://www.youtube.com/watch?v=tt3sG0p-Leg&amp;t=139s", "Go to time")</f>
        <v/>
      </c>
    </row>
    <row r="623">
      <c r="A623">
        <f>HYPERLINK("https://www.youtube.com/watch?v=eq0MrCCAQWU", "Video")</f>
        <v/>
      </c>
      <c r="B623" t="inlineStr">
        <is>
          <t>4:53</t>
        </is>
      </c>
      <c r="C623" t="inlineStr">
        <is>
          <t>bought a handful of barbiturates,
and tried to kill myself.</t>
        </is>
      </c>
      <c r="D623">
        <f>HYPERLINK("https://www.youtube.com/watch?v=eq0MrCCAQWU&amp;t=293s", "Go to time")</f>
        <v/>
      </c>
    </row>
    <row r="624">
      <c r="A624">
        <f>HYPERLINK("https://www.youtube.com/watch?v=iZRPPwpEY-Q", "Video")</f>
        <v/>
      </c>
      <c r="B624" t="inlineStr">
        <is>
          <t>3:12</t>
        </is>
      </c>
      <c r="C624" t="inlineStr">
        <is>
          <t>In any case, Shakespeare seems to have inhabited
a world in which it’s much more possible</t>
        </is>
      </c>
      <c r="D624">
        <f>HYPERLINK("https://www.youtube.com/watch?v=iZRPPwpEY-Q&amp;t=192s", "Go to time")</f>
        <v/>
      </c>
    </row>
    <row r="625">
      <c r="A625">
        <f>HYPERLINK("https://www.youtube.com/watch?v=Z5DWKTNqByM", "Video")</f>
        <v/>
      </c>
      <c r="B625" t="inlineStr">
        <is>
          <t>1:42</t>
        </is>
      </c>
      <c r="C625" t="inlineStr">
        <is>
          <t>And in that world a great diversity of animals
that start to look familiar to you cohabit</t>
        </is>
      </c>
      <c r="D625">
        <f>HYPERLINK("https://www.youtube.com/watch?v=Z5DWKTNqByM&amp;t=102s", "Go to time")</f>
        <v/>
      </c>
    </row>
    <row r="626">
      <c r="A626">
        <f>HYPERLINK("https://www.youtube.com/watch?v=Tt5xNKojMvk", "Video")</f>
        <v/>
      </c>
      <c r="B626" t="inlineStr">
        <is>
          <t>4:45</t>
        </is>
      </c>
      <c r="C626" t="inlineStr">
        <is>
          <t>you need a lot of bits of
information to do that-</t>
        </is>
      </c>
      <c r="D626">
        <f>HYPERLINK("https://www.youtube.com/watch?v=Tt5xNKojMvk&amp;t=285s", "Go to time")</f>
        <v/>
      </c>
    </row>
    <row r="627">
      <c r="A627">
        <f>HYPERLINK("https://www.youtube.com/watch?v=jOyAndLa5HU", "Video")</f>
        <v/>
      </c>
      <c r="B627" t="inlineStr">
        <is>
          <t>3:11</t>
        </is>
      </c>
      <c r="C627" t="inlineStr">
        <is>
          <t>And when I got that back I started to take
a little bit of note but I still didn't care</t>
        </is>
      </c>
      <c r="D627">
        <f>HYPERLINK("https://www.youtube.com/watch?v=jOyAndLa5HU&amp;t=191s", "Go to time")</f>
        <v/>
      </c>
    </row>
    <row r="628">
      <c r="A628">
        <f>HYPERLINK("https://www.youtube.com/watch?v=RgZ1X4Dok3Y", "Video")</f>
        <v/>
      </c>
      <c r="B628" t="inlineStr">
        <is>
          <t>2:03</t>
        </is>
      </c>
      <c r="C628" t="inlineStr">
        <is>
          <t>Where that artist had exhibited before?</t>
        </is>
      </c>
      <c r="D628">
        <f>HYPERLINK("https://www.youtube.com/watch?v=RgZ1X4Dok3Y&amp;t=123s", "Go to time")</f>
        <v/>
      </c>
    </row>
    <row r="629">
      <c r="A629">
        <f>HYPERLINK("https://www.youtube.com/watch?v=RgZ1X4Dok3Y", "Video")</f>
        <v/>
      </c>
      <c r="B629" t="inlineStr">
        <is>
          <t>2:05</t>
        </is>
      </c>
      <c r="C629" t="inlineStr">
        <is>
          <t>Where was that work exhibited before?</t>
        </is>
      </c>
      <c r="D629">
        <f>HYPERLINK("https://www.youtube.com/watch?v=RgZ1X4Dok3Y&amp;t=125s", "Go to time")</f>
        <v/>
      </c>
    </row>
    <row r="630">
      <c r="A630">
        <f>HYPERLINK("https://www.youtube.com/watch?v=RgZ1X4Dok3Y", "Video")</f>
        <v/>
      </c>
      <c r="B630" t="inlineStr">
        <is>
          <t>3:01</t>
        </is>
      </c>
      <c r="C630" t="inlineStr">
        <is>
          <t>and their first five exhibits,
I put them on the map,</t>
        </is>
      </c>
      <c r="D630">
        <f>HYPERLINK("https://www.youtube.com/watch?v=RgZ1X4Dok3Y&amp;t=181s", "Go to time")</f>
        <v/>
      </c>
    </row>
    <row r="631">
      <c r="A631">
        <f>HYPERLINK("https://www.youtube.com/watch?v=RgZ1X4Dok3Y", "Video")</f>
        <v/>
      </c>
      <c r="B631" t="inlineStr">
        <is>
          <t>4:12</t>
        </is>
      </c>
      <c r="C631" t="inlineStr">
        <is>
          <t>They practically exhibited everywhere</t>
        </is>
      </c>
      <c r="D631">
        <f>HYPERLINK("https://www.youtube.com/watch?v=RgZ1X4Dok3Y&amp;t=252s", "Go to time")</f>
        <v/>
      </c>
    </row>
    <row r="632">
      <c r="A632">
        <f>HYPERLINK("https://www.youtube.com/watch?v=RgZ1X4Dok3Y", "Video")</f>
        <v/>
      </c>
      <c r="B632" t="inlineStr">
        <is>
          <t>4:16</t>
        </is>
      </c>
      <c r="C632" t="inlineStr">
        <is>
          <t>And through these many
random acts of exhibitions,</t>
        </is>
      </c>
      <c r="D632">
        <f>HYPERLINK("https://www.youtube.com/watch?v=RgZ1X4Dok3Y&amp;t=256s", "Go to time")</f>
        <v/>
      </c>
    </row>
    <row r="633">
      <c r="A633">
        <f>HYPERLINK("https://www.youtube.com/watch?v=RgZ1X4Dok3Y", "Video")</f>
        <v/>
      </c>
      <c r="B633" t="inlineStr">
        <is>
          <t>5:08</t>
        </is>
      </c>
      <c r="C633" t="inlineStr">
        <is>
          <t>from the first five exhibits</t>
        </is>
      </c>
      <c r="D633">
        <f>HYPERLINK("https://www.youtube.com/watch?v=RgZ1X4Dok3Y&amp;t=308s", "Go to time")</f>
        <v/>
      </c>
    </row>
    <row r="634">
      <c r="A634">
        <f>HYPERLINK("https://www.youtube.com/watch?v=RgZ1X4Dok3Y", "Video")</f>
        <v/>
      </c>
      <c r="B634" t="inlineStr">
        <is>
          <t>5:13</t>
        </is>
      </c>
      <c r="C634" t="inlineStr">
        <is>
          <t>in your five exhibits is already
a measure of your talent,</t>
        </is>
      </c>
      <c r="D634">
        <f>HYPERLINK("https://www.youtube.com/watch?v=RgZ1X4Dok3Y&amp;t=313s", "Go to time")</f>
        <v/>
      </c>
    </row>
    <row r="635">
      <c r="A635">
        <f>HYPERLINK("https://www.youtube.com/watch?v=z3xrYsp6Fpg", "Video")</f>
        <v/>
      </c>
      <c r="B635" t="inlineStr">
        <is>
          <t>0:26</t>
        </is>
      </c>
      <c r="C635" t="inlineStr">
        <is>
          <t>and men a bit more top-down autocratic</t>
        </is>
      </c>
      <c r="D635">
        <f>HYPERLINK("https://www.youtube.com/watch?v=z3xrYsp6Fpg&amp;t=26s", "Go to time")</f>
        <v/>
      </c>
    </row>
    <row r="636">
      <c r="A636">
        <f>HYPERLINK("https://www.youtube.com/watch?v=NDWS9q8e7wE", "Video")</f>
        <v/>
      </c>
      <c r="B636" t="inlineStr">
        <is>
          <t>1:49</t>
        </is>
      </c>
      <c r="C636" t="inlineStr">
        <is>
          <t>place I think I developed the habit of</t>
        </is>
      </c>
      <c r="D636">
        <f>HYPERLINK("https://www.youtube.com/watch?v=NDWS9q8e7wE&amp;t=109s", "Go to time")</f>
        <v/>
      </c>
    </row>
    <row r="637">
      <c r="A637">
        <f>HYPERLINK("https://www.youtube.com/watch?v=NDWS9q8e7wE", "Video")</f>
        <v/>
      </c>
      <c r="B637" t="inlineStr">
        <is>
          <t>2:47</t>
        </is>
      </c>
      <c r="C637" t="inlineStr">
        <is>
          <t>maintain the habit of Mind of uh</t>
        </is>
      </c>
      <c r="D637">
        <f>HYPERLINK("https://www.youtube.com/watch?v=NDWS9q8e7wE&amp;t=167s", "Go to time")</f>
        <v/>
      </c>
    </row>
    <row r="638">
      <c r="A638">
        <f>HYPERLINK("https://www.youtube.com/watch?v=NDWS9q8e7wE", "Video")</f>
        <v/>
      </c>
      <c r="B638" t="inlineStr">
        <is>
          <t>3:54</t>
        </is>
      </c>
      <c r="C638" t="inlineStr">
        <is>
          <t>the habit of uh science it's uh very</t>
        </is>
      </c>
      <c r="D638">
        <f>HYPERLINK("https://www.youtube.com/watch?v=NDWS9q8e7wE&amp;t=234s", "Go to time")</f>
        <v/>
      </c>
    </row>
    <row r="639">
      <c r="A639">
        <f>HYPERLINK("https://www.youtube.com/watch?v=NDWS9q8e7wE", "Video")</f>
        <v/>
      </c>
      <c r="B639" t="inlineStr">
        <is>
          <t>3:59</t>
        </is>
      </c>
      <c r="C639" t="inlineStr">
        <is>
          <t>much the habit of uh debate but it's</t>
        </is>
      </c>
      <c r="D639">
        <f>HYPERLINK("https://www.youtube.com/watch?v=NDWS9q8e7wE&amp;t=239s", "Go to time")</f>
        <v/>
      </c>
    </row>
    <row r="640">
      <c r="A640">
        <f>HYPERLINK("https://www.youtube.com/watch?v=NDWS9q8e7wE", "Video")</f>
        <v/>
      </c>
      <c r="B640" t="inlineStr">
        <is>
          <t>4:40</t>
        </is>
      </c>
      <c r="C640" t="inlineStr">
        <is>
          <t>belief that truth is an arbitrary social</t>
        </is>
      </c>
      <c r="D640">
        <f>HYPERLINK("https://www.youtube.com/watch?v=NDWS9q8e7wE&amp;t=280s", "Go to time")</f>
        <v/>
      </c>
    </row>
    <row r="641">
      <c r="A641">
        <f>HYPERLINK("https://www.youtube.com/watch?v=NDWS9q8e7wE", "Video")</f>
        <v/>
      </c>
      <c r="B641" t="inlineStr">
        <is>
          <t>7:25</t>
        </is>
      </c>
      <c r="C641" t="inlineStr">
        <is>
          <t>call economics but those habits of</t>
        </is>
      </c>
      <c r="D641">
        <f>HYPERLINK("https://www.youtube.com/watch?v=NDWS9q8e7wE&amp;t=445s", "Go to time")</f>
        <v/>
      </c>
    </row>
    <row r="642">
      <c r="A642">
        <f>HYPERLINK("https://www.youtube.com/watch?v=JxPnrhW1NeQ", "Video")</f>
        <v/>
      </c>
      <c r="B642" t="inlineStr">
        <is>
          <t>2:07</t>
        </is>
      </c>
      <c r="C642" t="inlineStr">
        <is>
          <t>unleashing of ambition in a massive uh</t>
        </is>
      </c>
      <c r="D642">
        <f>HYPERLINK("https://www.youtube.com/watch?v=JxPnrhW1NeQ&amp;t=127s", "Go to time")</f>
        <v/>
      </c>
    </row>
    <row r="643">
      <c r="A643">
        <f>HYPERLINK("https://www.youtube.com/watch?v=JxPnrhW1NeQ", "Video")</f>
        <v/>
      </c>
      <c r="B643" t="inlineStr">
        <is>
          <t>2:20</t>
        </is>
      </c>
      <c r="C643" t="inlineStr">
        <is>
          <t>Ambitions have much higher expectations</t>
        </is>
      </c>
      <c r="D643">
        <f>HYPERLINK("https://www.youtube.com/watch?v=JxPnrhW1NeQ&amp;t=140s", "Go to time")</f>
        <v/>
      </c>
    </row>
    <row r="644">
      <c r="A644">
        <f>HYPERLINK("https://www.youtube.com/watch?v=bm6ScvNygUU", "Video")</f>
        <v/>
      </c>
      <c r="B644" t="inlineStr">
        <is>
          <t>5:47</t>
        </is>
      </c>
      <c r="C644" t="inlineStr">
        <is>
          <t>tweak Moore’s Law a bit with chip-like computers
in three dimensions, but beyond that we may</t>
        </is>
      </c>
      <c r="D644">
        <f>HYPERLINK("https://www.youtube.com/watch?v=bm6ScvNygUU&amp;t=347s", "Go to time")</f>
        <v/>
      </c>
    </row>
    <row r="645">
      <c r="A645">
        <f>HYPERLINK("https://www.youtube.com/watch?v=JxbYPk1MIyw", "Video")</f>
        <v/>
      </c>
      <c r="B645" t="inlineStr">
        <is>
          <t>4:30</t>
        </is>
      </c>
      <c r="C645" t="inlineStr">
        <is>
          <t>All of these ways of making
it a little bit more personal,</t>
        </is>
      </c>
      <c r="D645">
        <f>HYPERLINK("https://www.youtube.com/watch?v=JxbYPk1MIyw&amp;t=270s", "Go to time")</f>
        <v/>
      </c>
    </row>
    <row r="646">
      <c r="A646">
        <f>HYPERLINK("https://www.youtube.com/watch?v=JxbYPk1MIyw", "Video")</f>
        <v/>
      </c>
      <c r="B646" t="inlineStr">
        <is>
          <t>5:08</t>
        </is>
      </c>
      <c r="C646" t="inlineStr">
        <is>
          <t>even when they're a little
bit afraid to do so.</t>
        </is>
      </c>
      <c r="D646">
        <f>HYPERLINK("https://www.youtube.com/watch?v=JxbYPk1MIyw&amp;t=308s", "Go to time")</f>
        <v/>
      </c>
    </row>
    <row r="647">
      <c r="A647">
        <f>HYPERLINK("https://www.youtube.com/watch?v=JxbYPk1MIyw", "Video")</f>
        <v/>
      </c>
      <c r="B647" t="inlineStr">
        <is>
          <t>5:28</t>
        </is>
      </c>
      <c r="C647" t="inlineStr">
        <is>
          <t>and a little bit afraid is find a setting,</t>
        </is>
      </c>
      <c r="D647">
        <f>HYPERLINK("https://www.youtube.com/watch?v=JxbYPk1MIyw&amp;t=328s", "Go to time")</f>
        <v/>
      </c>
    </row>
    <row r="648">
      <c r="A648">
        <f>HYPERLINK("https://www.youtube.com/watch?v=2LOLnSelZqE", "Video")</f>
        <v/>
      </c>
      <c r="B648" t="inlineStr">
        <is>
          <t>0:46</t>
        </is>
      </c>
      <c r="C648" t="inlineStr">
        <is>
          <t>provide a little bit of</t>
        </is>
      </c>
      <c r="D648">
        <f>HYPERLINK("https://www.youtube.com/watch?v=2LOLnSelZqE&amp;t=46s", "Go to time")</f>
        <v/>
      </c>
    </row>
    <row r="649">
      <c r="A649">
        <f>HYPERLINK("https://www.youtube.com/watch?v=tpPFdFdfxxM", "Video")</f>
        <v/>
      </c>
      <c r="B649" t="inlineStr">
        <is>
          <t>6:40</t>
        </is>
      </c>
      <c r="C649" t="inlineStr">
        <is>
          <t>A little bit like we discussed
with water stress in 2023,</t>
        </is>
      </c>
      <c r="D649">
        <f>HYPERLINK("https://www.youtube.com/watch?v=tpPFdFdfxxM&amp;t=400s", "Go to time")</f>
        <v/>
      </c>
    </row>
    <row r="650">
      <c r="A650">
        <f>HYPERLINK("https://www.youtube.com/watch?v=tpPFdFdfxxM", "Video")</f>
        <v/>
      </c>
      <c r="B650" t="inlineStr">
        <is>
          <t>8:35</t>
        </is>
      </c>
      <c r="C650" t="inlineStr">
        <is>
          <t>we'll get to that in a bit.</t>
        </is>
      </c>
      <c r="D650">
        <f>HYPERLINK("https://www.youtube.com/watch?v=tpPFdFdfxxM&amp;t=515s", "Go to time")</f>
        <v/>
      </c>
    </row>
    <row r="651">
      <c r="A651">
        <f>HYPERLINK("https://www.youtube.com/watch?v=tpPFdFdfxxM", "Video")</f>
        <v/>
      </c>
      <c r="B651" t="inlineStr">
        <is>
          <t>16:32</t>
        </is>
      </c>
      <c r="C651" t="inlineStr">
        <is>
          <t>which have been very ambitious,</t>
        </is>
      </c>
      <c r="D651">
        <f>HYPERLINK("https://www.youtube.com/watch?v=tpPFdFdfxxM&amp;t=992s", "Go to time")</f>
        <v/>
      </c>
    </row>
    <row r="652">
      <c r="A652">
        <f>HYPERLINK("https://www.youtube.com/watch?v=P0QMQqO5vHk", "Video")</f>
        <v/>
      </c>
      <c r="B652" t="inlineStr">
        <is>
          <t>1:36</t>
        </is>
      </c>
      <c r="C652" t="inlineStr">
        <is>
          <t>again it's inhabiting uh it's getting</t>
        </is>
      </c>
      <c r="D652">
        <f>HYPERLINK("https://www.youtube.com/watch?v=P0QMQqO5vHk&amp;t=96s", "Go to time")</f>
        <v/>
      </c>
    </row>
    <row r="653">
      <c r="A653">
        <f>HYPERLINK("https://www.youtube.com/watch?v=P0QMQqO5vHk", "Video")</f>
        <v/>
      </c>
      <c r="B653" t="inlineStr">
        <is>
          <t>1:42</t>
        </is>
      </c>
      <c r="C653" t="inlineStr">
        <is>
          <t>me where you're inhabiting this world of</t>
        </is>
      </c>
      <c r="D653">
        <f>HYPERLINK("https://www.youtube.com/watch?v=P0QMQqO5vHk&amp;t=102s", "Go to time")</f>
        <v/>
      </c>
    </row>
    <row r="654">
      <c r="A654">
        <f>HYPERLINK("https://www.youtube.com/watch?v=P0QMQqO5vHk", "Video")</f>
        <v/>
      </c>
      <c r="B654" t="inlineStr">
        <is>
          <t>7:58</t>
        </is>
      </c>
      <c r="C654" t="inlineStr">
        <is>
          <t>fulfilling was very ambitious because I</t>
        </is>
      </c>
      <c r="D654">
        <f>HYPERLINK("https://www.youtube.com/watch?v=P0QMQqO5vHk&amp;t=478s", "Go to time")</f>
        <v/>
      </c>
    </row>
    <row r="655">
      <c r="A655">
        <f>HYPERLINK("https://www.youtube.com/watch?v=EW3RHylSc0s", "Video")</f>
        <v/>
      </c>
      <c r="B655" t="inlineStr">
        <is>
          <t>0:07</t>
        </is>
      </c>
      <c r="C655" t="inlineStr">
        <is>
          <t>It's kind of shrunk the world a little bit.</t>
        </is>
      </c>
      <c r="D655">
        <f>HYPERLINK("https://www.youtube.com/watch?v=EW3RHylSc0s&amp;t=7s", "Go to time")</f>
        <v/>
      </c>
    </row>
    <row r="656">
      <c r="A656">
        <f>HYPERLINK("https://www.youtube.com/watch?v=RRqBds8B3Mk", "Video")</f>
        <v/>
      </c>
      <c r="B656" t="inlineStr">
        <is>
          <t>0:44</t>
        </is>
      </c>
      <c r="C656" t="inlineStr">
        <is>
          <t>bitterness and then um I got the</t>
        </is>
      </c>
      <c r="D656">
        <f>HYPERLINK("https://www.youtube.com/watch?v=RRqBds8B3Mk&amp;t=44s", "Go to time")</f>
        <v/>
      </c>
    </row>
    <row r="657">
      <c r="A657">
        <f>HYPERLINK("https://www.youtube.com/watch?v=p7GNey32VB4", "Video")</f>
        <v/>
      </c>
      <c r="B657" t="inlineStr">
        <is>
          <t>0:10</t>
        </is>
      </c>
      <c r="C657" t="inlineStr">
        <is>
          <t>is a bit like being the map makers.</t>
        </is>
      </c>
      <c r="D657">
        <f>HYPERLINK("https://www.youtube.com/watch?v=p7GNey32VB4&amp;t=10s", "Go to time")</f>
        <v/>
      </c>
    </row>
    <row r="658">
      <c r="A658">
        <f>HYPERLINK("https://www.youtube.com/watch?v=Gq7HFn58VdQ", "Video")</f>
        <v/>
      </c>
      <c r="B658" t="inlineStr">
        <is>
          <t>2:03</t>
        </is>
      </c>
      <c r="C658" t="inlineStr">
        <is>
          <t>take a bit of someone's voice that was</t>
        </is>
      </c>
      <c r="D658">
        <f>HYPERLINK("https://www.youtube.com/watch?v=Gq7HFn58VdQ&amp;t=123s", "Go to time")</f>
        <v/>
      </c>
    </row>
    <row r="659">
      <c r="A659">
        <f>HYPERLINK("https://www.youtube.com/watch?v=aE19FVbXrAM", "Video")</f>
        <v/>
      </c>
      <c r="B659" t="inlineStr">
        <is>
          <t>15:07</t>
        </is>
      </c>
      <c r="C659" t="inlineStr">
        <is>
          <t>have faded so much or the bitterness</t>
        </is>
      </c>
      <c r="D659">
        <f>HYPERLINK("https://www.youtube.com/watch?v=aE19FVbXrAM&amp;t=907s", "Go to time")</f>
        <v/>
      </c>
    </row>
    <row r="660">
      <c r="A660">
        <f>HYPERLINK("https://www.youtube.com/watch?v=aE19FVbXrAM", "Video")</f>
        <v/>
      </c>
      <c r="B660" t="inlineStr">
        <is>
          <t>23:22</t>
        </is>
      </c>
      <c r="C660" t="inlineStr">
        <is>
          <t>but I mean this is a little bit like</t>
        </is>
      </c>
      <c r="D660">
        <f>HYPERLINK("https://www.youtube.com/watch?v=aE19FVbXrAM&amp;t=1402s", "Go to time")</f>
        <v/>
      </c>
    </row>
    <row r="661">
      <c r="A661">
        <f>HYPERLINK("https://www.youtube.com/watch?v=aE19FVbXrAM", "Video")</f>
        <v/>
      </c>
      <c r="B661" t="inlineStr">
        <is>
          <t>45:03</t>
        </is>
      </c>
      <c r="C661" t="inlineStr">
        <is>
          <t>a little bit</t>
        </is>
      </c>
      <c r="D661">
        <f>HYPERLINK("https://www.youtube.com/watch?v=aE19FVbXrAM&amp;t=2703s", "Go to time")</f>
        <v/>
      </c>
    </row>
    <row r="662">
      <c r="A662">
        <f>HYPERLINK("https://www.youtube.com/watch?v=MYrDlJjIUuo", "Video")</f>
        <v/>
      </c>
      <c r="B662" t="inlineStr">
        <is>
          <t>6:16</t>
        </is>
      </c>
      <c r="C662" t="inlineStr">
        <is>
          <t>that we think a little bit more carefully</t>
        </is>
      </c>
      <c r="D662">
        <f>HYPERLINK("https://www.youtube.com/watch?v=MYrDlJjIUuo&amp;t=376s", "Go to time")</f>
        <v/>
      </c>
    </row>
    <row r="663">
      <c r="A663">
        <f>HYPERLINK("https://www.youtube.com/watch?v=bYfDIERhpjI", "Video")</f>
        <v/>
      </c>
      <c r="B663" t="inlineStr">
        <is>
          <t>0:46</t>
        </is>
      </c>
      <c r="C663" t="inlineStr">
        <is>
          <t>bit</t>
        </is>
      </c>
      <c r="D663">
        <f>HYPERLINK("https://www.youtube.com/watch?v=bYfDIERhpjI&amp;t=46s", "Go to time")</f>
        <v/>
      </c>
    </row>
    <row r="664">
      <c r="A664">
        <f>HYPERLINK("https://www.youtube.com/watch?v=bYfDIERhpjI", "Video")</f>
        <v/>
      </c>
      <c r="B664" t="inlineStr">
        <is>
          <t>2:33</t>
        </is>
      </c>
      <c r="C664" t="inlineStr">
        <is>
          <t>but we have big Ambitions and to reach</t>
        </is>
      </c>
      <c r="D664">
        <f>HYPERLINK("https://www.youtube.com/watch?v=bYfDIERhpjI&amp;t=153s", "Go to time")</f>
        <v/>
      </c>
    </row>
    <row r="665">
      <c r="A665">
        <f>HYPERLINK("https://www.youtube.com/watch?v=jsfgX5dTs8A", "Video")</f>
        <v/>
      </c>
      <c r="B665" t="inlineStr">
        <is>
          <t>0:12</t>
        </is>
      </c>
      <c r="C665" t="inlineStr">
        <is>
          <t>emphasizing the arbitrary nature of the</t>
        </is>
      </c>
      <c r="D665">
        <f>HYPERLINK("https://www.youtube.com/watch?v=jsfgX5dTs8A&amp;t=12s", "Go to time")</f>
        <v/>
      </c>
    </row>
    <row r="666">
      <c r="A666">
        <f>HYPERLINK("https://www.youtube.com/watch?v=TdXKak-k6zw", "Video")</f>
        <v/>
      </c>
      <c r="B666" t="inlineStr">
        <is>
          <t>2:45</t>
        </is>
      </c>
      <c r="C666" t="inlineStr">
        <is>
          <t>bit crazy eventually he did persuade</t>
        </is>
      </c>
      <c r="D666">
        <f>HYPERLINK("https://www.youtube.com/watch?v=TdXKak-k6zw&amp;t=165s", "Go to time")</f>
        <v/>
      </c>
    </row>
    <row r="667">
      <c r="A667">
        <f>HYPERLINK("https://www.youtube.com/watch?v=TdXKak-k6zw", "Video")</f>
        <v/>
      </c>
      <c r="B667" t="inlineStr">
        <is>
          <t>7:42</t>
        </is>
      </c>
      <c r="C667" t="inlineStr">
        <is>
          <t>developing a good habit should you then</t>
        </is>
      </c>
      <c r="D667">
        <f>HYPERLINK("https://www.youtube.com/watch?v=TdXKak-k6zw&amp;t=462s", "Go to time")</f>
        <v/>
      </c>
    </row>
    <row r="668">
      <c r="A668">
        <f>HYPERLINK("https://www.youtube.com/watch?v=9Z7moEGvZXg", "Video")</f>
        <v/>
      </c>
      <c r="B668" t="inlineStr">
        <is>
          <t>1:54</t>
        </is>
      </c>
      <c r="C668" t="inlineStr">
        <is>
          <t>to be a bit more violent a bit more</t>
        </is>
      </c>
      <c r="D668">
        <f>HYPERLINK("https://www.youtube.com/watch?v=9Z7moEGvZXg&amp;t=114s", "Go to time")</f>
        <v/>
      </c>
    </row>
    <row r="669">
      <c r="A669">
        <f>HYPERLINK("https://www.youtube.com/watch?v=ppMxzk7ymyw", "Video")</f>
        <v/>
      </c>
      <c r="B669" t="inlineStr">
        <is>
          <t>0:49</t>
        </is>
      </c>
      <c r="C669" t="inlineStr">
        <is>
          <t>standards, prohibits teachers from having
time to do other stuff that they're good at.</t>
        </is>
      </c>
      <c r="D669">
        <f>HYPERLINK("https://www.youtube.com/watch?v=ppMxzk7ymyw&amp;t=49s", "Go to time")</f>
        <v/>
      </c>
    </row>
    <row r="670">
      <c r="A670">
        <f>HYPERLINK("https://www.youtube.com/watch?v=ppMxzk7ymyw", "Video")</f>
        <v/>
      </c>
      <c r="B670" t="inlineStr">
        <is>
          <t>2:08</t>
        </is>
      </c>
      <c r="C670" t="inlineStr">
        <is>
          <t>I'm sorry, if we're we're going to have a
successful society, it's not an arbitrary</t>
        </is>
      </c>
      <c r="D670">
        <f>HYPERLINK("https://www.youtube.com/watch?v=ppMxzk7ymyw&amp;t=128s", "Go to time")</f>
        <v/>
      </c>
    </row>
    <row r="671">
      <c r="A671">
        <f>HYPERLINK("https://www.youtube.com/watch?v=ppMxzk7ymyw", "Video")</f>
        <v/>
      </c>
      <c r="B671" t="inlineStr">
        <is>
          <t>2:17</t>
        </is>
      </c>
      <c r="C671" t="inlineStr">
        <is>
          <t>And the same way if you're asking me everybody's
got to learn a little bit of physics, chemistry,</t>
        </is>
      </c>
      <c r="D671">
        <f>HYPERLINK("https://www.youtube.com/watch?v=ppMxzk7ymyw&amp;t=137s", "Go to time")</f>
        <v/>
      </c>
    </row>
    <row r="672">
      <c r="A672">
        <f>HYPERLINK("https://www.youtube.com/watch?v=0ZqSXsSj1qs", "Video")</f>
        <v/>
      </c>
      <c r="B672" t="inlineStr">
        <is>
          <t>5:03</t>
        </is>
      </c>
      <c r="C672" t="inlineStr">
        <is>
          <t>- Little bit nervous but
I think I'm prepared.</t>
        </is>
      </c>
      <c r="D672">
        <f>HYPERLINK("https://www.youtube.com/watch?v=0ZqSXsSj1qs&amp;t=303s", "Go to time")</f>
        <v/>
      </c>
    </row>
    <row r="673">
      <c r="A673">
        <f>HYPERLINK("https://www.youtube.com/watch?v=0ZqSXsSj1qs", "Video")</f>
        <v/>
      </c>
      <c r="B673" t="inlineStr">
        <is>
          <t>10:50</t>
        </is>
      </c>
      <c r="C673" t="inlineStr">
        <is>
          <t>- You can bend a little bit.</t>
        </is>
      </c>
      <c r="D673">
        <f>HYPERLINK("https://www.youtube.com/watch?v=0ZqSXsSj1qs&amp;t=650s", "Go to time")</f>
        <v/>
      </c>
    </row>
    <row r="674">
      <c r="A674">
        <f>HYPERLINK("https://www.youtube.com/watch?v=QBA98jHWhoU", "Video")</f>
        <v/>
      </c>
      <c r="B674" t="inlineStr">
        <is>
          <t>9:38</t>
        </is>
      </c>
      <c r="C674" t="inlineStr">
        <is>
          <t>on this one relatively arbitrary aspect</t>
        </is>
      </c>
      <c r="D674">
        <f>HYPERLINK("https://www.youtube.com/watch?v=QBA98jHWhoU&amp;t=578s", "Go to time")</f>
        <v/>
      </c>
    </row>
    <row r="675">
      <c r="A675">
        <f>HYPERLINK("https://www.youtube.com/watch?v=QBA98jHWhoU", "Video")</f>
        <v/>
      </c>
      <c r="B675" t="inlineStr">
        <is>
          <t>13:20</t>
        </is>
      </c>
      <c r="C675" t="inlineStr">
        <is>
          <t>So it's kind of an arbitrary-</t>
        </is>
      </c>
      <c r="D675">
        <f>HYPERLINK("https://www.youtube.com/watch?v=QBA98jHWhoU&amp;t=800s", "Go to time")</f>
        <v/>
      </c>
    </row>
    <row r="676">
      <c r="A676">
        <f>HYPERLINK("https://www.youtube.com/watch?v=QBA98jHWhoU", "Video")</f>
        <v/>
      </c>
      <c r="B676" t="inlineStr">
        <is>
          <t>30:16</t>
        </is>
      </c>
      <c r="C676" t="inlineStr">
        <is>
          <t>then that just becomes the new habit.</t>
        </is>
      </c>
      <c r="D676">
        <f>HYPERLINK("https://www.youtube.com/watch?v=QBA98jHWhoU&amp;t=1816s", "Go to time")</f>
        <v/>
      </c>
    </row>
    <row r="677">
      <c r="A677">
        <f>HYPERLINK("https://www.youtube.com/watch?v=QBA98jHWhoU", "Video")</f>
        <v/>
      </c>
      <c r="B677" t="inlineStr">
        <is>
          <t>34:13</t>
        </is>
      </c>
      <c r="C677" t="inlineStr">
        <is>
          <t>It does a little bit,</t>
        </is>
      </c>
      <c r="D677">
        <f>HYPERLINK("https://www.youtube.com/watch?v=QBA98jHWhoU&amp;t=2053s", "Go to time")</f>
        <v/>
      </c>
    </row>
    <row r="678">
      <c r="A678">
        <f>HYPERLINK("https://www.youtube.com/watch?v=QBA98jHWhoU", "Video")</f>
        <v/>
      </c>
      <c r="B678" t="inlineStr">
        <is>
          <t>60:50</t>
        </is>
      </c>
      <c r="C678" t="inlineStr">
        <is>
          <t>a bit more like psychotherapy</t>
        </is>
      </c>
      <c r="D678">
        <f>HYPERLINK("https://www.youtube.com/watch?v=QBA98jHWhoU&amp;t=3650s", "Go to time")</f>
        <v/>
      </c>
    </row>
    <row r="679">
      <c r="A679">
        <f>HYPERLINK("https://www.youtube.com/watch?v=QBA98jHWhoU", "Video")</f>
        <v/>
      </c>
      <c r="B679" t="inlineStr">
        <is>
          <t>69:32</t>
        </is>
      </c>
      <c r="C679" t="inlineStr">
        <is>
          <t>to kind of chill out a little bit."</t>
        </is>
      </c>
      <c r="D679">
        <f>HYPERLINK("https://www.youtube.com/watch?v=QBA98jHWhoU&amp;t=4172s", "Go to time")</f>
        <v/>
      </c>
    </row>
    <row r="680">
      <c r="A680">
        <f>HYPERLINK("https://www.youtube.com/watch?v=QBA98jHWhoU", "Video")</f>
        <v/>
      </c>
      <c r="B680" t="inlineStr">
        <is>
          <t>70:45</t>
        </is>
      </c>
      <c r="C680" t="inlineStr">
        <is>
          <t>the serotonin selective
reuptake inhibitors,</t>
        </is>
      </c>
      <c r="D680">
        <f>HYPERLINK("https://www.youtube.com/watch?v=QBA98jHWhoU&amp;t=4245s", "Go to time")</f>
        <v/>
      </c>
    </row>
    <row r="681">
      <c r="A681">
        <f>HYPERLINK("https://www.youtube.com/watch?v=QBA98jHWhoU", "Video")</f>
        <v/>
      </c>
      <c r="B681" t="inlineStr">
        <is>
          <t>93:11</t>
        </is>
      </c>
      <c r="C681" t="inlineStr">
        <is>
          <t>but one can develop a daily use habit.</t>
        </is>
      </c>
      <c r="D681">
        <f>HYPERLINK("https://www.youtube.com/watch?v=QBA98jHWhoU&amp;t=5591s", "Go to time")</f>
        <v/>
      </c>
    </row>
    <row r="682">
      <c r="A682">
        <f>HYPERLINK("https://www.youtube.com/watch?v=QBA98jHWhoU", "Video")</f>
        <v/>
      </c>
      <c r="B682" t="inlineStr">
        <is>
          <t>102:13</t>
        </is>
      </c>
      <c r="C682" t="inlineStr">
        <is>
          <t>found a trend for a little
bit better response.</t>
        </is>
      </c>
      <c r="D682">
        <f>HYPERLINK("https://www.youtube.com/watch?v=QBA98jHWhoU&amp;t=6133s", "Go to time")</f>
        <v/>
      </c>
    </row>
    <row r="683">
      <c r="A683">
        <f>HYPERLINK("https://www.youtube.com/watch?v=p_IO-ssx_Q0", "Video")</f>
        <v/>
      </c>
      <c r="B683" t="inlineStr">
        <is>
          <t>6:20</t>
        </is>
      </c>
      <c r="C683" t="inlineStr">
        <is>
          <t>incumbent a little bit of uh</t>
        </is>
      </c>
      <c r="D683">
        <f>HYPERLINK("https://www.youtube.com/watch?v=p_IO-ssx_Q0&amp;t=380s", "Go to time")</f>
        <v/>
      </c>
    </row>
    <row r="684">
      <c r="A684">
        <f>HYPERLINK("https://www.youtube.com/watch?v=p_IO-ssx_Q0", "Video")</f>
        <v/>
      </c>
      <c r="B684" t="inlineStr">
        <is>
          <t>6:47</t>
        </is>
      </c>
      <c r="C684" t="inlineStr">
        <is>
          <t>ambitions uh of working with</t>
        </is>
      </c>
      <c r="D684">
        <f>HYPERLINK("https://www.youtube.com/watch?v=p_IO-ssx_Q0&amp;t=407s", "Go to time")</f>
        <v/>
      </c>
    </row>
    <row r="685">
      <c r="A685">
        <f>HYPERLINK("https://www.youtube.com/watch?v=p_IO-ssx_Q0", "Video")</f>
        <v/>
      </c>
      <c r="B685" t="inlineStr">
        <is>
          <t>6:54</t>
        </is>
      </c>
      <c r="C685" t="inlineStr">
        <is>
          <t>policy of a transformational ambitious</t>
        </is>
      </c>
      <c r="D685">
        <f>HYPERLINK("https://www.youtube.com/watch?v=p_IO-ssx_Q0&amp;t=414s", "Go to time")</f>
        <v/>
      </c>
    </row>
    <row r="686">
      <c r="A686">
        <f>HYPERLINK("https://www.youtube.com/watch?v=WvGUTtYMUco", "Video")</f>
        <v/>
      </c>
      <c r="B686" t="inlineStr">
        <is>
          <t>6:45</t>
        </is>
      </c>
      <c r="C686" t="inlineStr">
        <is>
          <t>that we can ensure at least
a little bit more harmony?</t>
        </is>
      </c>
      <c r="D686">
        <f>HYPERLINK("https://www.youtube.com/watch?v=WvGUTtYMUco&amp;t=405s", "Go to time")</f>
        <v/>
      </c>
    </row>
    <row r="687">
      <c r="A687">
        <f>HYPERLINK("https://www.youtube.com/watch?v=5Rk1ArxetMU", "Video")</f>
        <v/>
      </c>
      <c r="B687" t="inlineStr">
        <is>
          <t>3:08</t>
        </is>
      </c>
      <c r="C687" t="inlineStr">
        <is>
          <t>You also see a little
bit of destabilization</t>
        </is>
      </c>
      <c r="D687">
        <f>HYPERLINK("https://www.youtube.com/watch?v=5Rk1ArxetMU&amp;t=188s", "Go to time")</f>
        <v/>
      </c>
    </row>
    <row r="688">
      <c r="A688">
        <f>HYPERLINK("https://www.youtube.com/watch?v=lqe45YhCAp4", "Video")</f>
        <v/>
      </c>
      <c r="B688" t="inlineStr">
        <is>
          <t>2:33</t>
        </is>
      </c>
      <c r="C688" t="inlineStr">
        <is>
          <t>It's a little bit bigger than a thumb drive.</t>
        </is>
      </c>
      <c r="D688">
        <f>HYPERLINK("https://www.youtube.com/watch?v=lqe45YhCAp4&amp;t=153s", "Go to time")</f>
        <v/>
      </c>
    </row>
    <row r="689">
      <c r="A689">
        <f>HYPERLINK("https://www.youtube.com/watch?v=g9KRLZGysm8", "Video")</f>
        <v/>
      </c>
      <c r="B689" t="inlineStr">
        <is>
          <t>2:05</t>
        </is>
      </c>
      <c r="C689" t="inlineStr">
        <is>
          <t>because every bit of protein is being</t>
        </is>
      </c>
      <c r="D689">
        <f>HYPERLINK("https://www.youtube.com/watch?v=g9KRLZGysm8&amp;t=125s", "Go to time")</f>
        <v/>
      </c>
    </row>
    <row r="690">
      <c r="A690">
        <f>HYPERLINK("https://www.youtube.com/watch?v=1dP9dCslK0A", "Video")</f>
        <v/>
      </c>
      <c r="B690" t="inlineStr">
        <is>
          <t>3:54</t>
        </is>
      </c>
      <c r="C690" t="inlineStr">
        <is>
          <t>inhabit the roles and uh make them live</t>
        </is>
      </c>
      <c r="D690">
        <f>HYPERLINK("https://www.youtube.com/watch?v=1dP9dCslK0A&amp;t=234s", "Go to time")</f>
        <v/>
      </c>
    </row>
    <row r="691">
      <c r="A691">
        <f>HYPERLINK("https://www.youtube.com/watch?v=1dP9dCslK0A", "Video")</f>
        <v/>
      </c>
      <c r="B691" t="inlineStr">
        <is>
          <t>4:51</t>
        </is>
      </c>
      <c r="C691" t="inlineStr">
        <is>
          <t>such a way that you know um inhabits an</t>
        </is>
      </c>
      <c r="D691">
        <f>HYPERLINK("https://www.youtube.com/watch?v=1dP9dCslK0A&amp;t=291s", "Go to time")</f>
        <v/>
      </c>
    </row>
    <row r="692">
      <c r="A692">
        <f>HYPERLINK("https://www.youtube.com/watch?v=1dP9dCslK0A", "Video")</f>
        <v/>
      </c>
      <c r="B692" t="inlineStr">
        <is>
          <t>7:14</t>
        </is>
      </c>
      <c r="C692" t="inlineStr">
        <is>
          <t>pressure it goes on a bit but so it and</t>
        </is>
      </c>
      <c r="D692">
        <f>HYPERLINK("https://www.youtube.com/watch?v=1dP9dCslK0A&amp;t=434s", "Go to time")</f>
        <v/>
      </c>
    </row>
    <row r="693">
      <c r="A693">
        <f>HYPERLINK("https://www.youtube.com/watch?v=_YQE4Qdnxt8", "Video")</f>
        <v/>
      </c>
      <c r="B693" t="inlineStr">
        <is>
          <t>1:31</t>
        </is>
      </c>
      <c r="C693" t="inlineStr">
        <is>
          <t>organizations typically fall down a bit</t>
        </is>
      </c>
      <c r="D693">
        <f>HYPERLINK("https://www.youtube.com/watch?v=_YQE4Qdnxt8&amp;t=91s", "Go to time")</f>
        <v/>
      </c>
    </row>
    <row r="694">
      <c r="A694">
        <f>HYPERLINK("https://www.youtube.com/watch?v=FAcTIrA2Qhk", "Video")</f>
        <v/>
      </c>
      <c r="B694" t="inlineStr">
        <is>
          <t>3:35</t>
        </is>
      </c>
      <c r="C694" t="inlineStr">
        <is>
          <t>It just means you are going to be able to
navigate this with a little bit more ease.</t>
        </is>
      </c>
      <c r="D694">
        <f>HYPERLINK("https://www.youtube.com/watch?v=FAcTIrA2Qhk&amp;t=215s", "Go to time")</f>
        <v/>
      </c>
    </row>
    <row r="695">
      <c r="A695">
        <f>HYPERLINK("https://www.youtube.com/watch?v=lyml3Ehmeog", "Video")</f>
        <v/>
      </c>
      <c r="B695" t="inlineStr">
        <is>
          <t>0:10</t>
        </is>
      </c>
      <c r="C695" t="inlineStr">
        <is>
          <t>perspective a little bit I've noticed</t>
        </is>
      </c>
      <c r="D695">
        <f>HYPERLINK("https://www.youtube.com/watch?v=lyml3Ehmeog&amp;t=10s", "Go to time")</f>
        <v/>
      </c>
    </row>
    <row r="696">
      <c r="A696">
        <f>HYPERLINK("https://www.youtube.com/watch?v=GStNQR8LvhA", "Video")</f>
        <v/>
      </c>
      <c r="B696" t="inlineStr">
        <is>
          <t>1:15</t>
        </is>
      </c>
      <c r="C696" t="inlineStr">
        <is>
          <t>know I think I'm a little bit old for</t>
        </is>
      </c>
      <c r="D696">
        <f>HYPERLINK("https://www.youtube.com/watch?v=GStNQR8LvhA&amp;t=75s", "Go to time")</f>
        <v/>
      </c>
    </row>
    <row r="697">
      <c r="A697">
        <f>HYPERLINK("https://www.youtube.com/watch?v=nuRNmPpBAuI", "Video")</f>
        <v/>
      </c>
      <c r="B697" t="inlineStr">
        <is>
          <t>34:28</t>
        </is>
      </c>
      <c r="C697" t="inlineStr">
        <is>
          <t>rageful and bitter, but she didn't. And</t>
        </is>
      </c>
      <c r="D697">
        <f>HYPERLINK("https://www.youtube.com/watch?v=nuRNmPpBAuI&amp;t=2068s", "Go to time")</f>
        <v/>
      </c>
    </row>
    <row r="698">
      <c r="A698">
        <f>HYPERLINK("https://www.youtube.com/watch?v=nuRNmPpBAuI", "Video")</f>
        <v/>
      </c>
      <c r="B698" t="inlineStr">
        <is>
          <t>36:50</t>
        </is>
      </c>
      <c r="C698" t="inlineStr">
        <is>
          <t>years not to become bitter, not to think</t>
        </is>
      </c>
      <c r="D698">
        <f>HYPERLINK("https://www.youtube.com/watch?v=nuRNmPpBAuI&amp;t=2210s", "Go to time")</f>
        <v/>
      </c>
    </row>
    <row r="699">
      <c r="A699">
        <f>HYPERLINK("https://www.youtube.com/watch?v=9TrbOoirkhM", "Video")</f>
        <v/>
      </c>
      <c r="B699" t="inlineStr">
        <is>
          <t>2:07</t>
        </is>
      </c>
      <c r="C699" t="inlineStr">
        <is>
          <t>It's a little bit like if I have a plate of
French fries and you say to me, "Hey, what's</t>
        </is>
      </c>
      <c r="D699">
        <f>HYPERLINK("https://www.youtube.com/watch?v=9TrbOoirkhM&amp;t=127s", "Go to time")</f>
        <v/>
      </c>
    </row>
    <row r="700">
      <c r="A700">
        <f>HYPERLINK("https://www.youtube.com/watch?v=vue8jsLqPbo", "Video")</f>
        <v/>
      </c>
      <c r="B700" t="inlineStr">
        <is>
          <t>2:47</t>
        </is>
      </c>
      <c r="C700" t="inlineStr">
        <is>
          <t>And you realize first of all the brain is
a little bit different.</t>
        </is>
      </c>
      <c r="D700">
        <f>HYPERLINK("https://www.youtube.com/watch?v=vue8jsLqPbo&amp;t=167s", "Go to time")</f>
        <v/>
      </c>
    </row>
    <row r="701">
      <c r="A701">
        <f>HYPERLINK("https://www.youtube.com/watch?v=NvWTnIoQZj4", "Video")</f>
        <v/>
      </c>
      <c r="B701" t="inlineStr">
        <is>
          <t>0:53</t>
        </is>
      </c>
      <c r="C701" t="inlineStr">
        <is>
          <t>And if you know those, you can’t help know
sort of a little bit about Ruby and JavaScript,</t>
        </is>
      </c>
      <c r="D701">
        <f>HYPERLINK("https://www.youtube.com/watch?v=NvWTnIoQZj4&amp;t=53s", "Go to time")</f>
        <v/>
      </c>
    </row>
    <row r="702">
      <c r="A702">
        <f>HYPERLINK("https://www.youtube.com/watch?v=NvWTnIoQZj4", "Video")</f>
        <v/>
      </c>
      <c r="B702" t="inlineStr">
        <is>
          <t>1:37</t>
        </is>
      </c>
      <c r="C702" t="inlineStr">
        <is>
          <t>spinning a bit when it needs to.</t>
        </is>
      </c>
      <c r="D702">
        <f>HYPERLINK("https://www.youtube.com/watch?v=NvWTnIoQZj4&amp;t=97s", "Go to time")</f>
        <v/>
      </c>
    </row>
    <row r="703">
      <c r="A703">
        <f>HYPERLINK("https://www.youtube.com/watch?v=W2ykyVanUgc", "Video")</f>
        <v/>
      </c>
      <c r="B703" t="inlineStr">
        <is>
          <t>0:41</t>
        </is>
      </c>
      <c r="C703" t="inlineStr">
        <is>
          <t>But otherwise on that, I left Jamaica a little
bit and I went back home and I keep going</t>
        </is>
      </c>
      <c r="D703">
        <f>HYPERLINK("https://www.youtube.com/watch?v=W2ykyVanUgc&amp;t=41s", "Go to time")</f>
        <v/>
      </c>
    </row>
    <row r="704">
      <c r="A704">
        <f>HYPERLINK("https://www.youtube.com/watch?v=W2ykyVanUgc", "Video")</f>
        <v/>
      </c>
      <c r="B704" t="inlineStr">
        <is>
          <t>9:00</t>
        </is>
      </c>
      <c r="C704" t="inlineStr">
        <is>
          <t>bit different than what’s out there now
and a little bit more conscious in terms of</t>
        </is>
      </c>
      <c r="D704">
        <f>HYPERLINK("https://www.youtube.com/watch?v=W2ykyVanUgc&amp;t=540s", "Go to time")</f>
        <v/>
      </c>
    </row>
    <row r="705">
      <c r="A705">
        <f>HYPERLINK("https://www.youtube.com/watch?v=Je8LofzkP00", "Video")</f>
        <v/>
      </c>
      <c r="B705" t="inlineStr">
        <is>
          <t>2:34</t>
        </is>
      </c>
      <c r="C705" t="inlineStr">
        <is>
          <t>bit different than a Traditional School</t>
        </is>
      </c>
      <c r="D705">
        <f>HYPERLINK("https://www.youtube.com/watch?v=Je8LofzkP00&amp;t=154s", "Go to time")</f>
        <v/>
      </c>
    </row>
    <row r="706">
      <c r="A706">
        <f>HYPERLINK("https://www.youtube.com/watch?v=Je8LofzkP00", "Video")</f>
        <v/>
      </c>
      <c r="B706" t="inlineStr">
        <is>
          <t>4:45</t>
        </is>
      </c>
      <c r="C706" t="inlineStr">
        <is>
          <t>and again and so it's a bit of a</t>
        </is>
      </c>
      <c r="D706">
        <f>HYPERLINK("https://www.youtube.com/watch?v=Je8LofzkP00&amp;t=285s", "Go to time")</f>
        <v/>
      </c>
    </row>
    <row r="707">
      <c r="A707">
        <f>HYPERLINK("https://www.youtube.com/watch?v=Ynzgn4slglg", "Video")</f>
        <v/>
      </c>
      <c r="B707" t="inlineStr">
        <is>
          <t>0:29</t>
        </is>
      </c>
      <c r="C707" t="inlineStr">
        <is>
          <t>is gone. "Yeah. John, we've got a bit of a
tech sell-off this morning, and it's being</t>
        </is>
      </c>
      <c r="D707">
        <f>HYPERLINK("https://www.youtube.com/watch?v=Ynzgn4slglg&amp;t=29s", "Go to time")</f>
        <v/>
      </c>
    </row>
    <row r="708">
      <c r="A708">
        <f>HYPERLINK("https://www.youtube.com/watch?v=Ynzgn4slglg", "Video")</f>
        <v/>
      </c>
      <c r="B708" t="inlineStr">
        <is>
          <t>5:31</t>
        </is>
      </c>
      <c r="C708" t="inlineStr">
        <is>
          <t>of a little bit hard to say, "Don't try to
make me happy." And you can imagine the</t>
        </is>
      </c>
      <c r="D708">
        <f>HYPERLINK("https://www.youtube.com/watch?v=Ynzgn4slglg&amp;t=331s", "Go to time")</f>
        <v/>
      </c>
    </row>
    <row r="709">
      <c r="A709">
        <f>HYPERLINK("https://www.youtube.com/watch?v=Ynzgn4slglg", "Video")</f>
        <v/>
      </c>
      <c r="B709" t="inlineStr">
        <is>
          <t>6:43</t>
        </is>
      </c>
      <c r="C709" t="inlineStr">
        <is>
          <t>As you think about learning to be a great
prompter of AI, it's a bit</t>
        </is>
      </c>
      <c r="D709">
        <f>HYPERLINK("https://www.youtube.com/watch?v=Ynzgn4slglg&amp;t=403s", "Go to time")</f>
        <v/>
      </c>
    </row>
    <row r="710">
      <c r="A710">
        <f>HYPERLINK("https://www.youtube.com/watch?v=HZYuEQruesM", "Video")</f>
        <v/>
      </c>
      <c r="B710" t="inlineStr">
        <is>
          <t>4:25</t>
        </is>
      </c>
      <c r="C710" t="inlineStr">
        <is>
          <t>little bit disconcerting so that was</t>
        </is>
      </c>
      <c r="D710">
        <f>HYPERLINK("https://www.youtube.com/watch?v=HZYuEQruesM&amp;t=265s", "Go to time")</f>
        <v/>
      </c>
    </row>
    <row r="711">
      <c r="A711">
        <f>HYPERLINK("https://www.youtube.com/watch?v=rBZ73R3tUyY", "Video")</f>
        <v/>
      </c>
      <c r="B711" t="inlineStr">
        <is>
          <t>1:52</t>
        </is>
      </c>
      <c r="C711" t="inlineStr">
        <is>
          <t>be ambitious and to</t>
        </is>
      </c>
      <c r="D711">
        <f>HYPERLINK("https://www.youtube.com/watch?v=rBZ73R3tUyY&amp;t=112s", "Go to time")</f>
        <v/>
      </c>
    </row>
    <row r="712">
      <c r="A712">
        <f>HYPERLINK("https://www.youtube.com/watch?v=JyQlWJnxmBA", "Video")</f>
        <v/>
      </c>
      <c r="B712" t="inlineStr">
        <is>
          <t>1:51</t>
        </is>
      </c>
      <c r="C712" t="inlineStr">
        <is>
          <t>and the person you love receives
a bit of shock, you flinch,</t>
        </is>
      </c>
      <c r="D712">
        <f>HYPERLINK("https://www.youtube.com/watch?v=JyQlWJnxmBA&amp;t=111s", "Go to time")</f>
        <v/>
      </c>
    </row>
    <row r="713">
      <c r="A713">
        <f>HYPERLINK("https://www.youtube.com/watch?v=GFnLZQfuVOQ", "Video")</f>
        <v/>
      </c>
      <c r="B713" t="inlineStr">
        <is>
          <t>3:15</t>
        </is>
      </c>
      <c r="C713" t="inlineStr">
        <is>
          <t>even a little bit of the opportunities</t>
        </is>
      </c>
      <c r="D713">
        <f>HYPERLINK("https://www.youtube.com/watch?v=GFnLZQfuVOQ&amp;t=195s", "Go to time")</f>
        <v/>
      </c>
    </row>
    <row r="714">
      <c r="A714">
        <f>HYPERLINK("https://www.youtube.com/watch?v=R6Lc0qt77Qs", "Video")</f>
        <v/>
      </c>
      <c r="B714" t="inlineStr">
        <is>
          <t>5:32</t>
        </is>
      </c>
      <c r="C714" t="inlineStr">
        <is>
          <t>habits any magazine 612 ways to make</t>
        </is>
      </c>
      <c r="D714">
        <f>HYPERLINK("https://www.youtube.com/watch?v=R6Lc0qt77Qs&amp;t=332s", "Go to time")</f>
        <v/>
      </c>
    </row>
    <row r="715">
      <c r="A715">
        <f>HYPERLINK("https://www.youtube.com/watch?v=R6Lc0qt77Qs", "Video")</f>
        <v/>
      </c>
      <c r="B715" t="inlineStr">
        <is>
          <t>6:12</t>
        </is>
      </c>
      <c r="C715" t="inlineStr">
        <is>
          <t>Ambitions I guess uh I would say that I</t>
        </is>
      </c>
      <c r="D715">
        <f>HYPERLINK("https://www.youtube.com/watch?v=R6Lc0qt77Qs&amp;t=372s", "Go to time")</f>
        <v/>
      </c>
    </row>
    <row r="716">
      <c r="A716">
        <f>HYPERLINK("https://www.youtube.com/watch?v=AjnNYPtNa6A", "Video")</f>
        <v/>
      </c>
      <c r="B716" t="inlineStr">
        <is>
          <t>1:17</t>
        </is>
      </c>
      <c r="C716" t="inlineStr">
        <is>
          <t>how much money you have,
or what your ambitions are.</t>
        </is>
      </c>
      <c r="D716">
        <f>HYPERLINK("https://www.youtube.com/watch?v=AjnNYPtNa6A&amp;t=77s", "Go to time")</f>
        <v/>
      </c>
    </row>
    <row r="717">
      <c r="A717">
        <f>HYPERLINK("https://www.youtube.com/watch?v=AjnNYPtNa6A", "Video")</f>
        <v/>
      </c>
      <c r="B717" t="inlineStr">
        <is>
          <t>2:04</t>
        </is>
      </c>
      <c r="C717" t="inlineStr">
        <is>
          <t>those specific motives
are every bit as important</t>
        </is>
      </c>
      <c r="D717">
        <f>HYPERLINK("https://www.youtube.com/watch?v=AjnNYPtNa6A&amp;t=124s", "Go to time")</f>
        <v/>
      </c>
    </row>
    <row r="718">
      <c r="A718">
        <f>HYPERLINK("https://www.youtube.com/watch?v=JeQsQqvw31g", "Video")</f>
        <v/>
      </c>
      <c r="B718" t="inlineStr">
        <is>
          <t>0:41</t>
        </is>
      </c>
      <c r="C718" t="inlineStr">
        <is>
          <t>sprinkle some sugar onto a um a bitter</t>
        </is>
      </c>
      <c r="D718">
        <f>HYPERLINK("https://www.youtube.com/watch?v=JeQsQqvw31g&amp;t=41s", "Go to time")</f>
        <v/>
      </c>
    </row>
    <row r="719">
      <c r="A719">
        <f>HYPERLINK("https://www.youtube.com/watch?v=JeQsQqvw31g", "Video")</f>
        <v/>
      </c>
      <c r="B719" t="inlineStr">
        <is>
          <t>0:48</t>
        </is>
      </c>
      <c r="C719" t="inlineStr">
        <is>
          <t>leave out the bitter piece you</t>
        </is>
      </c>
      <c r="D719">
        <f>HYPERLINK("https://www.youtube.com/watch?v=JeQsQqvw31g&amp;t=48s", "Go to time")</f>
        <v/>
      </c>
    </row>
    <row r="720">
      <c r="A720">
        <f>HYPERLINK("https://www.youtube.com/watch?v=fpJrmI_yc4A", "Video")</f>
        <v/>
      </c>
      <c r="B720" t="inlineStr">
        <is>
          <t>1:04</t>
        </is>
      </c>
      <c r="C720" t="inlineStr">
        <is>
          <t>They got more ambition.</t>
        </is>
      </c>
      <c r="D720">
        <f>HYPERLINK("https://www.youtube.com/watch?v=fpJrmI_yc4A&amp;t=64s", "Go to time")</f>
        <v/>
      </c>
    </row>
    <row r="721">
      <c r="A721">
        <f>HYPERLINK("https://www.youtube.com/watch?v=-qSPy_HEJVU", "Video")</f>
        <v/>
      </c>
      <c r="B721" t="inlineStr">
        <is>
          <t>1:28</t>
        </is>
      </c>
      <c r="C721" t="inlineStr">
        <is>
          <t>We'll just add some bits and pieces</t>
        </is>
      </c>
      <c r="D721">
        <f>HYPERLINK("https://www.youtube.com/watch?v=-qSPy_HEJVU&amp;t=88s", "Go to time")</f>
        <v/>
      </c>
    </row>
    <row r="722">
      <c r="A722">
        <f>HYPERLINK("https://www.youtube.com/watch?v=ZzD6x7gXvgk", "Video")</f>
        <v/>
      </c>
      <c r="B722" t="inlineStr">
        <is>
          <t>0:11</t>
        </is>
      </c>
      <c r="C722" t="inlineStr">
        <is>
          <t>site it's a little bit like uh when you</t>
        </is>
      </c>
      <c r="D722">
        <f>HYPERLINK("https://www.youtube.com/watch?v=ZzD6x7gXvgk&amp;t=11s", "Go to time")</f>
        <v/>
      </c>
    </row>
    <row r="723">
      <c r="A723">
        <f>HYPERLINK("https://www.youtube.com/watch?v=4IiGqGoflsk", "Video")</f>
        <v/>
      </c>
      <c r="B723" t="inlineStr">
        <is>
          <t>1:23</t>
        </is>
      </c>
      <c r="C723" t="inlineStr">
        <is>
          <t>bit better theory of mind and that's</t>
        </is>
      </c>
      <c r="D723">
        <f>HYPERLINK("https://www.youtube.com/watch?v=4IiGqGoflsk&amp;t=83s", "Go to time")</f>
        <v/>
      </c>
    </row>
    <row r="724">
      <c r="A724">
        <f>HYPERLINK("https://www.youtube.com/watch?v=rz_99PBycSo", "Video")</f>
        <v/>
      </c>
      <c r="B724" t="inlineStr">
        <is>
          <t>1:19</t>
        </is>
      </c>
      <c r="C724" t="inlineStr">
        <is>
          <t>Every now and then you read about a machine
that can sort of do conversational gambits</t>
        </is>
      </c>
      <c r="D724">
        <f>HYPERLINK("https://www.youtube.com/watch?v=rz_99PBycSo&amp;t=79s", "Go to time")</f>
        <v/>
      </c>
    </row>
    <row r="725">
      <c r="A725">
        <f>HYPERLINK("https://www.youtube.com/watch?v=YVxt7M7hrq4", "Video")</f>
        <v/>
      </c>
      <c r="B725" t="inlineStr">
        <is>
          <t>0:35</t>
        </is>
      </c>
      <c r="C725" t="inlineStr">
        <is>
          <t>belief that truth is an arbitrary social</t>
        </is>
      </c>
      <c r="D725">
        <f>HYPERLINK("https://www.youtube.com/watch?v=YVxt7M7hrq4&amp;t=35s", "Go to time")</f>
        <v/>
      </c>
    </row>
    <row r="726">
      <c r="A726">
        <f>HYPERLINK("https://www.youtube.com/watch?v=Oei6jPwdBLE", "Video")</f>
        <v/>
      </c>
      <c r="B726" t="inlineStr">
        <is>
          <t>2:50</t>
        </is>
      </c>
      <c r="C726" t="inlineStr">
        <is>
          <t>up a little bit to increase benefits but</t>
        </is>
      </c>
      <c r="D726">
        <f>HYPERLINK("https://www.youtube.com/watch?v=Oei6jPwdBLE&amp;t=170s", "Go to time")</f>
        <v/>
      </c>
    </row>
    <row r="727">
      <c r="A727">
        <f>HYPERLINK("https://www.youtube.com/watch?v=DBtFoiZVR_I", "Video")</f>
        <v/>
      </c>
      <c r="B727" t="inlineStr">
        <is>
          <t>16:12</t>
        </is>
      </c>
      <c r="C727" t="inlineStr">
        <is>
          <t>"Yes, I'll be this ambitious,"</t>
        </is>
      </c>
      <c r="D727">
        <f>HYPERLINK("https://www.youtube.com/watch?v=DBtFoiZVR_I&amp;t=972s", "Go to time")</f>
        <v/>
      </c>
    </row>
    <row r="728">
      <c r="A728">
        <f>HYPERLINK("https://www.youtube.com/watch?v=DBtFoiZVR_I", "Video")</f>
        <v/>
      </c>
      <c r="B728" t="inlineStr">
        <is>
          <t>16:29</t>
        </is>
      </c>
      <c r="C728" t="inlineStr">
        <is>
          <t>to slow down a little bit.
- Yeah.</t>
        </is>
      </c>
      <c r="D728">
        <f>HYPERLINK("https://www.youtube.com/watch?v=DBtFoiZVR_I&amp;t=989s", "Go to time")</f>
        <v/>
      </c>
    </row>
    <row r="729">
      <c r="A729">
        <f>HYPERLINK("https://www.youtube.com/watch?v=0K6ZsFM6eIw", "Video")</f>
        <v/>
      </c>
      <c r="B729" t="inlineStr">
        <is>
          <t>3:17</t>
        </is>
      </c>
      <c r="C729" t="inlineStr">
        <is>
          <t>NARRATOR: So, it shouldn't surprise us that 
the biases our minds exhibit are pragmatic.</t>
        </is>
      </c>
      <c r="D729">
        <f>HYPERLINK("https://www.youtube.com/watch?v=0K6ZsFM6eIw&amp;t=197s", "Go to time")</f>
        <v/>
      </c>
    </row>
    <row r="730">
      <c r="A730">
        <f>HYPERLINK("https://www.youtube.com/watch?v=Oy06e8rC9JE", "Video")</f>
        <v/>
      </c>
      <c r="B730" t="inlineStr">
        <is>
          <t>1:19</t>
        </is>
      </c>
      <c r="C730" t="inlineStr">
        <is>
          <t>for driving just a little bit too fast</t>
        </is>
      </c>
      <c r="D730">
        <f>HYPERLINK("https://www.youtube.com/watch?v=Oy06e8rC9JE&amp;t=79s", "Go to time")</f>
        <v/>
      </c>
    </row>
    <row r="731">
      <c r="A731">
        <f>HYPERLINK("https://www.youtube.com/watch?v=Oy06e8rC9JE", "Video")</f>
        <v/>
      </c>
      <c r="B731" t="inlineStr">
        <is>
          <t>1:35</t>
        </is>
      </c>
      <c r="C731" t="inlineStr">
        <is>
          <t>over you that you are a bit omnipotent</t>
        </is>
      </c>
      <c r="D731">
        <f>HYPERLINK("https://www.youtube.com/watch?v=Oy06e8rC9JE&amp;t=95s", "Go to time")</f>
        <v/>
      </c>
    </row>
    <row r="732">
      <c r="A732">
        <f>HYPERLINK("https://www.youtube.com/watch?v=RK30stYMJtk", "Video")</f>
        <v/>
      </c>
      <c r="B732" t="inlineStr">
        <is>
          <t>5:08</t>
        </is>
      </c>
      <c r="C732" t="inlineStr">
        <is>
          <t>bit and see if they push back and say</t>
        </is>
      </c>
      <c r="D732">
        <f>HYPERLINK("https://www.youtube.com/watch?v=RK30stYMJtk&amp;t=308s", "Go to time")</f>
        <v/>
      </c>
    </row>
    <row r="733">
      <c r="A733">
        <f>HYPERLINK("https://www.youtube.com/watch?v=ubMghRYqk8o", "Video")</f>
        <v/>
      </c>
      <c r="B733" t="inlineStr">
        <is>
          <t>1:19</t>
        </is>
      </c>
      <c r="C733" t="inlineStr">
        <is>
          <t>enough? Am I being ambitious enough? What I call 
the maximized brain is this belief that we have,</t>
        </is>
      </c>
      <c r="D733">
        <f>HYPERLINK("https://www.youtube.com/watch?v=ubMghRYqk8o&amp;t=79s", "Go to time")</f>
        <v/>
      </c>
    </row>
    <row r="734">
      <c r="A734">
        <f>HYPERLINK("https://www.youtube.com/watch?v=ubMghRYqk8o", "Video")</f>
        <v/>
      </c>
      <c r="B734" t="inlineStr">
        <is>
          <t>1:31</t>
        </is>
      </c>
      <c r="C734" t="inlineStr">
        <is>
          <t>that whatever we do, it has to be the biggest, the 
most ambitious version of this goal. When we want</t>
        </is>
      </c>
      <c r="D734">
        <f>HYPERLINK("https://www.youtube.com/watch?v=ubMghRYqk8o&amp;t=91s", "Go to time")</f>
        <v/>
      </c>
    </row>
    <row r="735">
      <c r="A735">
        <f>HYPERLINK("https://www.youtube.com/watch?v=ubMghRYqk8o", "Video")</f>
        <v/>
      </c>
      <c r="B735" t="inlineStr">
        <is>
          <t>5:35</t>
        </is>
      </c>
      <c r="C735" t="inlineStr">
        <is>
          <t>and the perfectionist mindset. The cynical mindset 
is when we have lost all curiosity and ambition in</t>
        </is>
      </c>
      <c r="D735">
        <f>HYPERLINK("https://www.youtube.com/watch?v=ubMghRYqk8o&amp;t=335s", "Go to time")</f>
        <v/>
      </c>
    </row>
    <row r="736">
      <c r="A736">
        <f>HYPERLINK("https://www.youtube.com/watch?v=ubMghRYqk8o", "Video")</f>
        <v/>
      </c>
      <c r="B736" t="inlineStr">
        <is>
          <t>5:45</t>
        </is>
      </c>
      <c r="C736" t="inlineStr">
        <is>
          <t>of curiosity and ambition. When we're cynical, we 
feel like there's no point trying because we're</t>
        </is>
      </c>
      <c r="D736">
        <f>HYPERLINK("https://www.youtube.com/watch?v=ubMghRYqk8o&amp;t=345s", "Go to time")</f>
        <v/>
      </c>
    </row>
    <row r="737">
      <c r="A737">
        <f>HYPERLINK("https://www.youtube.com/watch?v=ubMghRYqk8o", "Video")</f>
        <v/>
      </c>
      <c r="B737" t="inlineStr">
        <is>
          <t>6:06</t>
        </is>
      </c>
      <c r="C737" t="inlineStr">
        <is>
          <t>In the escapist mindset, we're still curious, 
but we have decided to let go of our ambitions.</t>
        </is>
      </c>
      <c r="D737">
        <f>HYPERLINK("https://www.youtube.com/watch?v=ubMghRYqk8o&amp;t=366s", "Go to time")</f>
        <v/>
      </c>
    </row>
    <row r="738">
      <c r="A738">
        <f>HYPERLINK("https://www.youtube.com/watch?v=ubMghRYqk8o", "Video")</f>
        <v/>
      </c>
      <c r="B738" t="inlineStr">
        <is>
          <t>6:29</t>
        </is>
      </c>
      <c r="C738" t="inlineStr">
        <is>
          <t>have high ambition, but low curiosity. That might 
look like self-coercion, overworking ourselves,</t>
        </is>
      </c>
      <c r="D738">
        <f>HYPERLINK("https://www.youtube.com/watch?v=ubMghRYqk8o&amp;t=389s", "Go to time")</f>
        <v/>
      </c>
    </row>
    <row r="739">
      <c r="A739">
        <f>HYPERLINK("https://www.youtube.com/watch?v=ubMghRYqk8o", "Video")</f>
        <v/>
      </c>
      <c r="B739" t="inlineStr">
        <is>
          <t>6:51</t>
        </is>
      </c>
      <c r="C739" t="inlineStr">
        <is>
          <t>are curiosity and ambition. In the case of the 
cynical mindset, it's low curiosity, low ambition.</t>
        </is>
      </c>
      <c r="D739">
        <f>HYPERLINK("https://www.youtube.com/watch?v=ubMghRYqk8o&amp;t=411s", "Go to time")</f>
        <v/>
      </c>
    </row>
    <row r="740">
      <c r="A740">
        <f>HYPERLINK("https://www.youtube.com/watch?v=ubMghRYqk8o", "Video")</f>
        <v/>
      </c>
      <c r="B740" t="inlineStr">
        <is>
          <t>6:57</t>
        </is>
      </c>
      <c r="C740" t="inlineStr">
        <is>
          <t>For the escapist mindset, high curiosity, but low 
ambition. And with the perfectionist mindset, you</t>
        </is>
      </c>
      <c r="D740">
        <f>HYPERLINK("https://www.youtube.com/watch?v=ubMghRYqk8o&amp;t=417s", "Go to time")</f>
        <v/>
      </c>
    </row>
    <row r="741">
      <c r="A741">
        <f>HYPERLINK("https://www.youtube.com/watch?v=ubMghRYqk8o", "Video")</f>
        <v/>
      </c>
      <c r="B741" t="inlineStr">
        <is>
          <t>7:03</t>
        </is>
      </c>
      <c r="C741" t="inlineStr">
        <is>
          <t>do have high ambition, but you have decided to let 
go of your curiosity. Those mindsets are actually</t>
        </is>
      </c>
      <c r="D741">
        <f>HYPERLINK("https://www.youtube.com/watch?v=ubMghRYqk8o&amp;t=423s", "Go to time")</f>
        <v/>
      </c>
    </row>
    <row r="742">
      <c r="A742">
        <f>HYPERLINK("https://www.youtube.com/watch?v=ubMghRYqk8o", "Video")</f>
        <v/>
      </c>
      <c r="B742" t="inlineStr">
        <is>
          <t>7:13</t>
        </is>
      </c>
      <c r="C742" t="inlineStr">
        <is>
          <t>ambitions that we might have at the moment. This 
is actually really good news because that means</t>
        </is>
      </c>
      <c r="D742">
        <f>HYPERLINK("https://www.youtube.com/watch?v=ubMghRYqk8o&amp;t=433s", "Go to time")</f>
        <v/>
      </c>
    </row>
    <row r="743">
      <c r="A743">
        <f>HYPERLINK("https://www.youtube.com/watch?v=ubMghRYqk8o", "Video")</f>
        <v/>
      </c>
      <c r="B743" t="inlineStr">
        <is>
          <t>7:40</t>
        </is>
      </c>
      <c r="C743" t="inlineStr">
        <is>
          <t>a mindset where your curiosity and your ambition 
are both high. In an experimental mindset, you're</t>
        </is>
      </c>
      <c r="D743">
        <f>HYPERLINK("https://www.youtube.com/watch?v=ubMghRYqk8o&amp;t=460s", "Go to time")</f>
        <v/>
      </c>
    </row>
    <row r="744">
      <c r="A744">
        <f>HYPERLINK("https://www.youtube.com/watch?v=ubMghRYqk8o", "Video")</f>
        <v/>
      </c>
      <c r="B744" t="inlineStr">
        <is>
          <t>7:53</t>
        </is>
      </c>
      <c r="C744" t="inlineStr">
        <is>
          <t>experimental mindset helps us completely reimagine 
a relationship to ambition and to goals. When you</t>
        </is>
      </c>
      <c r="D744">
        <f>HYPERLINK("https://www.youtube.com/watch?v=ubMghRYqk8o&amp;t=473s", "Go to time")</f>
        <v/>
      </c>
    </row>
    <row r="745">
      <c r="A745">
        <f>HYPERLINK("https://www.youtube.com/watch?v=ubMghRYqk8o", "Video")</f>
        <v/>
      </c>
      <c r="B745" t="inlineStr">
        <is>
          <t>11:08</t>
        </is>
      </c>
      <c r="C745" t="inlineStr">
        <is>
          <t>decide on that is very ambitious at the beginning 
of the year and that you're going to abandon.</t>
        </is>
      </c>
      <c r="D745">
        <f>HYPERLINK("https://www.youtube.com/watch?v=ubMghRYqk8o&amp;t=668s", "Go to time")</f>
        <v/>
      </c>
    </row>
    <row r="746">
      <c r="A746">
        <f>HYPERLINK("https://www.youtube.com/watch?v=ubMghRYqk8o", "Video")</f>
        <v/>
      </c>
      <c r="B746" t="inlineStr">
        <is>
          <t>11:18</t>
        </is>
      </c>
      <c r="C746" t="inlineStr">
        <is>
          <t>pact is not a habit either. The difference 
between a habit and an experiment is that</t>
        </is>
      </c>
      <c r="D746">
        <f>HYPERLINK("https://www.youtube.com/watch?v=ubMghRYqk8o&amp;t=678s", "Go to time")</f>
        <v/>
      </c>
    </row>
    <row r="747">
      <c r="A747">
        <f>HYPERLINK("https://www.youtube.com/watch?v=ubMghRYqk8o", "Video")</f>
        <v/>
      </c>
      <c r="B747" t="inlineStr">
        <is>
          <t>11:22</t>
        </is>
      </c>
      <c r="C747" t="inlineStr">
        <is>
          <t>with a habit, you're very clear that this is 
something that's going to be good for you,</t>
        </is>
      </c>
      <c r="D747">
        <f>HYPERLINK("https://www.youtube.com/watch?v=ubMghRYqk8o&amp;t=682s", "Go to time")</f>
        <v/>
      </c>
    </row>
    <row r="748">
      <c r="A748">
        <f>HYPERLINK("https://www.youtube.com/watch?v=ubMghRYqk8o", "Video")</f>
        <v/>
      </c>
      <c r="B748" t="inlineStr">
        <is>
          <t>11:47</t>
        </is>
      </c>
      <c r="C748" t="inlineStr">
        <is>
          <t>this is good for me or not and whether I want to 
turn it into a habit." And a pact is not a KPI,</t>
        </is>
      </c>
      <c r="D748">
        <f>HYPERLINK("https://www.youtube.com/watch?v=ubMghRYqk8o&amp;t=707s", "Go to time")</f>
        <v/>
      </c>
    </row>
    <row r="749">
      <c r="A749">
        <f>HYPERLINK("https://www.youtube.com/watch?v=ubMghRYqk8o", "Video")</f>
        <v/>
      </c>
      <c r="B749" t="inlineStr">
        <is>
          <t>13:14</t>
        </is>
      </c>
      <c r="C749" t="inlineStr">
        <is>
          <t>ambition that you might want to explore, but the 
internal signals are also very important. There's</t>
        </is>
      </c>
      <c r="D749">
        <f>HYPERLINK("https://www.youtube.com/watch?v=ubMghRYqk8o&amp;t=794s", "Go to time")</f>
        <v/>
      </c>
    </row>
    <row r="750">
      <c r="A750">
        <f>HYPERLINK("https://www.youtube.com/watch?v=ubMghRYqk8o", "Video")</f>
        <v/>
      </c>
      <c r="B750" t="inlineStr">
        <is>
          <t>15:58</t>
        </is>
      </c>
      <c r="C750" t="inlineStr">
        <is>
          <t>to whether this is going to work for you or not. A 
habit that a friend has, for example, going for a</t>
        </is>
      </c>
      <c r="D750">
        <f>HYPERLINK("https://www.youtube.com/watch?v=ubMghRYqk8o&amp;t=958s", "Go to time")</f>
        <v/>
      </c>
    </row>
    <row r="751">
      <c r="A751">
        <f>HYPERLINK("https://www.youtube.com/watch?v=ubMghRYqk8o", "Video")</f>
        <v/>
      </c>
      <c r="B751" t="inlineStr">
        <is>
          <t>16:13</t>
        </is>
      </c>
      <c r="C751" t="inlineStr">
        <is>
          <t>before committing to a habit. When it comes to 
running, for example, you could say, "I'm going to</t>
        </is>
      </c>
      <c r="D751">
        <f>HYPERLINK("https://www.youtube.com/watch?v=ubMghRYqk8o&amp;t=973s", "Go to time")</f>
        <v/>
      </c>
    </row>
    <row r="752">
      <c r="A752">
        <f>HYPERLINK("https://www.youtube.com/watch?v=ubMghRYqk8o", "Video")</f>
        <v/>
      </c>
      <c r="B752" t="inlineStr">
        <is>
          <t>22:56</t>
        </is>
      </c>
      <c r="C752" t="inlineStr">
        <is>
          <t>change the direction of your ambitions with the 
world, as the world changes. Another problem is</t>
        </is>
      </c>
      <c r="D752">
        <f>HYPERLINK("https://www.youtube.com/watch?v=ubMghRYqk8o&amp;t=1376s", "Go to time")</f>
        <v/>
      </c>
    </row>
    <row r="753">
      <c r="A753">
        <f>HYPERLINK("https://www.youtube.com/watch?v=ubMghRYqk8o", "Video")</f>
        <v/>
      </c>
      <c r="B753" t="inlineStr">
        <is>
          <t>27:05</t>
        </is>
      </c>
      <c r="C753" t="inlineStr">
        <is>
          <t>bit angry about this, a little bit disappointed 
when really the emotion is sadness. Or sometimes</t>
        </is>
      </c>
      <c r="D753">
        <f>HYPERLINK("https://www.youtube.com/watch?v=ubMghRYqk8o&amp;t=1625s", "Go to time")</f>
        <v/>
      </c>
    </row>
    <row r="754">
      <c r="A754">
        <f>HYPERLINK("https://www.youtube.com/watch?v=ubMghRYqk8o", "Video")</f>
        <v/>
      </c>
      <c r="B754" t="inlineStr">
        <is>
          <t>34:35</t>
        </is>
      </c>
      <c r="C754" t="inlineStr">
        <is>
          <t>it needs to be big, it needs to be very ambitious, 
it needs to be impactful. Anything less than</t>
        </is>
      </c>
      <c r="D754">
        <f>HYPERLINK("https://www.youtube.com/watch?v=ubMghRYqk8o&amp;t=2075s", "Go to time")</f>
        <v/>
      </c>
    </row>
    <row r="755">
      <c r="A755">
        <f>HYPERLINK("https://www.youtube.com/watch?v=ubMghRYqk8o", "Video")</f>
        <v/>
      </c>
      <c r="B755" t="inlineStr">
        <is>
          <t>38:00</t>
        </is>
      </c>
      <c r="C755" t="inlineStr">
        <is>
          <t>decisions on an unconscious level. Procrastination 
has become a little bit of a dirty word, and</t>
        </is>
      </c>
      <c r="D755">
        <f>HYPERLINK("https://www.youtube.com/watch?v=ubMghRYqk8o&amp;t=2280s", "Go to time")</f>
        <v/>
      </c>
    </row>
    <row r="756">
      <c r="A756">
        <f>HYPERLINK("https://www.youtube.com/watch?v=ubMghRYqk8o", "Video")</f>
        <v/>
      </c>
      <c r="B756" t="inlineStr">
        <is>
          <t>41:14</t>
        </is>
      </c>
      <c r="C756" t="inlineStr">
        <is>
          <t>your favorite coffee shop or grabbing a colleague 
and say, "Hey, let's do a little bit of coworking</t>
        </is>
      </c>
      <c r="D756">
        <f>HYPERLINK("https://www.youtube.com/watch?v=ubMghRYqk8o&amp;t=2474s", "Go to time")</f>
        <v/>
      </c>
    </row>
    <row r="757">
      <c r="A757">
        <f>HYPERLINK("https://www.youtube.com/watch?v=ubMghRYqk8o", "Video")</f>
        <v/>
      </c>
      <c r="B757" t="inlineStr">
        <is>
          <t>41:30</t>
        </is>
      </c>
      <c r="C757" t="inlineStr">
        <is>
          <t>the people you're working with that maybe you need 
a bit of mentoring or coaching, or you need to</t>
        </is>
      </c>
      <c r="D757">
        <f>HYPERLINK("https://www.youtube.com/watch?v=ubMghRYqk8o&amp;t=2490s", "Go to time")</f>
        <v/>
      </c>
    </row>
    <row r="758">
      <c r="A758">
        <f>HYPERLINK("https://www.youtube.com/watch?v=ubMghRYqk8o", "Video")</f>
        <v/>
      </c>
      <c r="B758" t="inlineStr">
        <is>
          <t>42:55</t>
        </is>
      </c>
      <c r="C758" t="inlineStr">
        <is>
          <t>you can start becoming a bit more intentional and 
opening those magic windows at will during your</t>
        </is>
      </c>
      <c r="D758">
        <f>HYPERLINK("https://www.youtube.com/watch?v=ubMghRYqk8o&amp;t=2575s", "Go to time")</f>
        <v/>
      </c>
    </row>
    <row r="759">
      <c r="A759">
        <f>HYPERLINK("https://www.youtube.com/watch?v=ubMghRYqk8o", "Video")</f>
        <v/>
      </c>
      <c r="B759" t="inlineStr">
        <is>
          <t>48:25</t>
        </is>
      </c>
      <c r="C759" t="inlineStr">
        <is>
          <t>but also a little bit of anxiety. Then in the 
second step, you need to formulate a hypothesis.</t>
        </is>
      </c>
      <c r="D759">
        <f>HYPERLINK("https://www.youtube.com/watch?v=ubMghRYqk8o&amp;t=2905s", "Go to time")</f>
        <v/>
      </c>
    </row>
    <row r="760">
      <c r="A760">
        <f>HYPERLINK("https://www.youtube.com/watch?v=Gwhjr1LR4ck", "Video")</f>
        <v/>
      </c>
      <c r="B760" t="inlineStr">
        <is>
          <t>0:12</t>
        </is>
      </c>
      <c r="C760" t="inlineStr">
        <is>
          <t>so here's why you heard a little bit</t>
        </is>
      </c>
      <c r="D760">
        <f>HYPERLINK("https://www.youtube.com/watch?v=Gwhjr1LR4ck&amp;t=12s", "Go to time")</f>
        <v/>
      </c>
    </row>
    <row r="761">
      <c r="A761">
        <f>HYPERLINK("https://www.youtube.com/watch?v=Gwhjr1LR4ck", "Video")</f>
        <v/>
      </c>
      <c r="B761" t="inlineStr">
        <is>
          <t>6:06</t>
        </is>
      </c>
      <c r="C761" t="inlineStr">
        <is>
          <t>Harvard's a little bit I've learned like</t>
        </is>
      </c>
      <c r="D761">
        <f>HYPERLINK("https://www.youtube.com/watch?v=Gwhjr1LR4ck&amp;t=366s", "Go to time")</f>
        <v/>
      </c>
    </row>
    <row r="762">
      <c r="A762">
        <f>HYPERLINK("https://www.youtube.com/watch?v=44FQpKTEJ3M", "Video")</f>
        <v/>
      </c>
      <c r="B762" t="inlineStr">
        <is>
          <t>9:40</t>
        </is>
      </c>
      <c r="C762" t="inlineStr">
        <is>
          <t>that philosophers find a bit puzzling</t>
        </is>
      </c>
      <c r="D762">
        <f>HYPERLINK("https://www.youtube.com/watch?v=44FQpKTEJ3M&amp;t=580s", "Go to time")</f>
        <v/>
      </c>
    </row>
    <row r="763">
      <c r="A763">
        <f>HYPERLINK("https://www.youtube.com/watch?v=hxt5lXTl0Bw", "Video")</f>
        <v/>
      </c>
      <c r="B763" t="inlineStr">
        <is>
          <t>1:48</t>
        </is>
      </c>
      <c r="C763" t="inlineStr">
        <is>
          <t>We ought to bite the bullet.\'a0 It will take
7 \'bd trillion dollars out of our deficit.\'a0</t>
        </is>
      </c>
      <c r="D763">
        <f>HYPERLINK("https://www.youtube.com/watch?v=hxt5lXTl0Bw&amp;t=108s", "Go to time")</f>
        <v/>
      </c>
    </row>
    <row r="764">
      <c r="A764">
        <f>HYPERLINK("https://www.youtube.com/watch?v=1WcpN4ds0iY", "Video")</f>
        <v/>
      </c>
      <c r="B764" t="inlineStr">
        <is>
          <t>1:52</t>
        </is>
      </c>
      <c r="C764" t="inlineStr">
        <is>
          <t>And once you go a little bit beyond human,</t>
        </is>
      </c>
      <c r="D764">
        <f>HYPERLINK("https://www.youtube.com/watch?v=1WcpN4ds0iY&amp;t=112s", "Go to time")</f>
        <v/>
      </c>
    </row>
    <row r="765">
      <c r="A765">
        <f>HYPERLINK("https://www.youtube.com/watch?v=R8GoBFy1DgQ", "Video")</f>
        <v/>
      </c>
      <c r="B765" t="inlineStr">
        <is>
          <t>1:20</t>
        </is>
      </c>
      <c r="C765" t="inlineStr">
        <is>
          <t>- Because I think of it a
little bit of like a dream.</t>
        </is>
      </c>
      <c r="D765">
        <f>HYPERLINK("https://www.youtube.com/watch?v=R8GoBFy1DgQ&amp;t=80s", "Go to time")</f>
        <v/>
      </c>
    </row>
    <row r="766">
      <c r="A766">
        <f>HYPERLINK("https://www.youtube.com/watch?v=MeHsqm4F-W4", "Video")</f>
        <v/>
      </c>
      <c r="B766" t="inlineStr">
        <is>
          <t>1:14</t>
        </is>
      </c>
      <c r="C766" t="inlineStr">
        <is>
          <t>we tend to feel a little bit better,</t>
        </is>
      </c>
      <c r="D766">
        <f>HYPERLINK("https://www.youtube.com/watch?v=MeHsqm4F-W4&amp;t=74s", "Go to time")</f>
        <v/>
      </c>
    </row>
    <row r="767">
      <c r="A767">
        <f>HYPERLINK("https://www.youtube.com/watch?v=MeHsqm4F-W4", "Video")</f>
        <v/>
      </c>
      <c r="B767" t="inlineStr">
        <is>
          <t>2:54</t>
        </is>
      </c>
      <c r="C767" t="inlineStr">
        <is>
          <t>And this can feel a little
bit tricky sometimes</t>
        </is>
      </c>
      <c r="D767">
        <f>HYPERLINK("https://www.youtube.com/watch?v=MeHsqm4F-W4&amp;t=174s", "Go to time")</f>
        <v/>
      </c>
    </row>
    <row r="768">
      <c r="A768">
        <f>HYPERLINK("https://www.youtube.com/watch?v=MeHsqm4F-W4", "Video")</f>
        <v/>
      </c>
      <c r="B768" t="inlineStr">
        <is>
          <t>5:04</t>
        </is>
      </c>
      <c r="C768" t="inlineStr">
        <is>
          <t>If you wanna do it a little
bit more systematically,</t>
        </is>
      </c>
      <c r="D768">
        <f>HYPERLINK("https://www.youtube.com/watch?v=MeHsqm4F-W4&amp;t=304s", "Go to time")</f>
        <v/>
      </c>
    </row>
    <row r="769">
      <c r="A769">
        <f>HYPERLINK("https://www.youtube.com/watch?v=E6caolDAcgs", "Video")</f>
        <v/>
      </c>
      <c r="B769" t="inlineStr">
        <is>
          <t>2:48</t>
        </is>
      </c>
      <c r="C769" t="inlineStr">
        <is>
          <t>might it be possible to
inhibit certain mutations</t>
        </is>
      </c>
      <c r="D769">
        <f>HYPERLINK("https://www.youtube.com/watch?v=E6caolDAcgs&amp;t=168s", "Go to time")</f>
        <v/>
      </c>
    </row>
    <row r="770">
      <c r="A770">
        <f>HYPERLINK("https://www.youtube.com/watch?v=E6caolDAcgs", "Video")</f>
        <v/>
      </c>
      <c r="B770" t="inlineStr">
        <is>
          <t>2:52</t>
        </is>
      </c>
      <c r="C770" t="inlineStr">
        <is>
          <t>by inhibiting the ability of
particles to quantum tunnel?</t>
        </is>
      </c>
      <c r="D770">
        <f>HYPERLINK("https://www.youtube.com/watch?v=E6caolDAcgs&amp;t=172s", "Go to time")</f>
        <v/>
      </c>
    </row>
    <row r="771">
      <c r="A771">
        <f>HYPERLINK("https://www.youtube.com/watch?v=ggCtDw4nsbg", "Video")</f>
        <v/>
      </c>
      <c r="B771" t="inlineStr">
        <is>
          <t>5:10</t>
        </is>
      </c>
      <c r="C771" t="inlineStr">
        <is>
          <t>coming back a bit which is which is good</t>
        </is>
      </c>
      <c r="D771">
        <f>HYPERLINK("https://www.youtube.com/watch?v=ggCtDw4nsbg&amp;t=310s", "Go to time")</f>
        <v/>
      </c>
    </row>
    <row r="772">
      <c r="A772">
        <f>HYPERLINK("https://www.youtube.com/watch?v=C72wVnXhO5Y", "Video")</f>
        <v/>
      </c>
      <c r="B772" t="inlineStr">
        <is>
          <t>0:26</t>
        </is>
      </c>
      <c r="C772" t="inlineStr">
        <is>
          <t>you know it's a bit of a drop in terms</t>
        </is>
      </c>
      <c r="D772">
        <f>HYPERLINK("https://www.youtube.com/watch?v=C72wVnXhO5Y&amp;t=26s", "Go to time")</f>
        <v/>
      </c>
    </row>
    <row r="773">
      <c r="A773">
        <f>HYPERLINK("https://www.youtube.com/watch?v=C72wVnXhO5Y", "Video")</f>
        <v/>
      </c>
      <c r="B773" t="inlineStr">
        <is>
          <t>5:21</t>
        </is>
      </c>
      <c r="C773" t="inlineStr">
        <is>
          <t>cutting out the bits they don't like</t>
        </is>
      </c>
      <c r="D773">
        <f>HYPERLINK("https://www.youtube.com/watch?v=C72wVnXhO5Y&amp;t=321s", "Go to time")</f>
        <v/>
      </c>
    </row>
    <row r="774">
      <c r="A774">
        <f>HYPERLINK("https://www.youtube.com/watch?v=C72wVnXhO5Y", "Video")</f>
        <v/>
      </c>
      <c r="B774" t="inlineStr">
        <is>
          <t>6:36</t>
        </is>
      </c>
      <c r="C774" t="inlineStr">
        <is>
          <t>sort of unappreciated bit is that for</t>
        </is>
      </c>
      <c r="D774">
        <f>HYPERLINK("https://www.youtube.com/watch?v=C72wVnXhO5Y&amp;t=396s", "Go to time")</f>
        <v/>
      </c>
    </row>
    <row r="775">
      <c r="A775">
        <f>HYPERLINK("https://www.youtube.com/watch?v=C72wVnXhO5Y", "Video")</f>
        <v/>
      </c>
      <c r="B775" t="inlineStr">
        <is>
          <t>8:25</t>
        </is>
      </c>
      <c r="C775" t="inlineStr">
        <is>
          <t>that's what that's the bit which is</t>
        </is>
      </c>
      <c r="D775">
        <f>HYPERLINK("https://www.youtube.com/watch?v=C72wVnXhO5Y&amp;t=505s", "Go to time")</f>
        <v/>
      </c>
    </row>
    <row r="776">
      <c r="A776">
        <f>HYPERLINK("https://www.youtube.com/watch?v=C72wVnXhO5Y", "Video")</f>
        <v/>
      </c>
      <c r="B776" t="inlineStr">
        <is>
          <t>9:35</t>
        </is>
      </c>
      <c r="C776" t="inlineStr">
        <is>
          <t>generally that the on the first bit that</t>
        </is>
      </c>
      <c r="D776">
        <f>HYPERLINK("https://www.youtube.com/watch?v=C72wVnXhO5Y&amp;t=575s", "Go to time")</f>
        <v/>
      </c>
    </row>
    <row r="777">
      <c r="A777">
        <f>HYPERLINK("https://www.youtube.com/watch?v=C72wVnXhO5Y", "Video")</f>
        <v/>
      </c>
      <c r="B777" t="inlineStr">
        <is>
          <t>10:46</t>
        </is>
      </c>
      <c r="C777" t="inlineStr">
        <is>
          <t>always been a bit where they thought</t>
        </is>
      </c>
      <c r="D777">
        <f>HYPERLINK("https://www.youtube.com/watch?v=C72wVnXhO5Y&amp;t=646s", "Go to time")</f>
        <v/>
      </c>
    </row>
    <row r="778">
      <c r="A778">
        <f>HYPERLINK("https://www.youtube.com/watch?v=C72wVnXhO5Y", "Video")</f>
        <v/>
      </c>
      <c r="B778" t="inlineStr">
        <is>
          <t>10:53</t>
        </is>
      </c>
      <c r="C778" t="inlineStr">
        <is>
          <t>European Politics the difficult bit is</t>
        </is>
      </c>
      <c r="D778">
        <f>HYPERLINK("https://www.youtube.com/watch?v=C72wVnXhO5Y&amp;t=653s", "Go to time")</f>
        <v/>
      </c>
    </row>
    <row r="779">
      <c r="A779">
        <f>HYPERLINK("https://www.youtube.com/watch?v=C72wVnXhO5Y", "Video")</f>
        <v/>
      </c>
      <c r="B779" t="inlineStr">
        <is>
          <t>11:29</t>
        </is>
      </c>
      <c r="C779" t="inlineStr">
        <is>
          <t>know simplify massively but a bit like</t>
        </is>
      </c>
      <c r="D779">
        <f>HYPERLINK("https://www.youtube.com/watch?v=C72wVnXhO5Y&amp;t=689s", "Go to time")</f>
        <v/>
      </c>
    </row>
    <row r="780">
      <c r="A780">
        <f>HYPERLINK("https://www.youtube.com/watch?v=C72wVnXhO5Y", "Video")</f>
        <v/>
      </c>
      <c r="B780" t="inlineStr">
        <is>
          <t>12:30</t>
        </is>
      </c>
      <c r="C780" t="inlineStr">
        <is>
          <t>there um for it not to swing back a bit</t>
        </is>
      </c>
      <c r="D780">
        <f>HYPERLINK("https://www.youtube.com/watch?v=C72wVnXhO5Y&amp;t=750s", "Go to time")</f>
        <v/>
      </c>
    </row>
    <row r="781">
      <c r="A781">
        <f>HYPERLINK("https://www.youtube.com/watch?v=C72wVnXhO5Y", "Video")</f>
        <v/>
      </c>
      <c r="B781" t="inlineStr">
        <is>
          <t>13:48</t>
        </is>
      </c>
      <c r="C781" t="inlineStr">
        <is>
          <t>Muslim country maybe a bit later because</t>
        </is>
      </c>
      <c r="D781">
        <f>HYPERLINK("https://www.youtube.com/watch?v=C72wVnXhO5Y&amp;t=828s", "Go to time")</f>
        <v/>
      </c>
    </row>
    <row r="782">
      <c r="A782">
        <f>HYPERLINK("https://www.youtube.com/watch?v=C72wVnXhO5Y", "Video")</f>
        <v/>
      </c>
      <c r="B782" t="inlineStr">
        <is>
          <t>18:26</t>
        </is>
      </c>
      <c r="C782" t="inlineStr">
        <is>
          <t>causing he was in Outcast a bit of</t>
        </is>
      </c>
      <c r="D782">
        <f>HYPERLINK("https://www.youtube.com/watch?v=C72wVnXhO5Y&amp;t=1106s", "Go to time")</f>
        <v/>
      </c>
    </row>
    <row r="783">
      <c r="A783">
        <f>HYPERLINK("https://www.youtube.com/watch?v=C72wVnXhO5Y", "Video")</f>
        <v/>
      </c>
      <c r="B783" t="inlineStr">
        <is>
          <t>18:49</t>
        </is>
      </c>
      <c r="C783" t="inlineStr">
        <is>
          <t>the world the bits of the book we look</t>
        </is>
      </c>
      <c r="D783">
        <f>HYPERLINK("https://www.youtube.com/watch?v=C72wVnXhO5Y&amp;t=1129s", "Go to time")</f>
        <v/>
      </c>
    </row>
    <row r="784">
      <c r="A784">
        <f>HYPERLINK("https://www.youtube.com/watch?v=C72wVnXhO5Y", "Video")</f>
        <v/>
      </c>
      <c r="B784" t="inlineStr">
        <is>
          <t>19:33</t>
        </is>
      </c>
      <c r="C784" t="inlineStr">
        <is>
          <t>that is that that that's the bit which</t>
        </is>
      </c>
      <c r="D784">
        <f>HYPERLINK("https://www.youtube.com/watch?v=C72wVnXhO5Y&amp;t=1173s", "Go to time")</f>
        <v/>
      </c>
    </row>
    <row r="785">
      <c r="A785">
        <f>HYPERLINK("https://www.youtube.com/watch?v=C72wVnXhO5Y", "Video")</f>
        <v/>
      </c>
      <c r="B785" t="inlineStr">
        <is>
          <t>20:17</t>
        </is>
      </c>
      <c r="C785" t="inlineStr">
        <is>
          <t>think there there there's two bits I</t>
        </is>
      </c>
      <c r="D785">
        <f>HYPERLINK("https://www.youtube.com/watch?v=C72wVnXhO5Y&amp;t=1217s", "Go to time")</f>
        <v/>
      </c>
    </row>
    <row r="786">
      <c r="A786">
        <f>HYPERLINK("https://www.youtube.com/watch?v=C72wVnXhO5Y", "Video")</f>
        <v/>
      </c>
      <c r="B786" t="inlineStr">
        <is>
          <t>21:47</t>
        </is>
      </c>
      <c r="C786" t="inlineStr">
        <is>
          <t>and you see it a bit with the life</t>
        </is>
      </c>
      <c r="D786">
        <f>HYPERLINK("https://www.youtube.com/watch?v=C72wVnXhO5Y&amp;t=1307s", "Go to time")</f>
        <v/>
      </c>
    </row>
    <row r="787">
      <c r="A787">
        <f>HYPERLINK("https://www.youtube.com/watch?v=C72wVnXhO5Y", "Video")</f>
        <v/>
      </c>
      <c r="B787" t="inlineStr">
        <is>
          <t>21:58</t>
        </is>
      </c>
      <c r="C787" t="inlineStr">
        <is>
          <t>give away a bit more than um people have</t>
        </is>
      </c>
      <c r="D787">
        <f>HYPERLINK("https://www.youtube.com/watch?v=C72wVnXhO5Y&amp;t=1318s", "Go to time")</f>
        <v/>
      </c>
    </row>
    <row r="788">
      <c r="A788">
        <f>HYPERLINK("https://www.youtube.com/watch?v=C72wVnXhO5Y", "Video")</f>
        <v/>
      </c>
      <c r="B788" t="inlineStr">
        <is>
          <t>22:38</t>
        </is>
      </c>
      <c r="C788" t="inlineStr">
        <is>
          <t>political system the bit which the</t>
        </is>
      </c>
      <c r="D788">
        <f>HYPERLINK("https://www.youtube.com/watch?v=C72wVnXhO5Y&amp;t=1358s", "Go to time")</f>
        <v/>
      </c>
    </row>
    <row r="789">
      <c r="A789">
        <f>HYPERLINK("https://www.youtube.com/watch?v=C72wVnXhO5Y", "Video")</f>
        <v/>
      </c>
      <c r="B789" t="inlineStr">
        <is>
          <t>25:16</t>
        </is>
      </c>
      <c r="C789" t="inlineStr">
        <is>
          <t>where you have an internal bit of you</t>
        </is>
      </c>
      <c r="D789">
        <f>HYPERLINK("https://www.youtube.com/watch?v=C72wVnXhO5Y&amp;t=1516s", "Go to time")</f>
        <v/>
      </c>
    </row>
    <row r="790">
      <c r="A790">
        <f>HYPERLINK("https://www.youtube.com/watch?v=C72wVnXhO5Y", "Video")</f>
        <v/>
      </c>
      <c r="B790" t="inlineStr">
        <is>
          <t>25:27</t>
        </is>
      </c>
      <c r="C790" t="inlineStr">
        <is>
          <t>the British who who sort of like bits of</t>
        </is>
      </c>
      <c r="D790">
        <f>HYPERLINK("https://www.youtube.com/watch?v=C72wVnXhO5Y&amp;t=1527s", "Go to time")</f>
        <v/>
      </c>
    </row>
    <row r="791">
      <c r="A791">
        <f>HYPERLINK("https://www.youtube.com/watch?v=C72wVnXhO5Y", "Video")</f>
        <v/>
      </c>
      <c r="B791" t="inlineStr">
        <is>
          <t>25:52</t>
        </is>
      </c>
      <c r="C791" t="inlineStr">
        <is>
          <t>middle bit I think and you could argue</t>
        </is>
      </c>
      <c r="D791">
        <f>HYPERLINK("https://www.youtube.com/watch?v=C72wVnXhO5Y&amp;t=1552s", "Go to time")</f>
        <v/>
      </c>
    </row>
    <row r="792">
      <c r="A792">
        <f>HYPERLINK("https://www.youtube.com/watch?v=C72wVnXhO5Y", "Video")</f>
        <v/>
      </c>
      <c r="B792" t="inlineStr">
        <is>
          <t>26:07</t>
        </is>
      </c>
      <c r="C792" t="inlineStr">
        <is>
          <t>that I think there are two bits of that</t>
        </is>
      </c>
      <c r="D792">
        <f>HYPERLINK("https://www.youtube.com/watch?v=C72wVnXhO5Y&amp;t=1567s", "Go to time")</f>
        <v/>
      </c>
    </row>
    <row r="793">
      <c r="A793">
        <f>HYPERLINK("https://www.youtube.com/watch?v=C72wVnXhO5Y", "Video")</f>
        <v/>
      </c>
      <c r="B793" t="inlineStr">
        <is>
          <t>26:15</t>
        </is>
      </c>
      <c r="C793" t="inlineStr">
        <is>
          <t>maybe it's kind unseat a bit I suspect</t>
        </is>
      </c>
      <c r="D793">
        <f>HYPERLINK("https://www.youtube.com/watch?v=C72wVnXhO5Y&amp;t=1575s", "Go to time")</f>
        <v/>
      </c>
    </row>
    <row r="794">
      <c r="A794">
        <f>HYPERLINK("https://www.youtube.com/watch?v=C72wVnXhO5Y", "Video")</f>
        <v/>
      </c>
      <c r="B794" t="inlineStr">
        <is>
          <t>26:33</t>
        </is>
      </c>
      <c r="C794" t="inlineStr">
        <is>
          <t>to churches a bit um as I said you know</t>
        </is>
      </c>
      <c r="D794">
        <f>HYPERLINK("https://www.youtube.com/watch?v=C72wVnXhO5Y&amp;t=1593s", "Go to time")</f>
        <v/>
      </c>
    </row>
    <row r="795">
      <c r="A795">
        <f>HYPERLINK("https://www.youtube.com/watch?v=C72wVnXhO5Y", "Video")</f>
        <v/>
      </c>
      <c r="B795" t="inlineStr">
        <is>
          <t>26:41</t>
        </is>
      </c>
      <c r="C795" t="inlineStr">
        <is>
          <t>bit I don't know whether the economy in</t>
        </is>
      </c>
      <c r="D795">
        <f>HYPERLINK("https://www.youtube.com/watch?v=C72wVnXhO5Y&amp;t=1601s", "Go to time")</f>
        <v/>
      </c>
    </row>
    <row r="796">
      <c r="A796">
        <f>HYPERLINK("https://www.youtube.com/watch?v=C72wVnXhO5Y", "Video")</f>
        <v/>
      </c>
      <c r="B796" t="inlineStr">
        <is>
          <t>26:42</t>
        </is>
      </c>
      <c r="C796" t="inlineStr">
        <is>
          <t>some ways will give it a little bit more</t>
        </is>
      </c>
      <c r="D796">
        <f>HYPERLINK("https://www.youtube.com/watch?v=C72wVnXhO5Y&amp;t=1602s", "Go to time")</f>
        <v/>
      </c>
    </row>
    <row r="797">
      <c r="A797">
        <f>HYPERLINK("https://www.youtube.com/watch?v=C72wVnXhO5Y", "Video")</f>
        <v/>
      </c>
      <c r="B797" t="inlineStr">
        <is>
          <t>31:05</t>
        </is>
      </c>
      <c r="C797" t="inlineStr">
        <is>
          <t>there's there's there's two bits going</t>
        </is>
      </c>
      <c r="D797">
        <f>HYPERLINK("https://www.youtube.com/watch?v=C72wVnXhO5Y&amp;t=1865s", "Go to time")</f>
        <v/>
      </c>
    </row>
    <row r="798">
      <c r="A798">
        <f>HYPERLINK("https://www.youtube.com/watch?v=C72wVnXhO5Y", "Video")</f>
        <v/>
      </c>
      <c r="B798" t="inlineStr">
        <is>
          <t>33:18</t>
        </is>
      </c>
      <c r="C798" t="inlineStr">
        <is>
          <t>particular bit which I would imagine</t>
        </is>
      </c>
      <c r="D798">
        <f>HYPERLINK("https://www.youtube.com/watch?v=C72wVnXhO5Y&amp;t=1998s", "Go to time")</f>
        <v/>
      </c>
    </row>
    <row r="799">
      <c r="A799">
        <f>HYPERLINK("https://www.youtube.com/watch?v=C72wVnXhO5Y", "Video")</f>
        <v/>
      </c>
      <c r="B799" t="inlineStr">
        <is>
          <t>33:26</t>
        </is>
      </c>
      <c r="C799" t="inlineStr">
        <is>
          <t>I alluded to a bit earlier you know that</t>
        </is>
      </c>
      <c r="D799">
        <f>HYPERLINK("https://www.youtube.com/watch?v=C72wVnXhO5Y&amp;t=2006s", "Go to time")</f>
        <v/>
      </c>
    </row>
    <row r="800">
      <c r="A800">
        <f>HYPERLINK("https://www.youtube.com/watch?v=C72wVnXhO5Y", "Video")</f>
        <v/>
      </c>
      <c r="B800" t="inlineStr">
        <is>
          <t>35:03</t>
        </is>
      </c>
      <c r="C800" t="inlineStr">
        <is>
          <t>unstable it the underlying bits of</t>
        </is>
      </c>
      <c r="D800">
        <f>HYPERLINK("https://www.youtube.com/watch?v=C72wVnXhO5Y&amp;t=2103s", "Go to time")</f>
        <v/>
      </c>
    </row>
    <row r="801">
      <c r="A801">
        <f>HYPERLINK("https://www.youtube.com/watch?v=C72wVnXhO5Y", "Video")</f>
        <v/>
      </c>
      <c r="B801" t="inlineStr">
        <is>
          <t>40:58</t>
        </is>
      </c>
      <c r="C801" t="inlineStr">
        <is>
          <t>bit to bit I think is very interesting</t>
        </is>
      </c>
      <c r="D801">
        <f>HYPERLINK("https://www.youtube.com/watch?v=C72wVnXhO5Y&amp;t=2458s", "Go to time")</f>
        <v/>
      </c>
    </row>
    <row r="802">
      <c r="A802">
        <f>HYPERLINK("https://www.youtube.com/watch?v=C72wVnXhO5Y", "Video")</f>
        <v/>
      </c>
      <c r="B802" t="inlineStr">
        <is>
          <t>41:03</t>
        </is>
      </c>
      <c r="C802" t="inlineStr">
        <is>
          <t>worries me a bit is the degree of</t>
        </is>
      </c>
      <c r="D802">
        <f>HYPERLINK("https://www.youtube.com/watch?v=C72wVnXhO5Y&amp;t=2463s", "Go to time")</f>
        <v/>
      </c>
    </row>
    <row r="803">
      <c r="A803">
        <f>HYPERLINK("https://www.youtube.com/watch?v=3kCx7rdAZSE", "Video")</f>
        <v/>
      </c>
      <c r="B803" t="inlineStr">
        <is>
          <t>2:26</t>
        </is>
      </c>
      <c r="C803" t="inlineStr">
        <is>
          <t>bit about the the genetics of human</t>
        </is>
      </c>
      <c r="D803">
        <f>HYPERLINK("https://www.youtube.com/watch?v=3kCx7rdAZSE&amp;t=146s", "Go to time")</f>
        <v/>
      </c>
    </row>
    <row r="804">
      <c r="A804">
        <f>HYPERLINK("https://www.youtube.com/watch?v=Fcx3WEhodBw", "Video")</f>
        <v/>
      </c>
      <c r="B804" t="inlineStr">
        <is>
          <t>2:36</t>
        </is>
      </c>
      <c r="C804" t="inlineStr">
        <is>
          <t>You'll be inhibiting 'neurogenesis,'</t>
        </is>
      </c>
      <c r="D804">
        <f>HYPERLINK("https://www.youtube.com/watch?v=Fcx3WEhodBw&amp;t=156s", "Go to time")</f>
        <v/>
      </c>
    </row>
    <row r="805">
      <c r="A805">
        <f>HYPERLINK("https://www.youtube.com/watch?v=cLa0zqShCcw", "Video")</f>
        <v/>
      </c>
      <c r="B805" t="inlineStr">
        <is>
          <t>0:58</t>
        </is>
      </c>
      <c r="C805" t="inlineStr">
        <is>
          <t>All it takes is somebody
to stand out a little bit</t>
        </is>
      </c>
      <c r="D805">
        <f>HYPERLINK("https://www.youtube.com/watch?v=cLa0zqShCcw&amp;t=58s", "Go to time")</f>
        <v/>
      </c>
    </row>
    <row r="806">
      <c r="A806">
        <f>HYPERLINK("https://www.youtube.com/watch?v=cLa0zqShCcw", "Video")</f>
        <v/>
      </c>
      <c r="B806" t="inlineStr">
        <is>
          <t>4:38</t>
        </is>
      </c>
      <c r="C806" t="inlineStr">
        <is>
          <t>that deviated a little bit</t>
        </is>
      </c>
      <c r="D806">
        <f>HYPERLINK("https://www.youtube.com/watch?v=cLa0zqShCcw&amp;t=278s", "Go to time")</f>
        <v/>
      </c>
    </row>
    <row r="807">
      <c r="A807">
        <f>HYPERLINK("https://www.youtube.com/watch?v=-asOA1QMGtg", "Video")</f>
        <v/>
      </c>
      <c r="B807" t="inlineStr">
        <is>
          <t>4:00</t>
        </is>
      </c>
      <c r="C807" t="inlineStr">
        <is>
          <t>you have to kind of step back
and create a bit of a filter.</t>
        </is>
      </c>
      <c r="D807">
        <f>HYPERLINK("https://www.youtube.com/watch?v=-asOA1QMGtg&amp;t=240s", "Go to time")</f>
        <v/>
      </c>
    </row>
    <row r="808">
      <c r="A808">
        <f>HYPERLINK("https://www.youtube.com/watch?v=-asOA1QMGtg", "Video")</f>
        <v/>
      </c>
      <c r="B808" t="inlineStr">
        <is>
          <t>6:05</t>
        </is>
      </c>
      <c r="C808" t="inlineStr">
        <is>
          <t>and bits of advice and wisdom.</t>
        </is>
      </c>
      <c r="D808">
        <f>HYPERLINK("https://www.youtube.com/watch?v=-asOA1QMGtg&amp;t=365s", "Go to time")</f>
        <v/>
      </c>
    </row>
    <row r="809">
      <c r="A809">
        <f>HYPERLINK("https://www.youtube.com/watch?v=-asOA1QMGtg", "Video")</f>
        <v/>
      </c>
      <c r="B809" t="inlineStr">
        <is>
          <t>10:15</t>
        </is>
      </c>
      <c r="C809" t="inlineStr">
        <is>
          <t>It's saving little bits
of material and content</t>
        </is>
      </c>
      <c r="D809">
        <f>HYPERLINK("https://www.youtube.com/watch?v=-asOA1QMGtg&amp;t=615s", "Go to time")</f>
        <v/>
      </c>
    </row>
    <row r="810">
      <c r="A810">
        <f>HYPERLINK("https://www.youtube.com/watch?v=-asOA1QMGtg", "Video")</f>
        <v/>
      </c>
      <c r="B810" t="inlineStr">
        <is>
          <t>10:33</t>
        </is>
      </c>
      <c r="C810" t="inlineStr">
        <is>
          <t>is the habits and the behaviors,</t>
        </is>
      </c>
      <c r="D810">
        <f>HYPERLINK("https://www.youtube.com/watch?v=-asOA1QMGtg&amp;t=633s", "Go to time")</f>
        <v/>
      </c>
    </row>
    <row r="811">
      <c r="A811">
        <f>HYPERLINK("https://www.youtube.com/watch?v=-asOA1QMGtg", "Video")</f>
        <v/>
      </c>
      <c r="B811" t="inlineStr">
        <is>
          <t>10:59</t>
        </is>
      </c>
      <c r="C811" t="inlineStr">
        <is>
          <t>even a little bit of creativity,
had a creative process.</t>
        </is>
      </c>
      <c r="D811">
        <f>HYPERLINK("https://www.youtube.com/watch?v=-asOA1QMGtg&amp;t=659s", "Go to time")</f>
        <v/>
      </c>
    </row>
    <row r="812">
      <c r="A812">
        <f>HYPERLINK("https://www.youtube.com/watch?v=-asOA1QMGtg", "Video")</f>
        <v/>
      </c>
      <c r="B812" t="inlineStr">
        <is>
          <t>14:05</t>
        </is>
      </c>
      <c r="C812" t="inlineStr">
        <is>
          <t>What are the little bits of content</t>
        </is>
      </c>
      <c r="D812">
        <f>HYPERLINK("https://www.youtube.com/watch?v=-asOA1QMGtg&amp;t=845s", "Go to time")</f>
        <v/>
      </c>
    </row>
    <row r="813">
      <c r="A813">
        <f>HYPERLINK("https://www.youtube.com/watch?v=-asOA1QMGtg", "Video")</f>
        <v/>
      </c>
      <c r="B813" t="inlineStr">
        <is>
          <t>15:03</t>
        </is>
      </c>
      <c r="C813" t="inlineStr">
        <is>
          <t>there are certain lessons,
certain bits of, I would say,</t>
        </is>
      </c>
      <c r="D813">
        <f>HYPERLINK("https://www.youtube.com/watch?v=-asOA1QMGtg&amp;t=903s", "Go to time")</f>
        <v/>
      </c>
    </row>
    <row r="814">
      <c r="A814">
        <f>HYPERLINK("https://www.youtube.com/watch?v=-asOA1QMGtg", "Video")</f>
        <v/>
      </c>
      <c r="B814" t="inlineStr">
        <is>
          <t>15:10</t>
        </is>
      </c>
      <c r="C814" t="inlineStr">
        <is>
          <t>life lessons and little
bits of perspective</t>
        </is>
      </c>
      <c r="D814">
        <f>HYPERLINK("https://www.youtube.com/watch?v=-asOA1QMGtg&amp;t=910s", "Go to time")</f>
        <v/>
      </c>
    </row>
    <row r="815">
      <c r="A815">
        <f>HYPERLINK("https://www.youtube.com/watch?v=-asOA1QMGtg", "Video")</f>
        <v/>
      </c>
      <c r="B815" t="inlineStr">
        <is>
          <t>19:14</t>
        </is>
      </c>
      <c r="C815" t="inlineStr">
        <is>
          <t>and decide the bits of information</t>
        </is>
      </c>
      <c r="D815">
        <f>HYPERLINK("https://www.youtube.com/watch?v=-asOA1QMGtg&amp;t=1154s", "Go to time")</f>
        <v/>
      </c>
    </row>
    <row r="816">
      <c r="A816">
        <f>HYPERLINK("https://www.youtube.com/watch?v=-asOA1QMGtg", "Video")</f>
        <v/>
      </c>
      <c r="B816" t="inlineStr">
        <is>
          <t>27:00</t>
        </is>
      </c>
      <c r="C816" t="inlineStr">
        <is>
          <t>whereas later, a little bit later in life,</t>
        </is>
      </c>
      <c r="D816">
        <f>HYPERLINK("https://www.youtube.com/watch?v=-asOA1QMGtg&amp;t=1620s", "Go to time")</f>
        <v/>
      </c>
    </row>
    <row r="817">
      <c r="A817">
        <f>HYPERLINK("https://www.youtube.com/watch?v=-asOA1QMGtg", "Video")</f>
        <v/>
      </c>
      <c r="B817" t="inlineStr">
        <is>
          <t>27:28</t>
        </is>
      </c>
      <c r="C817" t="inlineStr">
        <is>
          <t>It waxes and wanes just
like any other habit</t>
        </is>
      </c>
      <c r="D817">
        <f>HYPERLINK("https://www.youtube.com/watch?v=-asOA1QMGtg&amp;t=1648s", "Go to time")</f>
        <v/>
      </c>
    </row>
    <row r="818">
      <c r="A818">
        <f>HYPERLINK("https://www.youtube.com/watch?v=-asOA1QMGtg", "Video")</f>
        <v/>
      </c>
      <c r="B818" t="inlineStr">
        <is>
          <t>31:40</t>
        </is>
      </c>
      <c r="C818" t="inlineStr">
        <is>
          <t>You only need just a
little bit of context.</t>
        </is>
      </c>
      <c r="D818">
        <f>HYPERLINK("https://www.youtube.com/watch?v=-asOA1QMGtg&amp;t=1900s", "Go to time")</f>
        <v/>
      </c>
    </row>
    <row r="819">
      <c r="A819">
        <f>HYPERLINK("https://www.youtube.com/watch?v=-asOA1QMGtg", "Video")</f>
        <v/>
      </c>
      <c r="B819" t="inlineStr">
        <is>
          <t>31:44</t>
        </is>
      </c>
      <c r="C819" t="inlineStr">
        <is>
          <t>to manage your Areas
is a little bit bigger,</t>
        </is>
      </c>
      <c r="D819">
        <f>HYPERLINK("https://www.youtube.com/watch?v=-asOA1QMGtg&amp;t=1904s", "Go to time")</f>
        <v/>
      </c>
    </row>
    <row r="820">
      <c r="A820">
        <f>HYPERLINK("https://www.youtube.com/watch?v=-asOA1QMGtg", "Video")</f>
        <v/>
      </c>
      <c r="B820" t="inlineStr">
        <is>
          <t>47:31</t>
        </is>
      </c>
      <c r="C820" t="inlineStr">
        <is>
          <t>because there is a bit of pleasure-</t>
        </is>
      </c>
      <c r="D820">
        <f>HYPERLINK("https://www.youtube.com/watch?v=-asOA1QMGtg&amp;t=2851s", "Go to time")</f>
        <v/>
      </c>
    </row>
    <row r="821">
      <c r="A821">
        <f>HYPERLINK("https://www.youtube.com/watch?v=-asOA1QMGtg", "Video")</f>
        <v/>
      </c>
      <c r="B821" t="inlineStr">
        <is>
          <t>47:33</t>
        </is>
      </c>
      <c r="C821" t="inlineStr">
        <is>
          <t>You get that little tidbit of knowledge,</t>
        </is>
      </c>
      <c r="D821">
        <f>HYPERLINK("https://www.youtube.com/watch?v=-asOA1QMGtg&amp;t=2853s", "Go to time")</f>
        <v/>
      </c>
    </row>
    <row r="822">
      <c r="A822">
        <f>HYPERLINK("https://www.youtube.com/watch?v=-asOA1QMGtg", "Video")</f>
        <v/>
      </c>
      <c r="B822" t="inlineStr">
        <is>
          <t>50:50</t>
        </is>
      </c>
      <c r="C822" t="inlineStr">
        <is>
          <t>Any rabbit hole, just go down it.</t>
        </is>
      </c>
      <c r="D822">
        <f>HYPERLINK("https://www.youtube.com/watch?v=-asOA1QMGtg&amp;t=3050s", "Go to time")</f>
        <v/>
      </c>
    </row>
    <row r="823">
      <c r="A823">
        <f>HYPERLINK("https://www.youtube.com/watch?v=-asOA1QMGtg", "Video")</f>
        <v/>
      </c>
      <c r="B823" t="inlineStr">
        <is>
          <t>65:33</t>
        </is>
      </c>
      <c r="C823" t="inlineStr">
        <is>
          <t>and going down rabbit holes,</t>
        </is>
      </c>
      <c r="D823">
        <f>HYPERLINK("https://www.youtube.com/watch?v=-asOA1QMGtg&amp;t=3933s", "Go to time")</f>
        <v/>
      </c>
    </row>
    <row r="824">
      <c r="A824">
        <f>HYPERLINK("https://www.youtube.com/watch?v=-asOA1QMGtg", "Video")</f>
        <v/>
      </c>
      <c r="B824" t="inlineStr">
        <is>
          <t>67:22</t>
        </is>
      </c>
      <c r="C824" t="inlineStr">
        <is>
          <t>or we can work a little bit
at a time or in big chunks.</t>
        </is>
      </c>
      <c r="D824">
        <f>HYPERLINK("https://www.youtube.com/watch?v=-asOA1QMGtg&amp;t=4042s", "Go to time")</f>
        <v/>
      </c>
    </row>
    <row r="825">
      <c r="A825">
        <f>HYPERLINK("https://www.youtube.com/watch?v=-asOA1QMGtg", "Video")</f>
        <v/>
      </c>
      <c r="B825" t="inlineStr">
        <is>
          <t>91:14</t>
        </is>
      </c>
      <c r="C825" t="inlineStr">
        <is>
          <t>I'll just be capturing
these little tidbits,</t>
        </is>
      </c>
      <c r="D825">
        <f>HYPERLINK("https://www.youtube.com/watch?v=-asOA1QMGtg&amp;t=5474s", "Go to time")</f>
        <v/>
      </c>
    </row>
    <row r="826">
      <c r="A826">
        <f>HYPERLINK("https://www.youtube.com/watch?v=KUsGDVOCLVQ", "Video")</f>
        <v/>
      </c>
      <c r="B826" t="inlineStr">
        <is>
          <t>2:20</t>
        </is>
      </c>
      <c r="C826" t="inlineStr">
        <is>
          <t>bit of neuroanatomy for you there - primarily
responsible for what we</t>
        </is>
      </c>
      <c r="D826">
        <f>HYPERLINK("https://www.youtube.com/watch?v=KUsGDVOCLVQ&amp;t=140s", "Go to time")</f>
        <v/>
      </c>
    </row>
    <row r="827">
      <c r="A827">
        <f>HYPERLINK("https://www.youtube.com/watch?v=KUsGDVOCLVQ", "Video")</f>
        <v/>
      </c>
      <c r="B827" t="inlineStr">
        <is>
          <t>3:35</t>
        </is>
      </c>
      <c r="C827" t="inlineStr">
        <is>
          <t>get a bit more personal.</t>
        </is>
      </c>
      <c r="D827">
        <f>HYPERLINK("https://www.youtube.com/watch?v=KUsGDVOCLVQ&amp;t=215s", "Go to time")</f>
        <v/>
      </c>
    </row>
    <row r="828">
      <c r="A828">
        <f>HYPERLINK("https://www.youtube.com/watch?v=KUsGDVOCLVQ", "Video")</f>
        <v/>
      </c>
      <c r="B828" t="inlineStr">
        <is>
          <t>3:59</t>
        </is>
      </c>
      <c r="C828" t="inlineStr">
        <is>
          <t>circuits, the medial orbital frontal cortex
for example, light up like</t>
        </is>
      </c>
      <c r="D828">
        <f>HYPERLINK("https://www.youtube.com/watch?v=KUsGDVOCLVQ&amp;t=239s", "Go to time")</f>
        <v/>
      </c>
    </row>
    <row r="829">
      <c r="A829">
        <f>HYPERLINK("https://www.youtube.com/watch?v=zgZMyY27tfg", "Video")</f>
        <v/>
      </c>
      <c r="B829" t="inlineStr">
        <is>
          <t>0:55</t>
        </is>
      </c>
      <c r="C829" t="inlineStr">
        <is>
          <t>be a little bit more I had I grew up in</t>
        </is>
      </c>
      <c r="D829">
        <f>HYPERLINK("https://www.youtube.com/watch?v=zgZMyY27tfg&amp;t=55s", "Go to time")</f>
        <v/>
      </c>
    </row>
    <row r="830">
      <c r="A830">
        <f>HYPERLINK("https://www.youtube.com/watch?v=zgZMyY27tfg", "Video")</f>
        <v/>
      </c>
      <c r="B830" t="inlineStr">
        <is>
          <t>1:12</t>
        </is>
      </c>
      <c r="C830" t="inlineStr">
        <is>
          <t>and disheartened but also a little bit</t>
        </is>
      </c>
      <c r="D830">
        <f>HYPERLINK("https://www.youtube.com/watch?v=zgZMyY27tfg&amp;t=72s", "Go to time")</f>
        <v/>
      </c>
    </row>
    <row r="831">
      <c r="A831">
        <f>HYPERLINK("https://www.youtube.com/watch?v=zgZMyY27tfg", "Video")</f>
        <v/>
      </c>
      <c r="B831" t="inlineStr">
        <is>
          <t>5:09</t>
        </is>
      </c>
      <c r="C831" t="inlineStr">
        <is>
          <t>bit it's kind of mean to say we're kind</t>
        </is>
      </c>
      <c r="D831">
        <f>HYPERLINK("https://www.youtube.com/watch?v=zgZMyY27tfg&amp;t=309s", "Go to time")</f>
        <v/>
      </c>
    </row>
    <row r="832">
      <c r="A832">
        <f>HYPERLINK("https://www.youtube.com/watch?v=zgZMyY27tfg", "Video")</f>
        <v/>
      </c>
      <c r="B832" t="inlineStr">
        <is>
          <t>8:13</t>
        </is>
      </c>
      <c r="C832" t="inlineStr">
        <is>
          <t>bit later to us that are trying to study</t>
        </is>
      </c>
      <c r="D832">
        <f>HYPERLINK("https://www.youtube.com/watch?v=zgZMyY27tfg&amp;t=493s", "Go to time")</f>
        <v/>
      </c>
    </row>
    <row r="833">
      <c r="A833">
        <f>HYPERLINK("https://www.youtube.com/watch?v=zgZMyY27tfg", "Video")</f>
        <v/>
      </c>
      <c r="B833" t="inlineStr">
        <is>
          <t>8:19</t>
        </is>
      </c>
      <c r="C833" t="inlineStr">
        <is>
          <t>see that happen a little bit a little</t>
        </is>
      </c>
      <c r="D833">
        <f>HYPERLINK("https://www.youtube.com/watch?v=zgZMyY27tfg&amp;t=499s", "Go to time")</f>
        <v/>
      </c>
    </row>
    <row r="834">
      <c r="A834">
        <f>HYPERLINK("https://www.youtube.com/watch?v=zgZMyY27tfg", "Video")</f>
        <v/>
      </c>
      <c r="B834" t="inlineStr">
        <is>
          <t>8:21</t>
        </is>
      </c>
      <c r="C834" t="inlineStr">
        <is>
          <t>bit faster I guess</t>
        </is>
      </c>
      <c r="D834">
        <f>HYPERLINK("https://www.youtube.com/watch?v=zgZMyY27tfg&amp;t=501s", "Go to time")</f>
        <v/>
      </c>
    </row>
    <row r="835">
      <c r="A835">
        <f>HYPERLINK("https://www.youtube.com/watch?v=zgZMyY27tfg", "Video")</f>
        <v/>
      </c>
      <c r="B835" t="inlineStr">
        <is>
          <t>9:19</t>
        </is>
      </c>
      <c r="C835" t="inlineStr">
        <is>
          <t>bit less dry and a little bit less less</t>
        </is>
      </c>
      <c r="D835">
        <f>HYPERLINK("https://www.youtube.com/watch?v=zgZMyY27tfg&amp;t=559s", "Go to time")</f>
        <v/>
      </c>
    </row>
    <row r="836">
      <c r="A836">
        <f>HYPERLINK("https://www.youtube.com/watch?v=zgZMyY27tfg", "Video")</f>
        <v/>
      </c>
      <c r="B836" t="inlineStr">
        <is>
          <t>9:57</t>
        </is>
      </c>
      <c r="C836" t="inlineStr">
        <is>
          <t>that it kind of gets people a little bit</t>
        </is>
      </c>
      <c r="D836">
        <f>HYPERLINK("https://www.youtube.com/watch?v=zgZMyY27tfg&amp;t=597s", "Go to time")</f>
        <v/>
      </c>
    </row>
    <row r="837">
      <c r="A837">
        <f>HYPERLINK("https://www.youtube.com/watch?v=zgZMyY27tfg", "Video")</f>
        <v/>
      </c>
      <c r="B837" t="inlineStr">
        <is>
          <t>10:13</t>
        </is>
      </c>
      <c r="C837" t="inlineStr">
        <is>
          <t>that bit of information you know you've</t>
        </is>
      </c>
      <c r="D837">
        <f>HYPERLINK("https://www.youtube.com/watch?v=zgZMyY27tfg&amp;t=613s", "Go to time")</f>
        <v/>
      </c>
    </row>
    <row r="838">
      <c r="A838">
        <f>HYPERLINK("https://www.youtube.com/watch?v=zgZMyY27tfg", "Video")</f>
        <v/>
      </c>
      <c r="B838" t="inlineStr">
        <is>
          <t>10:19</t>
        </is>
      </c>
      <c r="C838" t="inlineStr">
        <is>
          <t>maybe it's a little bit you know but</t>
        </is>
      </c>
      <c r="D838">
        <f>HYPERLINK("https://www.youtube.com/watch?v=zgZMyY27tfg&amp;t=619s", "Go to time")</f>
        <v/>
      </c>
    </row>
    <row r="839">
      <c r="A839">
        <f>HYPERLINK("https://www.youtube.com/watch?v=zgZMyY27tfg", "Video")</f>
        <v/>
      </c>
      <c r="B839" t="inlineStr">
        <is>
          <t>11:00</t>
        </is>
      </c>
      <c r="C839" t="inlineStr">
        <is>
          <t>some impact on that whatever little bit</t>
        </is>
      </c>
      <c r="D839">
        <f>HYPERLINK("https://www.youtube.com/watch?v=zgZMyY27tfg&amp;t=660s", "Go to time")</f>
        <v/>
      </c>
    </row>
    <row r="840">
      <c r="A840">
        <f>HYPERLINK("https://www.youtube.com/watch?v=zgZMyY27tfg", "Video")</f>
        <v/>
      </c>
      <c r="B840" t="inlineStr">
        <is>
          <t>29:01</t>
        </is>
      </c>
      <c r="C840" t="inlineStr">
        <is>
          <t>out of the lab a little bit but it's</t>
        </is>
      </c>
      <c r="D840">
        <f>HYPERLINK("https://www.youtube.com/watch?v=zgZMyY27tfg&amp;t=1741s", "Go to time")</f>
        <v/>
      </c>
    </row>
    <row r="841">
      <c r="A841">
        <f>HYPERLINK("https://www.youtube.com/watch?v=0vkYW7O_3nM", "Video")</f>
        <v/>
      </c>
      <c r="B841" t="inlineStr">
        <is>
          <t>6:34</t>
        </is>
      </c>
      <c r="C841" t="inlineStr">
        <is>
          <t>little bit of time but it's been solved</t>
        </is>
      </c>
      <c r="D841">
        <f>HYPERLINK("https://www.youtube.com/watch?v=0vkYW7O_3nM&amp;t=394s", "Go to time")</f>
        <v/>
      </c>
    </row>
    <row r="842">
      <c r="A842">
        <f>HYPERLINK("https://www.youtube.com/watch?v=2GK3Z_JsHmA", "Video")</f>
        <v/>
      </c>
      <c r="B842" t="inlineStr">
        <is>
          <t>1:31</t>
        </is>
      </c>
      <c r="C842" t="inlineStr">
        <is>
          <t>I'm feeling a little bit um like</t>
        </is>
      </c>
      <c r="D842">
        <f>HYPERLINK("https://www.youtube.com/watch?v=2GK3Z_JsHmA&amp;t=91s", "Go to time")</f>
        <v/>
      </c>
    </row>
    <row r="843">
      <c r="A843">
        <f>HYPERLINK("https://www.youtube.com/watch?v=eUnaCDNBw5c", "Video")</f>
        <v/>
      </c>
      <c r="B843" t="inlineStr">
        <is>
          <t>1:54</t>
        </is>
      </c>
      <c r="C843" t="inlineStr">
        <is>
          <t>get them earning that little bit extra</t>
        </is>
      </c>
      <c r="D843">
        <f>HYPERLINK("https://www.youtube.com/watch?v=eUnaCDNBw5c&amp;t=114s", "Go to time")</f>
        <v/>
      </c>
    </row>
    <row r="844">
      <c r="A844">
        <f>HYPERLINK("https://www.youtube.com/watch?v=pwHBexfySVo", "Video")</f>
        <v/>
      </c>
      <c r="B844" t="inlineStr">
        <is>
          <t>1:28</t>
        </is>
      </c>
      <c r="C844" t="inlineStr">
        <is>
          <t>guy, but he was essentially just a bit</t>
        </is>
      </c>
      <c r="D844">
        <f>HYPERLINK("https://www.youtube.com/watch?v=pwHBexfySVo&amp;t=88s", "Go to time")</f>
        <v/>
      </c>
    </row>
    <row r="845">
      <c r="A845">
        <f>HYPERLINK("https://www.youtube.com/watch?v=H5Q_-gIZIps", "Video")</f>
        <v/>
      </c>
      <c r="B845" t="inlineStr">
        <is>
          <t>0:58</t>
        </is>
      </c>
      <c r="C845" t="inlineStr">
        <is>
          <t>How Ambitious Managers Make
the Jump to Leadership."</t>
        </is>
      </c>
      <c r="D845">
        <f>HYPERLINK("https://www.youtube.com/watch?v=H5Q_-gIZIps&amp;t=58s", "Go to time")</f>
        <v/>
      </c>
    </row>
    <row r="846">
      <c r="A846">
        <f>HYPERLINK("https://www.youtube.com/watch?v=kQZR4KyYjoM", "Video")</f>
        <v/>
      </c>
      <c r="B846" t="inlineStr">
        <is>
          <t>1:49</t>
        </is>
      </c>
      <c r="C846" t="inlineStr">
        <is>
          <t>history it's a little bit like sitting</t>
        </is>
      </c>
      <c r="D846">
        <f>HYPERLINK("https://www.youtube.com/watch?v=kQZR4KyYjoM&amp;t=109s", "Go to time")</f>
        <v/>
      </c>
    </row>
    <row r="847">
      <c r="A847">
        <f>HYPERLINK("https://www.youtube.com/watch?v=FqM14Qeozog", "Video")</f>
        <v/>
      </c>
      <c r="B847" t="inlineStr">
        <is>
          <t>1:37</t>
        </is>
      </c>
      <c r="C847" t="inlineStr">
        <is>
          <t>all of the inhibitory
impulses just vanish.</t>
        </is>
      </c>
      <c r="D847">
        <f>HYPERLINK("https://www.youtube.com/watch?v=FqM14Qeozog&amp;t=97s", "Go to time")</f>
        <v/>
      </c>
    </row>
    <row r="848">
      <c r="A848">
        <f>HYPERLINK("https://www.youtube.com/watch?v=KuqSHi-yXAI", "Video")</f>
        <v/>
      </c>
      <c r="B848" t="inlineStr">
        <is>
          <t>1:07</t>
        </is>
      </c>
      <c r="C848" t="inlineStr">
        <is>
          <t>or debit statements.</t>
        </is>
      </c>
      <c r="D848">
        <f>HYPERLINK("https://www.youtube.com/watch?v=KuqSHi-yXAI&amp;t=67s", "Go to time")</f>
        <v/>
      </c>
    </row>
    <row r="849">
      <c r="A849">
        <f>HYPERLINK("https://www.youtube.com/watch?v=ysPzoyv0pn4", "Video")</f>
        <v/>
      </c>
      <c r="B849" t="inlineStr">
        <is>
          <t>0:11</t>
        </is>
      </c>
      <c r="C849" t="inlineStr">
        <is>
          <t>actually a little bit more natural first</t>
        </is>
      </c>
      <c r="D849">
        <f>HYPERLINK("https://www.youtube.com/watch?v=ysPzoyv0pn4&amp;t=11s", "Go to time")</f>
        <v/>
      </c>
    </row>
    <row r="850">
      <c r="A850">
        <f>HYPERLINK("https://www.youtube.com/watch?v=iMM3zxVoGZc", "Video")</f>
        <v/>
      </c>
      <c r="B850" t="inlineStr">
        <is>
          <t>1:01</t>
        </is>
      </c>
      <c r="C850" t="inlineStr">
        <is>
          <t>Most of us have ideas that add to existing
ideas that bring a bit of originality, that</t>
        </is>
      </c>
      <c r="D850">
        <f>HYPERLINK("https://www.youtube.com/watch?v=iMM3zxVoGZc&amp;t=61s", "Go to time")</f>
        <v/>
      </c>
    </row>
    <row r="851">
      <c r="A851">
        <f>HYPERLINK("https://www.youtube.com/watch?v=gLW0cS872x8", "Video")</f>
        <v/>
      </c>
      <c r="B851" t="inlineStr">
        <is>
          <t>1:24</t>
        </is>
      </c>
      <c r="C851" t="inlineStr">
        <is>
          <t>bitterness of the people would do to</t>
        </is>
      </c>
      <c r="D851">
        <f>HYPERLINK("https://www.youtube.com/watch?v=gLW0cS872x8&amp;t=84s", "Go to time")</f>
        <v/>
      </c>
    </row>
    <row r="852">
      <c r="A852">
        <f>HYPERLINK("https://www.youtube.com/watch?v=lG8CsMijr_k", "Video")</f>
        <v/>
      </c>
      <c r="B852" t="inlineStr">
        <is>
          <t>3:54</t>
        </is>
      </c>
      <c r="C852" t="inlineStr">
        <is>
          <t>of individual countries
like in near Earth orbit</t>
        </is>
      </c>
      <c r="D852">
        <f>HYPERLINK("https://www.youtube.com/watch?v=lG8CsMijr_k&amp;t=234s", "Go to time")</f>
        <v/>
      </c>
    </row>
    <row r="853">
      <c r="A853">
        <f>HYPERLINK("https://www.youtube.com/watch?v=6helEPGTlzA", "Video")</f>
        <v/>
      </c>
      <c r="B853" t="inlineStr">
        <is>
          <t>4:38</t>
        </is>
      </c>
      <c r="C853" t="inlineStr">
        <is>
          <t>re-uptake inhibitor so if you ate pure</t>
        </is>
      </c>
      <c r="D853">
        <f>HYPERLINK("https://www.youtube.com/watch?v=6helEPGTlzA&amp;t=278s", "Go to time")</f>
        <v/>
      </c>
    </row>
    <row r="854">
      <c r="A854">
        <f>HYPERLINK("https://www.youtube.com/watch?v=464SWQIDYxQ", "Video")</f>
        <v/>
      </c>
      <c r="B854" t="inlineStr">
        <is>
          <t>6:08</t>
        </is>
      </c>
      <c r="C854" t="inlineStr">
        <is>
          <t>that I certainly prohibited,
but I also talked about.</t>
        </is>
      </c>
      <c r="D854">
        <f>HYPERLINK("https://www.youtube.com/watch?v=464SWQIDYxQ&amp;t=368s", "Go to time")</f>
        <v/>
      </c>
    </row>
    <row r="855">
      <c r="A855">
        <f>HYPERLINK("https://www.youtube.com/watch?v=kO41iURud9c", "Video")</f>
        <v/>
      </c>
      <c r="B855" t="inlineStr">
        <is>
          <t>0:53</t>
        </is>
      </c>
      <c r="C855" t="inlineStr">
        <is>
          <t>That comes a little bit
later with the discovery</t>
        </is>
      </c>
      <c r="D855">
        <f>HYPERLINK("https://www.youtube.com/watch?v=kO41iURud9c&amp;t=53s", "Go to time")</f>
        <v/>
      </c>
    </row>
    <row r="856">
      <c r="A856">
        <f>HYPERLINK("https://www.youtube.com/watch?v=kO41iURud9c", "Video")</f>
        <v/>
      </c>
      <c r="B856" t="inlineStr">
        <is>
          <t>2:12</t>
        </is>
      </c>
      <c r="C856" t="inlineStr">
        <is>
          <t>that they all exhibit.</t>
        </is>
      </c>
      <c r="D856">
        <f>HYPERLINK("https://www.youtube.com/watch?v=kO41iURud9c&amp;t=132s", "Go to time")</f>
        <v/>
      </c>
    </row>
    <row r="857">
      <c r="A857">
        <f>HYPERLINK("https://www.youtube.com/watch?v=kO41iURud9c", "Video")</f>
        <v/>
      </c>
      <c r="B857" t="inlineStr">
        <is>
          <t>13:05</t>
        </is>
      </c>
      <c r="C857" t="inlineStr">
        <is>
          <t>With the electrons let's say orbiting</t>
        </is>
      </c>
      <c r="D857">
        <f>HYPERLINK("https://www.youtube.com/watch?v=kO41iURud9c&amp;t=785s", "Go to time")</f>
        <v/>
      </c>
    </row>
    <row r="858">
      <c r="A858">
        <f>HYPERLINK("https://www.youtube.com/watch?v=kO41iURud9c", "Video")</f>
        <v/>
      </c>
      <c r="B858" t="inlineStr">
        <is>
          <t>13:30</t>
        </is>
      </c>
      <c r="C858" t="inlineStr">
        <is>
          <t>which we now call orbitals,
around the atomic nucleus,</t>
        </is>
      </c>
      <c r="D858">
        <f>HYPERLINK("https://www.youtube.com/watch?v=kO41iURud9c&amp;t=810s", "Go to time")</f>
        <v/>
      </c>
    </row>
    <row r="859">
      <c r="A859">
        <f>HYPERLINK("https://www.youtube.com/watch?v=kO41iURud9c", "Video")</f>
        <v/>
      </c>
      <c r="B859" t="inlineStr">
        <is>
          <t>14:10</t>
        </is>
      </c>
      <c r="C859" t="inlineStr">
        <is>
          <t>So you might call these things a qubit.</t>
        </is>
      </c>
      <c r="D859">
        <f>HYPERLINK("https://www.youtube.com/watch?v=kO41iURud9c&amp;t=850s", "Go to time")</f>
        <v/>
      </c>
    </row>
    <row r="860">
      <c r="A860">
        <f>HYPERLINK("https://www.youtube.com/watch?v=kO41iURud9c", "Video")</f>
        <v/>
      </c>
      <c r="B860" t="inlineStr">
        <is>
          <t>14:13</t>
        </is>
      </c>
      <c r="C860" t="inlineStr">
        <is>
          <t>So what is a qubit?</t>
        </is>
      </c>
      <c r="D860">
        <f>HYPERLINK("https://www.youtube.com/watch?v=kO41iURud9c&amp;t=853s", "Go to time")</f>
        <v/>
      </c>
    </row>
    <row r="861">
      <c r="A861">
        <f>HYPERLINK("https://www.youtube.com/watch?v=kO41iURud9c", "Video")</f>
        <v/>
      </c>
      <c r="B861" t="inlineStr">
        <is>
          <t>14:58</t>
        </is>
      </c>
      <c r="C861" t="inlineStr">
        <is>
          <t>we'll talk about that a bit later,</t>
        </is>
      </c>
      <c r="D861">
        <f>HYPERLINK("https://www.youtube.com/watch?v=kO41iURud9c&amp;t=898s", "Go to time")</f>
        <v/>
      </c>
    </row>
    <row r="862">
      <c r="A862">
        <f>HYPERLINK("https://www.youtube.com/watch?v=kO41iURud9c", "Video")</f>
        <v/>
      </c>
      <c r="B862" t="inlineStr">
        <is>
          <t>18:56</t>
        </is>
      </c>
      <c r="C862" t="inlineStr">
        <is>
          <t>around a little bit when
they go through the slits.</t>
        </is>
      </c>
      <c r="D862">
        <f>HYPERLINK("https://www.youtube.com/watch?v=kO41iURud9c&amp;t=1136s", "Go to time")</f>
        <v/>
      </c>
    </row>
    <row r="863">
      <c r="A863">
        <f>HYPERLINK("https://www.youtube.com/watch?v=kO41iURud9c", "Video")</f>
        <v/>
      </c>
      <c r="B863" t="inlineStr">
        <is>
          <t>19:06</t>
        </is>
      </c>
      <c r="C863" t="inlineStr">
        <is>
          <t>with maybe a bit of a spread</t>
        </is>
      </c>
      <c r="D863">
        <f>HYPERLINK("https://www.youtube.com/watch?v=kO41iURud9c&amp;t=1146s", "Go to time")</f>
        <v/>
      </c>
    </row>
    <row r="864">
      <c r="A864">
        <f>HYPERLINK("https://www.youtube.com/watch?v=kO41iURud9c", "Video")</f>
        <v/>
      </c>
      <c r="B864" t="inlineStr">
        <is>
          <t>19:07</t>
        </is>
      </c>
      <c r="C864" t="inlineStr">
        <is>
          <t>'cause they rattle around
a bit when they go through.</t>
        </is>
      </c>
      <c r="D864">
        <f>HYPERLINK("https://www.youtube.com/watch?v=kO41iURud9c&amp;t=1147s", "Go to time")</f>
        <v/>
      </c>
    </row>
    <row r="865">
      <c r="A865">
        <f>HYPERLINK("https://www.youtube.com/watch?v=kO41iURud9c", "Video")</f>
        <v/>
      </c>
      <c r="B865" t="inlineStr">
        <is>
          <t>26:07</t>
        </is>
      </c>
      <c r="C865" t="inlineStr">
        <is>
          <t>and it's all a bit whatever,</t>
        </is>
      </c>
      <c r="D865">
        <f>HYPERLINK("https://www.youtube.com/watch?v=kO41iURud9c&amp;t=1567s", "Go to time")</f>
        <v/>
      </c>
    </row>
    <row r="866">
      <c r="A866">
        <f>HYPERLINK("https://www.youtube.com/watch?v=kO41iURud9c", "Video")</f>
        <v/>
      </c>
      <c r="B866" t="inlineStr">
        <is>
          <t>27:22</t>
        </is>
      </c>
      <c r="C866" t="inlineStr">
        <is>
          <t>is a device which is built out of qubits.</t>
        </is>
      </c>
      <c r="D866">
        <f>HYPERLINK("https://www.youtube.com/watch?v=kO41iURud9c&amp;t=1642s", "Go to time")</f>
        <v/>
      </c>
    </row>
    <row r="867">
      <c r="A867">
        <f>HYPERLINK("https://www.youtube.com/watch?v=kO41iURud9c", "Video")</f>
        <v/>
      </c>
      <c r="B867" t="inlineStr">
        <is>
          <t>27:26</t>
        </is>
      </c>
      <c r="C867" t="inlineStr">
        <is>
          <t>So remember a qubit, an
example would be an electron,</t>
        </is>
      </c>
      <c r="D867">
        <f>HYPERLINK("https://www.youtube.com/watch?v=kO41iURud9c&amp;t=1646s", "Go to time")</f>
        <v/>
      </c>
    </row>
    <row r="868">
      <c r="A868">
        <f>HYPERLINK("https://www.youtube.com/watch?v=kO41iURud9c", "Video")</f>
        <v/>
      </c>
      <c r="B868" t="inlineStr">
        <is>
          <t>28:25</t>
        </is>
      </c>
      <c r="C868" t="inlineStr">
        <is>
          <t>so the system of these two qubits.</t>
        </is>
      </c>
      <c r="D868">
        <f>HYPERLINK("https://www.youtube.com/watch?v=kO41iURud9c&amp;t=1705s", "Go to time")</f>
        <v/>
      </c>
    </row>
    <row r="869">
      <c r="A869">
        <f>HYPERLINK("https://www.youtube.com/watch?v=kO41iURud9c", "Video")</f>
        <v/>
      </c>
      <c r="B869" t="inlineStr">
        <is>
          <t>30:35</t>
        </is>
      </c>
      <c r="C869" t="inlineStr">
        <is>
          <t>But you think about that
system of two qubits, right?</t>
        </is>
      </c>
      <c r="D869">
        <f>HYPERLINK("https://www.youtube.com/watch?v=kO41iURud9c&amp;t=1835s", "Go to time")</f>
        <v/>
      </c>
    </row>
    <row r="870">
      <c r="A870">
        <f>HYPERLINK("https://www.youtube.com/watch?v=kO41iURud9c", "Video")</f>
        <v/>
      </c>
      <c r="B870" t="inlineStr">
        <is>
          <t>30:52</t>
        </is>
      </c>
      <c r="C870" t="inlineStr">
        <is>
          <t>Four for the two qubit system.</t>
        </is>
      </c>
      <c r="D870">
        <f>HYPERLINK("https://www.youtube.com/watch?v=kO41iURud9c&amp;t=1852s", "Go to time")</f>
        <v/>
      </c>
    </row>
    <row r="871">
      <c r="A871">
        <f>HYPERLINK("https://www.youtube.com/watch?v=kO41iURud9c", "Video")</f>
        <v/>
      </c>
      <c r="B871" t="inlineStr">
        <is>
          <t>30:55</t>
        </is>
      </c>
      <c r="C871" t="inlineStr">
        <is>
          <t>For a three qubit system,</t>
        </is>
      </c>
      <c r="D871">
        <f>HYPERLINK("https://www.youtube.com/watch?v=kO41iURud9c&amp;t=1855s", "Go to time")</f>
        <v/>
      </c>
    </row>
    <row r="872">
      <c r="A872">
        <f>HYPERLINK("https://www.youtube.com/watch?v=kO41iURud9c", "Video")</f>
        <v/>
      </c>
      <c r="B872" t="inlineStr">
        <is>
          <t>31:05</t>
        </is>
      </c>
      <c r="C872" t="inlineStr">
        <is>
          <t>For four qubits, then it's
two to the power four,</t>
        </is>
      </c>
      <c r="D872">
        <f>HYPERLINK("https://www.youtube.com/watch?v=kO41iURud9c&amp;t=1865s", "Go to time")</f>
        <v/>
      </c>
    </row>
    <row r="873">
      <c r="A873">
        <f>HYPERLINK("https://www.youtube.com/watch?v=kO41iURud9c", "Video")</f>
        <v/>
      </c>
      <c r="B873" t="inlineStr">
        <is>
          <t>31:15</t>
        </is>
      </c>
      <c r="C873" t="inlineStr">
        <is>
          <t>in which we have 100, 200, 300 qubits</t>
        </is>
      </c>
      <c r="D873">
        <f>HYPERLINK("https://www.youtube.com/watch?v=kO41iURud9c&amp;t=1875s", "Go to time")</f>
        <v/>
      </c>
    </row>
    <row r="874">
      <c r="A874">
        <f>HYPERLINK("https://www.youtube.com/watch?v=kO41iURud9c", "Video")</f>
        <v/>
      </c>
      <c r="B874" t="inlineStr">
        <is>
          <t>31:39</t>
        </is>
      </c>
      <c r="C874" t="inlineStr">
        <is>
          <t>So pretty soon, two to the
power 100 for 100 qubits,</t>
        </is>
      </c>
      <c r="D874">
        <f>HYPERLINK("https://www.youtube.com/watch?v=kO41iURud9c&amp;t=1899s", "Go to time")</f>
        <v/>
      </c>
    </row>
    <row r="875">
      <c r="A875">
        <f>HYPERLINK("https://www.youtube.com/watch?v=kO41iURud9c", "Video")</f>
        <v/>
      </c>
      <c r="B875" t="inlineStr">
        <is>
          <t>31:48</t>
        </is>
      </c>
      <c r="C875" t="inlineStr">
        <is>
          <t>If you had two to the 500,
you'd far exceed 500 qubits.</t>
        </is>
      </c>
      <c r="D875">
        <f>HYPERLINK("https://www.youtube.com/watch?v=kO41iURud9c&amp;t=1908s", "Go to time")</f>
        <v/>
      </c>
    </row>
    <row r="876">
      <c r="A876">
        <f>HYPERLINK("https://www.youtube.com/watch?v=kO41iURud9c", "Video")</f>
        <v/>
      </c>
      <c r="B876" t="inlineStr">
        <is>
          <t>32:08</t>
        </is>
      </c>
      <c r="C876" t="inlineStr">
        <is>
          <t>of a network of 500 qubits.</t>
        </is>
      </c>
      <c r="D876">
        <f>HYPERLINK("https://www.youtube.com/watch?v=kO41iURud9c&amp;t=1928s", "Go to time")</f>
        <v/>
      </c>
    </row>
    <row r="877">
      <c r="A877">
        <f>HYPERLINK("https://www.youtube.com/watch?v=kO41iURud9c", "Video")</f>
        <v/>
      </c>
      <c r="B877" t="inlineStr">
        <is>
          <t>40:23</t>
        </is>
      </c>
      <c r="C877" t="inlineStr">
        <is>
          <t>how much information in bits</t>
        </is>
      </c>
      <c r="D877">
        <f>HYPERLINK("https://www.youtube.com/watch?v=kO41iURud9c&amp;t=2423s", "Go to time")</f>
        <v/>
      </c>
    </row>
    <row r="878">
      <c r="A878">
        <f>HYPERLINK("https://www.youtube.com/watch?v=kO41iURud9c", "Video")</f>
        <v/>
      </c>
      <c r="B878" t="inlineStr">
        <is>
          <t>49:44</t>
        </is>
      </c>
      <c r="C878" t="inlineStr">
        <is>
          <t>There's a gratuitous bit of advertising.</t>
        </is>
      </c>
      <c r="D878">
        <f>HYPERLINK("https://www.youtube.com/watch?v=kO41iURud9c&amp;t=2984s", "Go to time")</f>
        <v/>
      </c>
    </row>
    <row r="879">
      <c r="A879">
        <f>HYPERLINK("https://www.youtube.com/watch?v=kO41iURud9c", "Video")</f>
        <v/>
      </c>
      <c r="B879" t="inlineStr">
        <is>
          <t>53:05</t>
        </is>
      </c>
      <c r="C879" t="inlineStr">
        <is>
          <t>out to the orbit of Neptune,</t>
        </is>
      </c>
      <c r="D879">
        <f>HYPERLINK("https://www.youtube.com/watch?v=kO41iURud9c&amp;t=3185s", "Go to time")</f>
        <v/>
      </c>
    </row>
    <row r="880">
      <c r="A880">
        <f>HYPERLINK("https://www.youtube.com/watch?v=kO41iURud9c", "Video")</f>
        <v/>
      </c>
      <c r="B880" t="inlineStr">
        <is>
          <t>58:01</t>
        </is>
      </c>
      <c r="C880" t="inlineStr">
        <is>
          <t>We're all in orbit around the center</t>
        </is>
      </c>
      <c r="D880">
        <f>HYPERLINK("https://www.youtube.com/watch?v=kO41iURud9c&amp;t=3481s", "Go to time")</f>
        <v/>
      </c>
    </row>
    <row r="881">
      <c r="A881">
        <f>HYPERLINK("https://www.youtube.com/watch?v=kO41iURud9c", "Video")</f>
        <v/>
      </c>
      <c r="B881" t="inlineStr">
        <is>
          <t>58:50</t>
        </is>
      </c>
      <c r="C881" t="inlineStr">
        <is>
          <t>It's a bit bigger than the Milky Way,</t>
        </is>
      </c>
      <c r="D881">
        <f>HYPERLINK("https://www.youtube.com/watch?v=kO41iURud9c&amp;t=3530s", "Go to time")</f>
        <v/>
      </c>
    </row>
    <row r="882">
      <c r="A882">
        <f>HYPERLINK("https://www.youtube.com/watch?v=kO41iURud9c", "Video")</f>
        <v/>
      </c>
      <c r="B882" t="inlineStr">
        <is>
          <t>62:11</t>
        </is>
      </c>
      <c r="C882" t="inlineStr">
        <is>
          <t>which means that access
to earth orbit is cheap,</t>
        </is>
      </c>
      <c r="D882">
        <f>HYPERLINK("https://www.youtube.com/watch?v=kO41iURud9c&amp;t=3731s", "Go to time")</f>
        <v/>
      </c>
    </row>
    <row r="883">
      <c r="A883">
        <f>HYPERLINK("https://www.youtube.com/watch?v=kO41iURud9c", "Video")</f>
        <v/>
      </c>
      <c r="B883" t="inlineStr">
        <is>
          <t>62:40</t>
        </is>
      </c>
      <c r="C883" t="inlineStr">
        <is>
          <t>The observation of Earth from Earth orbit</t>
        </is>
      </c>
      <c r="D883">
        <f>HYPERLINK("https://www.youtube.com/watch?v=kO41iURud9c&amp;t=3760s", "Go to time")</f>
        <v/>
      </c>
    </row>
    <row r="884">
      <c r="A884">
        <f>HYPERLINK("https://www.youtube.com/watch?v=kO41iURud9c", "Video")</f>
        <v/>
      </c>
      <c r="B884" t="inlineStr">
        <is>
          <t>62:59</t>
        </is>
      </c>
      <c r="C884" t="inlineStr">
        <is>
          <t>before there isn't just one
crude space station in orbit,</t>
        </is>
      </c>
      <c r="D884">
        <f>HYPERLINK("https://www.youtube.com/watch?v=kO41iURud9c&amp;t=3779s", "Go to time")</f>
        <v/>
      </c>
    </row>
    <row r="885">
      <c r="A885">
        <f>HYPERLINK("https://www.youtube.com/watch?v=kO41iURud9c", "Video")</f>
        <v/>
      </c>
      <c r="B885" t="inlineStr">
        <is>
          <t>63:05</t>
        </is>
      </c>
      <c r="C885" t="inlineStr">
        <is>
          <t>there will be multiple
space stations in orbit.</t>
        </is>
      </c>
      <c r="D885">
        <f>HYPERLINK("https://www.youtube.com/watch?v=kO41iURud9c&amp;t=3785s", "Go to time")</f>
        <v/>
      </c>
    </row>
    <row r="886">
      <c r="A886">
        <f>HYPERLINK("https://www.youtube.com/watch?v=kO41iURud9c", "Video")</f>
        <v/>
      </c>
      <c r="B886" t="inlineStr">
        <is>
          <t>63:09</t>
        </is>
      </c>
      <c r="C886" t="inlineStr">
        <is>
          <t>at a much higher level in orbit,</t>
        </is>
      </c>
      <c r="D886">
        <f>HYPERLINK("https://www.youtube.com/watch?v=kO41iURud9c&amp;t=3789s", "Go to time")</f>
        <v/>
      </c>
    </row>
    <row r="887">
      <c r="A887">
        <f>HYPERLINK("https://www.youtube.com/watch?v=kO41iURud9c", "Video")</f>
        <v/>
      </c>
      <c r="B887" t="inlineStr">
        <is>
          <t>63:55</t>
        </is>
      </c>
      <c r="C887" t="inlineStr">
        <is>
          <t>But let's just talk
about Earth orbit first.</t>
        </is>
      </c>
      <c r="D887">
        <f>HYPERLINK("https://www.youtube.com/watch?v=kO41iURud9c&amp;t=3835s", "Go to time")</f>
        <v/>
      </c>
    </row>
    <row r="888">
      <c r="A888">
        <f>HYPERLINK("https://www.youtube.com/watch?v=kO41iURud9c", "Video")</f>
        <v/>
      </c>
      <c r="B888" t="inlineStr">
        <is>
          <t>64:26</t>
        </is>
      </c>
      <c r="C888" t="inlineStr">
        <is>
          <t>Do you allocate particular orbits?</t>
        </is>
      </c>
      <c r="D888">
        <f>HYPERLINK("https://www.youtube.com/watch?v=kO41iURud9c&amp;t=3866s", "Go to time")</f>
        <v/>
      </c>
    </row>
    <row r="889">
      <c r="A889">
        <f>HYPERLINK("https://www.youtube.com/watch?v=kO41iURud9c", "Video")</f>
        <v/>
      </c>
      <c r="B889" t="inlineStr">
        <is>
          <t>65:55</t>
        </is>
      </c>
      <c r="C889" t="inlineStr">
        <is>
          <t>to on orbit manufacturing.</t>
        </is>
      </c>
      <c r="D889">
        <f>HYPERLINK("https://www.youtube.com/watch?v=kO41iURud9c&amp;t=3955s", "Go to time")</f>
        <v/>
      </c>
    </row>
    <row r="890">
      <c r="A890">
        <f>HYPERLINK("https://www.youtube.com/watch?v=kO41iURud9c", "Video")</f>
        <v/>
      </c>
      <c r="B890" t="inlineStr">
        <is>
          <t>66:18</t>
        </is>
      </c>
      <c r="C890" t="inlineStr">
        <is>
          <t>beyond near Earth orbit</t>
        </is>
      </c>
      <c r="D890">
        <f>HYPERLINK("https://www.youtube.com/watch?v=kO41iURud9c&amp;t=3978s", "Go to time")</f>
        <v/>
      </c>
    </row>
    <row r="891">
      <c r="A891">
        <f>HYPERLINK("https://www.youtube.com/watch?v=kO41iURud9c", "Video")</f>
        <v/>
      </c>
      <c r="B891" t="inlineStr">
        <is>
          <t>70:56</t>
        </is>
      </c>
      <c r="C891" t="inlineStr">
        <is>
          <t>orbiting around one little star</t>
        </is>
      </c>
      <c r="D891">
        <f>HYPERLINK("https://www.youtube.com/watch?v=kO41iURud9c&amp;t=4256s", "Go to time")</f>
        <v/>
      </c>
    </row>
    <row r="892">
      <c r="A892">
        <f>HYPERLINK("https://www.youtube.com/watch?v=kO41iURud9c", "Video")</f>
        <v/>
      </c>
      <c r="B892" t="inlineStr">
        <is>
          <t>75:27</t>
        </is>
      </c>
      <c r="C892" t="inlineStr">
        <is>
          <t>terraforming Mars, turning
it into a habitable world.</t>
        </is>
      </c>
      <c r="D892">
        <f>HYPERLINK("https://www.youtube.com/watch?v=kO41iURud9c&amp;t=4527s", "Go to time")</f>
        <v/>
      </c>
    </row>
    <row r="893">
      <c r="A893">
        <f>HYPERLINK("https://www.youtube.com/watch?v=kO41iURud9c", "Video")</f>
        <v/>
      </c>
      <c r="B893" t="inlineStr">
        <is>
          <t>78:18</t>
        </is>
      </c>
      <c r="C893" t="inlineStr">
        <is>
          <t>it takes to process
one bit of information.</t>
        </is>
      </c>
      <c r="D893">
        <f>HYPERLINK("https://www.youtube.com/watch?v=kO41iURud9c&amp;t=4698s", "Go to time")</f>
        <v/>
      </c>
    </row>
    <row r="894">
      <c r="A894">
        <f>HYPERLINK("https://www.youtube.com/watch?v=_ZERmF6VWEU", "Video")</f>
        <v/>
      </c>
      <c r="B894" t="inlineStr">
        <is>
          <t>1:53</t>
        </is>
      </c>
      <c r="C894" t="inlineStr">
        <is>
          <t>bit of a nightmare scenario, which is are
we going to come to the point in this direction</t>
        </is>
      </c>
      <c r="D894">
        <f>HYPERLINK("https://www.youtube.com/watch?v=_ZERmF6VWEU&amp;t=113s", "Go to time")</f>
        <v/>
      </c>
    </row>
    <row r="895">
      <c r="A895">
        <f>HYPERLINK("https://www.youtube.com/watch?v=GwvQDt5yiVc", "Video")</f>
        <v/>
      </c>
      <c r="B895" t="inlineStr">
        <is>
          <t>0:39</t>
        </is>
      </c>
      <c r="C895" t="inlineStr">
        <is>
          <t>Bible and cutting out the bits they</t>
        </is>
      </c>
      <c r="D895">
        <f>HYPERLINK("https://www.youtube.com/watch?v=GwvQDt5yiVc&amp;t=39s", "Go to time")</f>
        <v/>
      </c>
    </row>
    <row r="896">
      <c r="A896">
        <f>HYPERLINK("https://www.youtube.com/watch?v=GwvQDt5yiVc", "Video")</f>
        <v/>
      </c>
      <c r="B896" t="inlineStr">
        <is>
          <t>1:55</t>
        </is>
      </c>
      <c r="C896" t="inlineStr">
        <is>
          <t>think is a sort of unappreciated bit is</t>
        </is>
      </c>
      <c r="D896">
        <f>HYPERLINK("https://www.youtube.com/watch?v=GwvQDt5yiVc&amp;t=115s", "Go to time")</f>
        <v/>
      </c>
    </row>
    <row r="897">
      <c r="A897">
        <f>HYPERLINK("https://www.youtube.com/watch?v=GwvQDt5yiVc", "Video")</f>
        <v/>
      </c>
      <c r="B897" t="inlineStr">
        <is>
          <t>3:44</t>
        </is>
      </c>
      <c r="C897" t="inlineStr">
        <is>
          <t>bit which is striking a cord with</t>
        </is>
      </c>
      <c r="D897">
        <f>HYPERLINK("https://www.youtube.com/watch?v=GwvQDt5yiVc&amp;t=224s", "Go to time")</f>
        <v/>
      </c>
    </row>
    <row r="898">
      <c r="A898">
        <f>HYPERLINK("https://www.youtube.com/watch?v=GwvQDt5yiVc", "Video")</f>
        <v/>
      </c>
      <c r="B898" t="inlineStr">
        <is>
          <t>4:53</t>
        </is>
      </c>
      <c r="C898" t="inlineStr">
        <is>
          <t>generally that the on the first bit that</t>
        </is>
      </c>
      <c r="D898">
        <f>HYPERLINK("https://www.youtube.com/watch?v=GwvQDt5yiVc&amp;t=293s", "Go to time")</f>
        <v/>
      </c>
    </row>
    <row r="899">
      <c r="A899">
        <f>HYPERLINK("https://www.youtube.com/watch?v=GwvQDt5yiVc", "Video")</f>
        <v/>
      </c>
      <c r="B899" t="inlineStr">
        <is>
          <t>6:05</t>
        </is>
      </c>
      <c r="C899" t="inlineStr">
        <is>
          <t>always been a bit where they thought</t>
        </is>
      </c>
      <c r="D899">
        <f>HYPERLINK("https://www.youtube.com/watch?v=GwvQDt5yiVc&amp;t=365s", "Go to time")</f>
        <v/>
      </c>
    </row>
    <row r="900">
      <c r="A900">
        <f>HYPERLINK("https://www.youtube.com/watch?v=GwvQDt5yiVc", "Video")</f>
        <v/>
      </c>
      <c r="B900" t="inlineStr">
        <is>
          <t>6:12</t>
        </is>
      </c>
      <c r="C900" t="inlineStr">
        <is>
          <t>European Politics the difficult bit is</t>
        </is>
      </c>
      <c r="D900">
        <f>HYPERLINK("https://www.youtube.com/watch?v=GwvQDt5yiVc&amp;t=372s", "Go to time")</f>
        <v/>
      </c>
    </row>
    <row r="901">
      <c r="A901">
        <f>HYPERLINK("https://www.youtube.com/watch?v=GwvQDt5yiVc", "Video")</f>
        <v/>
      </c>
      <c r="B901" t="inlineStr">
        <is>
          <t>6:48</t>
        </is>
      </c>
      <c r="C901" t="inlineStr">
        <is>
          <t>massively but a bit like the version of</t>
        </is>
      </c>
      <c r="D901">
        <f>HYPERLINK("https://www.youtube.com/watch?v=GwvQDt5yiVc&amp;t=408s", "Go to time")</f>
        <v/>
      </c>
    </row>
    <row r="902">
      <c r="A902">
        <f>HYPERLINK("https://www.youtube.com/watch?v=GwvQDt5yiVc", "Video")</f>
        <v/>
      </c>
      <c r="B902" t="inlineStr">
        <is>
          <t>7:49</t>
        </is>
      </c>
      <c r="C902" t="inlineStr">
        <is>
          <t>there um for it not to swing back a bit</t>
        </is>
      </c>
      <c r="D902">
        <f>HYPERLINK("https://www.youtube.com/watch?v=GwvQDt5yiVc&amp;t=469s", "Go to time")</f>
        <v/>
      </c>
    </row>
    <row r="903">
      <c r="A903">
        <f>HYPERLINK("https://www.youtube.com/watch?v=_oaTmbdv4Ps", "Video")</f>
        <v/>
      </c>
      <c r="B903" t="inlineStr">
        <is>
          <t>1:59</t>
        </is>
      </c>
      <c r="C903" t="inlineStr">
        <is>
          <t>You have to develop habits.</t>
        </is>
      </c>
      <c r="D903">
        <f>HYPERLINK("https://www.youtube.com/watch?v=_oaTmbdv4Ps&amp;t=119s", "Go to time")</f>
        <v/>
      </c>
    </row>
    <row r="904">
      <c r="A904">
        <f>HYPERLINK("https://www.youtube.com/watch?v=HuYlUwCz9_I", "Video")</f>
        <v/>
      </c>
      <c r="B904" t="inlineStr">
        <is>
          <t>2:08</t>
        </is>
      </c>
      <c r="C904" t="inlineStr">
        <is>
          <t>It is a little bit related to
that old Maya Angelou saying</t>
        </is>
      </c>
      <c r="D904">
        <f>HYPERLINK("https://www.youtube.com/watch?v=HuYlUwCz9_I&amp;t=128s", "Go to time")</f>
        <v/>
      </c>
    </row>
    <row r="905">
      <c r="A905">
        <f>HYPERLINK("https://www.youtube.com/watch?v=sO_sRSg_Rb4", "Video")</f>
        <v/>
      </c>
      <c r="B905" t="inlineStr">
        <is>
          <t>16:56</t>
        </is>
      </c>
      <c r="C905" t="inlineStr">
        <is>
          <t>hobbies but you know we're all a bit of</t>
        </is>
      </c>
      <c r="D905">
        <f>HYPERLINK("https://www.youtube.com/watch?v=sO_sRSg_Rb4&amp;t=1016s", "Go to time")</f>
        <v/>
      </c>
    </row>
    <row r="906">
      <c r="A906">
        <f>HYPERLINK("https://www.youtube.com/watch?v=sO_sRSg_Rb4", "Video")</f>
        <v/>
      </c>
      <c r="B906" t="inlineStr">
        <is>
          <t>19:10</t>
        </is>
      </c>
      <c r="C906" t="inlineStr">
        <is>
          <t>in a bit of a crisis. Um if if you can</t>
        </is>
      </c>
      <c r="D906">
        <f>HYPERLINK("https://www.youtube.com/watch?v=sO_sRSg_Rb4&amp;t=1150s", "Go to time")</f>
        <v/>
      </c>
    </row>
    <row r="907">
      <c r="A907">
        <f>HYPERLINK("https://www.youtube.com/watch?v=sO_sRSg_Rb4", "Video")</f>
        <v/>
      </c>
      <c r="B907" t="inlineStr">
        <is>
          <t>27:37</t>
        </is>
      </c>
      <c r="C907" t="inlineStr">
        <is>
          <t>don't see what he's bitching about. Um</t>
        </is>
      </c>
      <c r="D907">
        <f>HYPERLINK("https://www.youtube.com/watch?v=sO_sRSg_Rb4&amp;t=1657s", "Go to time")</f>
        <v/>
      </c>
    </row>
    <row r="908">
      <c r="A908">
        <f>HYPERLINK("https://www.youtube.com/watch?v=sO_sRSg_Rb4", "Video")</f>
        <v/>
      </c>
      <c r="B908" t="inlineStr">
        <is>
          <t>31:26</t>
        </is>
      </c>
      <c r="C908" t="inlineStr">
        <is>
          <t>because he's had more normal habits. I'm</t>
        </is>
      </c>
      <c r="D908">
        <f>HYPERLINK("https://www.youtube.com/watch?v=sO_sRSg_Rb4&amp;t=1886s", "Go to time")</f>
        <v/>
      </c>
    </row>
    <row r="909">
      <c r="A909">
        <f>HYPERLINK("https://www.youtube.com/watch?v=sO_sRSg_Rb4", "Video")</f>
        <v/>
      </c>
      <c r="B909" t="inlineStr">
        <is>
          <t>33:14</t>
        </is>
      </c>
      <c r="C909" t="inlineStr">
        <is>
          <t>more a bit more lyrical when I'm hung</t>
        </is>
      </c>
      <c r="D909">
        <f>HYPERLINK("https://www.youtube.com/watch?v=sO_sRSg_Rb4&amp;t=1994s", "Go to time")</f>
        <v/>
      </c>
    </row>
    <row r="910">
      <c r="A910">
        <f>HYPERLINK("https://www.youtube.com/watch?v=sO_sRSg_Rb4", "Video")</f>
        <v/>
      </c>
      <c r="B910" t="inlineStr">
        <is>
          <t>36:14</t>
        </is>
      </c>
      <c r="C910" t="inlineStr">
        <is>
          <t>Bradbury and enjoyed quite a bit. I</t>
        </is>
      </c>
      <c r="D910">
        <f>HYPERLINK("https://www.youtube.com/watch?v=sO_sRSg_Rb4&amp;t=2174s", "Go to time")</f>
        <v/>
      </c>
    </row>
    <row r="911">
      <c r="A911">
        <f>HYPERLINK("https://www.youtube.com/watch?v=sO_sRSg_Rb4", "Video")</f>
        <v/>
      </c>
      <c r="B911" t="inlineStr">
        <is>
          <t>41:43</t>
        </is>
      </c>
      <c r="C911" t="inlineStr">
        <is>
          <t>and I I guess I still got a bit of that</t>
        </is>
      </c>
      <c r="D911">
        <f>HYPERLINK("https://www.youtube.com/watch?v=sO_sRSg_Rb4&amp;t=2503s", "Go to time")</f>
        <v/>
      </c>
    </row>
    <row r="912">
      <c r="A912">
        <f>HYPERLINK("https://www.youtube.com/watch?v=yEHU1Yg5FCU", "Video")</f>
        <v/>
      </c>
      <c r="B912" t="inlineStr">
        <is>
          <t>2:57</t>
        </is>
      </c>
      <c r="C912" t="inlineStr">
        <is>
          <t>been born in our time it's every bit as</t>
        </is>
      </c>
      <c r="D912">
        <f>HYPERLINK("https://www.youtube.com/watch?v=yEHU1Yg5FCU&amp;t=177s", "Go to time")</f>
        <v/>
      </c>
    </row>
    <row r="913">
      <c r="A913">
        <f>HYPERLINK("https://www.youtube.com/watch?v=5ufYVSpmrZQ", "Video")</f>
        <v/>
      </c>
      <c r="B913" t="inlineStr">
        <is>
          <t>0:11</t>
        </is>
      </c>
      <c r="C913" t="inlineStr">
        <is>
          <t>oil does not have coal has a little bit</t>
        </is>
      </c>
      <c r="D913">
        <f>HYPERLINK("https://www.youtube.com/watch?v=5ufYVSpmrZQ&amp;t=11s", "Go to time")</f>
        <v/>
      </c>
    </row>
    <row r="914">
      <c r="A914">
        <f>HYPERLINK("https://www.youtube.com/watch?v=EDlNAoNqv7Y", "Video")</f>
        <v/>
      </c>
      <c r="B914" t="inlineStr">
        <is>
          <t>6:25</t>
        </is>
      </c>
      <c r="C914" t="inlineStr">
        <is>
          <t>doing uh this was a a bit of an ironic</t>
        </is>
      </c>
      <c r="D914">
        <f>HYPERLINK("https://www.youtube.com/watch?v=EDlNAoNqv7Y&amp;t=385s", "Go to time")</f>
        <v/>
      </c>
    </row>
    <row r="915">
      <c r="A915">
        <f>HYPERLINK("https://www.youtube.com/watch?v=EDlNAoNqv7Y", "Video")</f>
        <v/>
      </c>
      <c r="B915" t="inlineStr">
        <is>
          <t>6:34</t>
        </is>
      </c>
      <c r="C915" t="inlineStr">
        <is>
          <t>it is a it does offer a little bit of uh</t>
        </is>
      </c>
      <c r="D915">
        <f>HYPERLINK("https://www.youtube.com/watch?v=EDlNAoNqv7Y&amp;t=394s", "Go to time")</f>
        <v/>
      </c>
    </row>
    <row r="916">
      <c r="A916">
        <f>HYPERLINK("https://www.youtube.com/watch?v=4eIDBV4Mpek", "Video")</f>
        <v/>
      </c>
      <c r="B916" t="inlineStr">
        <is>
          <t>4:31</t>
        </is>
      </c>
      <c r="C916" t="inlineStr">
        <is>
          <t>and think a little bit about,</t>
        </is>
      </c>
      <c r="D916">
        <f>HYPERLINK("https://www.youtube.com/watch?v=4eIDBV4Mpek&amp;t=271s", "Go to time")</f>
        <v/>
      </c>
    </row>
    <row r="917">
      <c r="A917">
        <f>HYPERLINK("https://www.youtube.com/watch?v=YB3UnJBTezA", "Video")</f>
        <v/>
      </c>
      <c r="B917" t="inlineStr">
        <is>
          <t>3:06</t>
        </is>
      </c>
      <c r="C917" t="inlineStr">
        <is>
          <t>It was a bit long?</t>
        </is>
      </c>
      <c r="D917">
        <f>HYPERLINK("https://www.youtube.com/watch?v=YB3UnJBTezA&amp;t=186s", "Go to time")</f>
        <v/>
      </c>
    </row>
    <row r="918">
      <c r="A918">
        <f>HYPERLINK("https://www.youtube.com/watch?v=yi87xlmOjP8", "Video")</f>
        <v/>
      </c>
      <c r="B918" t="inlineStr">
        <is>
          <t>9:32</t>
        </is>
      </c>
      <c r="C918" t="inlineStr">
        <is>
          <t>They're also a little bit painful-</t>
        </is>
      </c>
      <c r="D918">
        <f>HYPERLINK("https://www.youtube.com/watch?v=yi87xlmOjP8&amp;t=572s", "Go to time")</f>
        <v/>
      </c>
    </row>
    <row r="919">
      <c r="A919">
        <f>HYPERLINK("https://www.youtube.com/watch?v=iPyFeIHlfbA", "Video")</f>
        <v/>
      </c>
      <c r="B919" t="inlineStr">
        <is>
          <t>2:18</t>
        </is>
      </c>
      <c r="C919" t="inlineStr">
        <is>
          <t>level to do a bit of leg work on their</t>
        </is>
      </c>
      <c r="D919">
        <f>HYPERLINK("https://www.youtube.com/watch?v=iPyFeIHlfbA&amp;t=138s", "Go to time")</f>
        <v/>
      </c>
    </row>
    <row r="920">
      <c r="A920">
        <f>HYPERLINK("https://www.youtube.com/watch?v=iPyFeIHlfbA", "Video")</f>
        <v/>
      </c>
      <c r="B920" t="inlineStr">
        <is>
          <t>2:21</t>
        </is>
      </c>
      <c r="C920" t="inlineStr">
        <is>
          <t>end or have a bit more openness on their</t>
        </is>
      </c>
      <c r="D920">
        <f>HYPERLINK("https://www.youtube.com/watch?v=iPyFeIHlfbA&amp;t=141s", "Go to time")</f>
        <v/>
      </c>
    </row>
    <row r="921">
      <c r="A921">
        <f>HYPERLINK("https://www.youtube.com/watch?v=8vZKSgzMFfQ", "Video")</f>
        <v/>
      </c>
      <c r="B921" t="inlineStr">
        <is>
          <t>5:39</t>
        </is>
      </c>
      <c r="C921" t="inlineStr">
        <is>
          <t>um but there's a there's a real bitter</t>
        </is>
      </c>
      <c r="D921">
        <f>HYPERLINK("https://www.youtube.com/watch?v=8vZKSgzMFfQ&amp;t=339s", "Go to time")</f>
        <v/>
      </c>
    </row>
    <row r="922">
      <c r="A922">
        <f>HYPERLINK("https://www.youtube.com/watch?v=YC2qoeWYr4w", "Video")</f>
        <v/>
      </c>
      <c r="B922" t="inlineStr">
        <is>
          <t>6:12</t>
        </is>
      </c>
      <c r="C922" t="inlineStr">
        <is>
          <t>big-brained, tool-making, habitat-making,</t>
        </is>
      </c>
      <c r="D922">
        <f>HYPERLINK("https://www.youtube.com/watch?v=YC2qoeWYr4w&amp;t=372s", "Go to time")</f>
        <v/>
      </c>
    </row>
    <row r="923">
      <c r="A923">
        <f>HYPERLINK("https://www.youtube.com/watch?v=YC2qoeWYr4w", "Video")</f>
        <v/>
      </c>
      <c r="B923" t="inlineStr">
        <is>
          <t>10:56</t>
        </is>
      </c>
      <c r="C923" t="inlineStr">
        <is>
          <t>there's bits and pieces
you can find in there, so.</t>
        </is>
      </c>
      <c r="D923">
        <f>HYPERLINK("https://www.youtube.com/watch?v=YC2qoeWYr4w&amp;t=656s", "Go to time")</f>
        <v/>
      </c>
    </row>
    <row r="924">
      <c r="A924">
        <f>HYPERLINK("https://www.youtube.com/watch?v=J67VfNwZmgI", "Video")</f>
        <v/>
      </c>
      <c r="B924" t="inlineStr">
        <is>
          <t>5:20</t>
        </is>
      </c>
      <c r="C924" t="inlineStr">
        <is>
          <t>habits people are often very resistant</t>
        </is>
      </c>
      <c r="D924">
        <f>HYPERLINK("https://www.youtube.com/watch?v=J67VfNwZmgI&amp;t=320s", "Go to time")</f>
        <v/>
      </c>
    </row>
    <row r="925">
      <c r="A925">
        <f>HYPERLINK("https://www.youtube.com/watch?v=96TWQefi_y0", "Video")</f>
        <v/>
      </c>
      <c r="B925" t="inlineStr">
        <is>
          <t>2:17</t>
        </is>
      </c>
      <c r="C925" t="inlineStr">
        <is>
          <t>orbital frontal cortex uh somebody</t>
        </is>
      </c>
      <c r="D925">
        <f>HYPERLINK("https://www.youtube.com/watch?v=96TWQefi_y0&amp;t=137s", "Go to time")</f>
        <v/>
      </c>
    </row>
    <row r="926">
      <c r="A926">
        <f>HYPERLINK("https://www.youtube.com/watch?v=96TWQefi_y0", "Video")</f>
        <v/>
      </c>
      <c r="B926" t="inlineStr">
        <is>
          <t>3:01</t>
        </is>
      </c>
      <c r="C926" t="inlineStr">
        <is>
          <t>cooperate with you even at a little bit</t>
        </is>
      </c>
      <c r="D926">
        <f>HYPERLINK("https://www.youtube.com/watch?v=96TWQefi_y0&amp;t=181s", "Go to time")</f>
        <v/>
      </c>
    </row>
    <row r="927">
      <c r="A927">
        <f>HYPERLINK("https://www.youtube.com/watch?v=A_KnsMY_smQ", "Video")</f>
        <v/>
      </c>
      <c r="B927" t="inlineStr">
        <is>
          <t>3:04</t>
        </is>
      </c>
      <c r="C927" t="inlineStr">
        <is>
          <t>Hamlet doesn't have a
bit of science in it,</t>
        </is>
      </c>
      <c r="D927">
        <f>HYPERLINK("https://www.youtube.com/watch?v=A_KnsMY_smQ&amp;t=184s", "Go to time")</f>
        <v/>
      </c>
    </row>
    <row r="928">
      <c r="A928">
        <f>HYPERLINK("https://www.youtube.com/watch?v=6m1gkZTUG4s", "Video")</f>
        <v/>
      </c>
      <c r="B928" t="inlineStr">
        <is>
          <t>1:25</t>
        </is>
      </c>
      <c r="C928" t="inlineStr">
        <is>
          <t>little bit guilty about it because there</t>
        </is>
      </c>
      <c r="D928">
        <f>HYPERLINK("https://www.youtube.com/watch?v=6m1gkZTUG4s&amp;t=85s", "Go to time")</f>
        <v/>
      </c>
    </row>
    <row r="929">
      <c r="A929">
        <f>HYPERLINK("https://www.youtube.com/watch?v=aPzY1P1djlk", "Video")</f>
        <v/>
      </c>
      <c r="B929" t="inlineStr">
        <is>
          <t>0:05</t>
        </is>
      </c>
      <c r="C929" t="inlineStr">
        <is>
          <t>forces with just a little bit of changes to
their behavior.</t>
        </is>
      </c>
      <c r="D929">
        <f>HYPERLINK("https://www.youtube.com/watch?v=aPzY1P1djlk&amp;t=5s", "Go to time")</f>
        <v/>
      </c>
    </row>
    <row r="930">
      <c r="A930">
        <f>HYPERLINK("https://www.youtube.com/watch?v=aPzY1P1djlk", "Video")</f>
        <v/>
      </c>
      <c r="B930" t="inlineStr">
        <is>
          <t>0:11</t>
        </is>
      </c>
      <c r="C930" t="inlineStr">
        <is>
          <t>bit differently, maybe being more forceful,
asking for more things, not expecting that</t>
        </is>
      </c>
      <c r="D930">
        <f>HYPERLINK("https://www.youtube.com/watch?v=aPzY1P1djlk&amp;t=11s", "Go to time")</f>
        <v/>
      </c>
    </row>
    <row r="931">
      <c r="A931">
        <f>HYPERLINK("https://www.youtube.com/watch?v=aPzY1P1djlk", "Video")</f>
        <v/>
      </c>
      <c r="B931" t="inlineStr">
        <is>
          <t>0:21</t>
        </is>
      </c>
      <c r="C931" t="inlineStr">
        <is>
          <t>bit more.</t>
        </is>
      </c>
      <c r="D931">
        <f>HYPERLINK("https://www.youtube.com/watch?v=aPzY1P1djlk&amp;t=21s", "Go to time")</f>
        <v/>
      </c>
    </row>
    <row r="932">
      <c r="A932">
        <f>HYPERLINK("https://www.youtube.com/watch?v=9CdZSakEqBU", "Video")</f>
        <v/>
      </c>
      <c r="B932" t="inlineStr">
        <is>
          <t>4:29</t>
        </is>
      </c>
      <c r="C932" t="inlineStr">
        <is>
          <t>and if somebody needs a bit of help than
they can get a loan from that to bridge</t>
        </is>
      </c>
      <c r="D932">
        <f>HYPERLINK("https://www.youtube.com/watch?v=9CdZSakEqBU&amp;t=269s", "Go to time")</f>
        <v/>
      </c>
    </row>
    <row r="933">
      <c r="A933">
        <f>HYPERLINK("https://www.youtube.com/watch?v=9pSscAQaIu0", "Video")</f>
        <v/>
      </c>
      <c r="B933" t="inlineStr">
        <is>
          <t>0:15</t>
        </is>
      </c>
      <c r="C933" t="inlineStr">
        <is>
          <t>least a little bit impactful on on my</t>
        </is>
      </c>
      <c r="D933">
        <f>HYPERLINK("https://www.youtube.com/watch?v=9pSscAQaIu0&amp;t=15s", "Go to time")</f>
        <v/>
      </c>
    </row>
    <row r="934">
      <c r="A934">
        <f>HYPERLINK("https://www.youtube.com/watch?v=FPsjI-Pe5Wc", "Video")</f>
        <v/>
      </c>
      <c r="B934" t="inlineStr">
        <is>
          <t>8:01</t>
        </is>
      </c>
      <c r="C934" t="inlineStr">
        <is>
          <t>amount of a protein synthesis inhibitor</t>
        </is>
      </c>
      <c r="D934">
        <f>HYPERLINK("https://www.youtube.com/watch?v=FPsjI-Pe5Wc&amp;t=481s", "Go to time")</f>
        <v/>
      </c>
    </row>
    <row r="935">
      <c r="A935">
        <f>HYPERLINK("https://www.youtube.com/watch?v=FPsjI-Pe5Wc", "Video")</f>
        <v/>
      </c>
      <c r="B935" t="inlineStr">
        <is>
          <t>8:12</t>
        </is>
      </c>
      <c r="C935" t="inlineStr">
        <is>
          <t>inhibitor systemically to the whole body</t>
        </is>
      </c>
      <c r="D935">
        <f>HYPERLINK("https://www.youtube.com/watch?v=FPsjI-Pe5Wc&amp;t=492s", "Go to time")</f>
        <v/>
      </c>
    </row>
    <row r="936">
      <c r="A936">
        <f>HYPERLINK("https://www.youtube.com/watch?v=FPsjI-Pe5Wc", "Video")</f>
        <v/>
      </c>
      <c r="B936" t="inlineStr">
        <is>
          <t>8:35</t>
        </is>
      </c>
      <c r="C936" t="inlineStr">
        <is>
          <t>protein synthesis Inhibitors which is it</t>
        </is>
      </c>
      <c r="D936">
        <f>HYPERLINK("https://www.youtube.com/watch?v=FPsjI-Pe5Wc&amp;t=515s", "Go to time")</f>
        <v/>
      </c>
    </row>
    <row r="937">
      <c r="A937">
        <f>HYPERLINK("https://www.youtube.com/watch?v=FPsjI-Pe5Wc", "Video")</f>
        <v/>
      </c>
      <c r="B937" t="inlineStr">
        <is>
          <t>8:52</t>
        </is>
      </c>
      <c r="C937" t="inlineStr">
        <is>
          <t>synthesis inhibitor in our studies I was</t>
        </is>
      </c>
      <c r="D937">
        <f>HYPERLINK("https://www.youtube.com/watch?v=FPsjI-Pe5Wc&amp;t=532s", "Go to time")</f>
        <v/>
      </c>
    </row>
    <row r="938">
      <c r="A938">
        <f>HYPERLINK("https://www.youtube.com/watch?v=GpuBYBAPZxA", "Video")</f>
        <v/>
      </c>
      <c r="B938" t="inlineStr">
        <is>
          <t>1:02</t>
        </is>
      </c>
      <c r="C938" t="inlineStr">
        <is>
          <t>you underline a bit you think you pay</t>
        </is>
      </c>
      <c r="D938">
        <f>HYPERLINK("https://www.youtube.com/watch?v=GpuBYBAPZxA&amp;t=62s", "Go to time")</f>
        <v/>
      </c>
    </row>
    <row r="939">
      <c r="A939">
        <f>HYPERLINK("https://www.youtube.com/watch?v=4aQuOkVtUgc", "Video")</f>
        <v/>
      </c>
      <c r="B939" t="inlineStr">
        <is>
          <t>0:52</t>
        </is>
      </c>
      <c r="C939" t="inlineStr">
        <is>
          <t>seem to develop a little bit more slowly</t>
        </is>
      </c>
      <c r="D939">
        <f>HYPERLINK("https://www.youtube.com/watch?v=4aQuOkVtUgc&amp;t=52s", "Go to time")</f>
        <v/>
      </c>
    </row>
    <row r="940">
      <c r="A940">
        <f>HYPERLINK("https://www.youtube.com/watch?v=4aQuOkVtUgc", "Video")</f>
        <v/>
      </c>
      <c r="B940" t="inlineStr">
        <is>
          <t>1:30</t>
        </is>
      </c>
      <c r="C940" t="inlineStr">
        <is>
          <t>the male development a little bit that</t>
        </is>
      </c>
      <c r="D940">
        <f>HYPERLINK("https://www.youtube.com/watch?v=4aQuOkVtUgc&amp;t=90s", "Go to time")</f>
        <v/>
      </c>
    </row>
    <row r="941">
      <c r="A941">
        <f>HYPERLINK("https://www.youtube.com/watch?v=4aQuOkVtUgc", "Video")</f>
        <v/>
      </c>
      <c r="B941" t="inlineStr">
        <is>
          <t>7:06</t>
        </is>
      </c>
      <c r="C941" t="inlineStr">
        <is>
          <t>they're still very strong prohibitions</t>
        </is>
      </c>
      <c r="D941">
        <f>HYPERLINK("https://www.youtube.com/watch?v=4aQuOkVtUgc&amp;t=426s", "Go to time")</f>
        <v/>
      </c>
    </row>
    <row r="942">
      <c r="A942">
        <f>HYPERLINK("https://www.youtube.com/watch?v=khO__hhB3Nk", "Video")</f>
        <v/>
      </c>
      <c r="B942" t="inlineStr">
        <is>
          <t>2:02</t>
        </is>
      </c>
      <c r="C942" t="inlineStr">
        <is>
          <t>tasks on autopilot. And these are called habits.
ZAK: The deep question I show do we change habits?</t>
        </is>
      </c>
      <c r="D942">
        <f>HYPERLINK("https://www.youtube.com/watch?v=khO__hhB3Nk&amp;t=122s", "Go to time")</f>
        <v/>
      </c>
    </row>
    <row r="943">
      <c r="A943">
        <f>HYPERLINK("https://www.youtube.com/watch?v=khO__hhB3Nk", "Video")</f>
        <v/>
      </c>
      <c r="B943" t="inlineStr">
        <is>
          <t>2:32</t>
        </is>
      </c>
      <c r="C943" t="inlineStr">
        <is>
          <t>and it's essential in helping develop new and 
better habits. One area people often experience</t>
        </is>
      </c>
      <c r="D943">
        <f>HYPERLINK("https://www.youtube.com/watch?v=khO__hhB3Nk&amp;t=152s", "Go to time")</f>
        <v/>
      </c>
    </row>
    <row r="944">
      <c r="A944">
        <f>HYPERLINK("https://www.youtube.com/watch?v=khO__hhB3Nk", "Video")</f>
        <v/>
      </c>
      <c r="B944" t="inlineStr">
        <is>
          <t>3:00</t>
        </is>
      </c>
      <c r="C944" t="inlineStr">
        <is>
          <t>but also able to change what their default 
behavior is. And we get in the habit</t>
        </is>
      </c>
      <c r="D944">
        <f>HYPERLINK("https://www.youtube.com/watch?v=khO__hhB3Nk&amp;t=180s", "Go to time")</f>
        <v/>
      </c>
    </row>
    <row r="945">
      <c r="A945">
        <f>HYPERLINK("https://www.youtube.com/watch?v=khO__hhB3Nk", "Video")</f>
        <v/>
      </c>
      <c r="B945" t="inlineStr">
        <is>
          <t>3:27</t>
        </is>
      </c>
      <c r="C945" t="inlineStr">
        <is>
          <t>incentives called prize-linked savings accounts 
to increase their users' savings habits.</t>
        </is>
      </c>
      <c r="D945">
        <f>HYPERLINK("https://www.youtube.com/watch?v=khO__hhB3Nk&amp;t=207s", "Go to time")</f>
        <v/>
      </c>
    </row>
    <row r="946">
      <c r="A946">
        <f>HYPERLINK("https://www.youtube.com/watch?v=khO__hhB3Nk", "Video")</f>
        <v/>
      </c>
      <c r="B946" t="inlineStr">
        <is>
          <t>4:47</t>
        </is>
      </c>
      <c r="C946" t="inlineStr">
        <is>
          <t>leads to better habits.
ZAK: Apps that focus on</t>
        </is>
      </c>
      <c r="D946">
        <f>HYPERLINK("https://www.youtube.com/watch?v=khO__hhB3Nk&amp;t=287s", "Go to time")</f>
        <v/>
      </c>
    </row>
    <row r="947">
      <c r="A947">
        <f>HYPERLINK("https://www.youtube.com/watch?v=hb0DM-M56wQ", "Video")</f>
        <v/>
      </c>
      <c r="B947" t="inlineStr">
        <is>
          <t>3:04</t>
        </is>
      </c>
      <c r="C947" t="inlineStr">
        <is>
          <t>are a little bit more accessible a</t>
        </is>
      </c>
      <c r="D947">
        <f>HYPERLINK("https://www.youtube.com/watch?v=hb0DM-M56wQ&amp;t=184s", "Go to time")</f>
        <v/>
      </c>
    </row>
    <row r="948">
      <c r="A948">
        <f>HYPERLINK("https://www.youtube.com/watch?v=hb0DM-M56wQ", "Video")</f>
        <v/>
      </c>
      <c r="B948" t="inlineStr">
        <is>
          <t>3:05</t>
        </is>
      </c>
      <c r="C948" t="inlineStr">
        <is>
          <t>little bit easier to wear clearly his</t>
        </is>
      </c>
      <c r="D948">
        <f>HYPERLINK("https://www.youtube.com/watch?v=hb0DM-M56wQ&amp;t=185s", "Go to time")</f>
        <v/>
      </c>
    </row>
    <row r="949">
      <c r="A949">
        <f>HYPERLINK("https://www.youtube.com/watch?v=hb0DM-M56wQ", "Video")</f>
        <v/>
      </c>
      <c r="B949" t="inlineStr">
        <is>
          <t>5:06</t>
        </is>
      </c>
      <c r="C949" t="inlineStr">
        <is>
          <t>little bit more care and not be lazy</t>
        </is>
      </c>
      <c r="D949">
        <f>HYPERLINK("https://www.youtube.com/watch?v=hb0DM-M56wQ&amp;t=306s", "Go to time")</f>
        <v/>
      </c>
    </row>
    <row r="950">
      <c r="A950">
        <f>HYPERLINK("https://www.youtube.com/watch?v=pfKJGI6EjvA", "Video")</f>
        <v/>
      </c>
      <c r="B950" t="inlineStr">
        <is>
          <t>1:57</t>
        </is>
      </c>
      <c r="C950" t="inlineStr">
        <is>
          <t>but there's also a little bit of uh</t>
        </is>
      </c>
      <c r="D950">
        <f>HYPERLINK("https://www.youtube.com/watch?v=pfKJGI6EjvA&amp;t=117s", "Go to time")</f>
        <v/>
      </c>
    </row>
    <row r="951">
      <c r="A951">
        <f>HYPERLINK("https://www.youtube.com/watch?v=Q-LA-7BLG6s", "Video")</f>
        <v/>
      </c>
      <c r="B951" t="inlineStr">
        <is>
          <t>1:47</t>
        </is>
      </c>
      <c r="C951" t="inlineStr">
        <is>
          <t>Service uh but it's it's a little bit</t>
        </is>
      </c>
      <c r="D951">
        <f>HYPERLINK("https://www.youtube.com/watch?v=Q-LA-7BLG6s&amp;t=107s", "Go to time")</f>
        <v/>
      </c>
    </row>
    <row r="952">
      <c r="A952">
        <f>HYPERLINK("https://www.youtube.com/watch?v=c7IydWt7Ojo", "Video")</f>
        <v/>
      </c>
      <c r="B952" t="inlineStr">
        <is>
          <t>3:44</t>
        </is>
      </c>
      <c r="C952" t="inlineStr">
        <is>
          <t>creating habits of physical activity you</t>
        </is>
      </c>
      <c r="D952">
        <f>HYPERLINK("https://www.youtube.com/watch?v=c7IydWt7Ojo&amp;t=224s", "Go to time")</f>
        <v/>
      </c>
    </row>
    <row r="953">
      <c r="A953">
        <f>HYPERLINK("https://www.youtube.com/watch?v=8DMJMRkQOVY", "Video")</f>
        <v/>
      </c>
      <c r="B953" t="inlineStr">
        <is>
          <t>4:09</t>
        </is>
      </c>
      <c r="C953" t="inlineStr">
        <is>
          <t>They've fallen a little bit,</t>
        </is>
      </c>
      <c r="D953">
        <f>HYPERLINK("https://www.youtube.com/watch?v=8DMJMRkQOVY&amp;t=249s", "Go to time")</f>
        <v/>
      </c>
    </row>
    <row r="954">
      <c r="A954">
        <f>HYPERLINK("https://www.youtube.com/watch?v=8DMJMRkQOVY", "Video")</f>
        <v/>
      </c>
      <c r="B954" t="inlineStr">
        <is>
          <t>5:06</t>
        </is>
      </c>
      <c r="C954" t="inlineStr">
        <is>
          <t>So offshoring is a bit
of this reduction story,</t>
        </is>
      </c>
      <c r="D954">
        <f>HYPERLINK("https://www.youtube.com/watch?v=8DMJMRkQOVY&amp;t=306s", "Go to time")</f>
        <v/>
      </c>
    </row>
    <row r="955">
      <c r="A955">
        <f>HYPERLINK("https://www.youtube.com/watch?v=8DMJMRkQOVY", "Video")</f>
        <v/>
      </c>
      <c r="B955" t="inlineStr">
        <is>
          <t>6:17</t>
        </is>
      </c>
      <c r="C955" t="inlineStr">
        <is>
          <t>I think it'll be incredibly ambitious</t>
        </is>
      </c>
      <c r="D955">
        <f>HYPERLINK("https://www.youtube.com/watch?v=8DMJMRkQOVY&amp;t=377s", "Go to time")</f>
        <v/>
      </c>
    </row>
    <row r="956">
      <c r="A956">
        <f>HYPERLINK("https://www.youtube.com/watch?v=8DMJMRkQOVY", "Video")</f>
        <v/>
      </c>
      <c r="B956" t="inlineStr">
        <is>
          <t>10:18</t>
        </is>
      </c>
      <c r="C956" t="inlineStr">
        <is>
          <t>of the world's habitable land for farming.</t>
        </is>
      </c>
      <c r="D956">
        <f>HYPERLINK("https://www.youtube.com/watch?v=8DMJMRkQOVY&amp;t=618s", "Go to time")</f>
        <v/>
      </c>
    </row>
    <row r="957">
      <c r="A957">
        <f>HYPERLINK("https://www.youtube.com/watch?v=8DMJMRkQOVY", "Video")</f>
        <v/>
      </c>
      <c r="B957" t="inlineStr">
        <is>
          <t>19:38</t>
        </is>
      </c>
      <c r="C957" t="inlineStr">
        <is>
          <t>which is habitable and
comfortable for humans to live in.</t>
        </is>
      </c>
      <c r="D957">
        <f>HYPERLINK("https://www.youtube.com/watch?v=8DMJMRkQOVY&amp;t=1178s", "Go to time")</f>
        <v/>
      </c>
    </row>
    <row r="958">
      <c r="A958">
        <f>HYPERLINK("https://www.youtube.com/watch?v=8DMJMRkQOVY", "Video")</f>
        <v/>
      </c>
      <c r="B958" t="inlineStr">
        <is>
          <t>37:10</t>
        </is>
      </c>
      <c r="C958" t="inlineStr">
        <is>
          <t>and bleeding into wild habitats.</t>
        </is>
      </c>
      <c r="D958">
        <f>HYPERLINK("https://www.youtube.com/watch?v=8DMJMRkQOVY&amp;t=2230s", "Go to time")</f>
        <v/>
      </c>
    </row>
    <row r="959">
      <c r="A959">
        <f>HYPERLINK("https://www.youtube.com/watch?v=8DMJMRkQOVY", "Video")</f>
        <v/>
      </c>
      <c r="B959" t="inlineStr">
        <is>
          <t>39:52</t>
        </is>
      </c>
      <c r="C959" t="inlineStr">
        <is>
          <t>or other wild habitat changes</t>
        </is>
      </c>
      <c r="D959">
        <f>HYPERLINK("https://www.youtube.com/watch?v=8DMJMRkQOVY&amp;t=2392s", "Go to time")</f>
        <v/>
      </c>
    </row>
    <row r="960">
      <c r="A960">
        <f>HYPERLINK("https://www.youtube.com/watch?v=8DMJMRkQOVY", "Video")</f>
        <v/>
      </c>
      <c r="B960" t="inlineStr">
        <is>
          <t>40:23</t>
        </is>
      </c>
      <c r="C960" t="inlineStr">
        <is>
          <t>and to some extent I'm a
little bit excited about,</t>
        </is>
      </c>
      <c r="D960">
        <f>HYPERLINK("https://www.youtube.com/watch?v=8DMJMRkQOVY&amp;t=2423s", "Go to time")</f>
        <v/>
      </c>
    </row>
    <row r="961">
      <c r="A961">
        <f>HYPERLINK("https://www.youtube.com/watch?v=8DMJMRkQOVY", "Video")</f>
        <v/>
      </c>
      <c r="B961" t="inlineStr">
        <is>
          <t>46:30</t>
        </is>
      </c>
      <c r="C961" t="inlineStr">
        <is>
          <t>of the animals, is a little bit better.</t>
        </is>
      </c>
      <c r="D961">
        <f>HYPERLINK("https://www.youtube.com/watch?v=8DMJMRkQOVY&amp;t=2790s", "Go to time")</f>
        <v/>
      </c>
    </row>
    <row r="962">
      <c r="A962">
        <f>HYPERLINK("https://www.youtube.com/watch?v=8DMJMRkQOVY", "Video")</f>
        <v/>
      </c>
      <c r="B962" t="inlineStr">
        <is>
          <t>46:55</t>
        </is>
      </c>
      <c r="C962" t="inlineStr">
        <is>
          <t>It's a little bit better than calories,</t>
        </is>
      </c>
      <c r="D962">
        <f>HYPERLINK("https://www.youtube.com/watch?v=8DMJMRkQOVY&amp;t=2815s", "Go to time")</f>
        <v/>
      </c>
    </row>
    <row r="963">
      <c r="A963">
        <f>HYPERLINK("https://www.youtube.com/watch?v=8DMJMRkQOVY", "Video")</f>
        <v/>
      </c>
      <c r="B963" t="inlineStr">
        <is>
          <t>47:11</t>
        </is>
      </c>
      <c r="C963" t="inlineStr">
        <is>
          <t>Chicken is a little bit better,</t>
        </is>
      </c>
      <c r="D963">
        <f>HYPERLINK("https://www.youtube.com/watch?v=8DMJMRkQOVY&amp;t=2831s", "Go to time")</f>
        <v/>
      </c>
    </row>
    <row r="964">
      <c r="A964">
        <f>HYPERLINK("https://www.youtube.com/watch?v=8DMJMRkQOVY", "Video")</f>
        <v/>
      </c>
      <c r="B964" t="inlineStr">
        <is>
          <t>52:11</t>
        </is>
      </c>
      <c r="C964" t="inlineStr">
        <is>
          <t>for the restoration of
wild habitats and forests.</t>
        </is>
      </c>
      <c r="D964">
        <f>HYPERLINK("https://www.youtube.com/watch?v=8DMJMRkQOVY&amp;t=3131s", "Go to time")</f>
        <v/>
      </c>
    </row>
    <row r="965">
      <c r="A965">
        <f>HYPERLINK("https://www.youtube.com/watch?v=8DMJMRkQOVY", "Video")</f>
        <v/>
      </c>
      <c r="B965" t="inlineStr">
        <is>
          <t>66:12</t>
        </is>
      </c>
      <c r="C965" t="inlineStr">
        <is>
          <t>one component, yes, is to
use a bit less plastic.</t>
        </is>
      </c>
      <c r="D965">
        <f>HYPERLINK("https://www.youtube.com/watch?v=8DMJMRkQOVY&amp;t=3972s", "Go to time")</f>
        <v/>
      </c>
    </row>
    <row r="966">
      <c r="A966">
        <f>HYPERLINK("https://www.youtube.com/watch?v=LWeDmcaTGWM", "Video")</f>
        <v/>
      </c>
      <c r="B966" t="inlineStr">
        <is>
          <t>2:14</t>
        </is>
      </c>
      <c r="C966" t="inlineStr">
        <is>
          <t>think a little bit more self-confidence</t>
        </is>
      </c>
      <c r="D966">
        <f>HYPERLINK("https://www.youtube.com/watch?v=LWeDmcaTGWM&amp;t=134s", "Go to time")</f>
        <v/>
      </c>
    </row>
    <row r="967">
      <c r="A967">
        <f>HYPERLINK("https://www.youtube.com/watch?v=dM8uWetOgZ8", "Video")</f>
        <v/>
      </c>
      <c r="B967" t="inlineStr">
        <is>
          <t>3:33</t>
        </is>
      </c>
      <c r="C967" t="inlineStr">
        <is>
          <t>New Yorkers save a little bit of money</t>
        </is>
      </c>
      <c r="D967">
        <f>HYPERLINK("https://www.youtube.com/watch?v=dM8uWetOgZ8&amp;t=213s", "Go to time")</f>
        <v/>
      </c>
    </row>
    <row r="968">
      <c r="A968">
        <f>HYPERLINK("https://www.youtube.com/watch?v=lMJq0_QE3-w", "Video")</f>
        <v/>
      </c>
      <c r="B968" t="inlineStr">
        <is>
          <t>1:07</t>
        </is>
      </c>
      <c r="C968" t="inlineStr">
        <is>
          <t>into suborbital space travel um and then</t>
        </is>
      </c>
      <c r="D968">
        <f>HYPERLINK("https://www.youtube.com/watch?v=lMJq0_QE3-w&amp;t=67s", "Go to time")</f>
        <v/>
      </c>
    </row>
    <row r="969">
      <c r="A969">
        <f>HYPERLINK("https://www.youtube.com/watch?v=lMJq0_QE3-w", "Video")</f>
        <v/>
      </c>
      <c r="B969" t="inlineStr">
        <is>
          <t>1:11</t>
        </is>
      </c>
      <c r="C969" t="inlineStr">
        <is>
          <t>from there we will go into orbital space</t>
        </is>
      </c>
      <c r="D969">
        <f>HYPERLINK("https://www.youtube.com/watch?v=lMJq0_QE3-w&amp;t=71s", "Go to time")</f>
        <v/>
      </c>
    </row>
    <row r="970">
      <c r="A970">
        <f>HYPERLINK("https://www.youtube.com/watch?v=AjgEC9uAyCI", "Video")</f>
        <v/>
      </c>
      <c r="B970" t="inlineStr">
        <is>
          <t>1:33</t>
        </is>
      </c>
      <c r="C970" t="inlineStr">
        <is>
          <t>bit more urban and it lasts a lot longer</t>
        </is>
      </c>
      <c r="D970">
        <f>HYPERLINK("https://www.youtube.com/watch?v=AjgEC9uAyCI&amp;t=93s", "Go to time")</f>
        <v/>
      </c>
    </row>
    <row r="971">
      <c r="A971">
        <f>HYPERLINK("https://www.youtube.com/watch?v=lJLLHMiMrcU", "Video")</f>
        <v/>
      </c>
      <c r="B971" t="inlineStr">
        <is>
          <t>0:58</t>
        </is>
      </c>
      <c r="C971" t="inlineStr">
        <is>
          <t>that operates on the Ambitions of</t>
        </is>
      </c>
      <c r="D971">
        <f>HYPERLINK("https://www.youtube.com/watch?v=lJLLHMiMrcU&amp;t=58s", "Go to time")</f>
        <v/>
      </c>
    </row>
    <row r="972">
      <c r="A972">
        <f>HYPERLINK("https://www.youtube.com/watch?v=WQaHVm6dp14", "Video")</f>
        <v/>
      </c>
      <c r="B972" t="inlineStr">
        <is>
          <t>0:04</t>
        </is>
      </c>
      <c r="C972" t="inlineStr">
        <is>
          <t>I've gotten quite a bit of email.</t>
        </is>
      </c>
      <c r="D972">
        <f>HYPERLINK("https://www.youtube.com/watch?v=WQaHVm6dp14&amp;t=4s", "Go to time")</f>
        <v/>
      </c>
    </row>
    <row r="973">
      <c r="A973">
        <f>HYPERLINK("https://www.youtube.com/watch?v=Md8FWklq2XQ", "Video")</f>
        <v/>
      </c>
      <c r="B973" t="inlineStr">
        <is>
          <t>0:27</t>
        </is>
      </c>
      <c r="C973" t="inlineStr">
        <is>
          <t>bit false that had some madeup names and</t>
        </is>
      </c>
      <c r="D973">
        <f>HYPERLINK("https://www.youtube.com/watch?v=Md8FWklq2XQ&amp;t=27s", "Go to time")</f>
        <v/>
      </c>
    </row>
    <row r="974">
      <c r="A974">
        <f>HYPERLINK("https://www.youtube.com/watch?v=h15-GaBclr4", "Video")</f>
        <v/>
      </c>
      <c r="B974" t="inlineStr">
        <is>
          <t>0:58</t>
        </is>
      </c>
      <c r="C974" t="inlineStr">
        <is>
          <t>little bit of investment but in houses</t>
        </is>
      </c>
      <c r="D974">
        <f>HYPERLINK("https://www.youtube.com/watch?v=h15-GaBclr4&amp;t=58s", "Go to time")</f>
        <v/>
      </c>
    </row>
    <row r="975">
      <c r="A975">
        <f>HYPERLINK("https://www.youtube.com/watch?v=KDcNVZjaNSU", "Video")</f>
        <v/>
      </c>
      <c r="B975" t="inlineStr">
        <is>
          <t>6:10</t>
        </is>
      </c>
      <c r="C975" t="inlineStr">
        <is>
          <t>What that means is that the operations that
happen in that universe can delete bits.</t>
        </is>
      </c>
      <c r="D975">
        <f>HYPERLINK("https://www.youtube.com/watch?v=KDcNVZjaNSU&amp;t=370s", "Go to time")</f>
        <v/>
      </c>
    </row>
    <row r="976">
      <c r="A976">
        <f>HYPERLINK("https://www.youtube.com/watch?v=KDcNVZjaNSU", "Video")</f>
        <v/>
      </c>
      <c r="B976" t="inlineStr">
        <is>
          <t>6:25</t>
        </is>
      </c>
      <c r="C976" t="inlineStr">
        <is>
          <t>our universe seems to be reversible and this
means we cannot really delete bits.</t>
        </is>
      </c>
      <c r="D976">
        <f>HYPERLINK("https://www.youtube.com/watch?v=KDcNVZjaNSU&amp;t=385s", "Go to time")</f>
        <v/>
      </c>
    </row>
    <row r="977">
      <c r="A977">
        <f>HYPERLINK("https://www.youtube.com/watch?v=KDcNVZjaNSU", "Video")</f>
        <v/>
      </c>
      <c r="B977" t="inlineStr">
        <is>
          <t>6:32</t>
        </is>
      </c>
      <c r="C977" t="inlineStr">
        <is>
          <t>If we cannot delete bits it means that everything
that we like is irreversible.</t>
        </is>
      </c>
      <c r="D977">
        <f>HYPERLINK("https://www.youtube.com/watch?v=KDcNVZjaNSU&amp;t=392s", "Go to time")</f>
        <v/>
      </c>
    </row>
    <row r="978">
      <c r="A978">
        <f>HYPERLINK("https://www.youtube.com/watch?v=KDcNVZjaNSU", "Video")</f>
        <v/>
      </c>
      <c r="B978" t="inlineStr">
        <is>
          <t>6:42</t>
        </is>
      </c>
      <c r="C978" t="inlineStr">
        <is>
          <t>It means that you have to delete bits in some
sense.</t>
        </is>
      </c>
      <c r="D978">
        <f>HYPERLINK("https://www.youtube.com/watch?v=KDcNVZjaNSU&amp;t=402s", "Go to time")</f>
        <v/>
      </c>
    </row>
    <row r="979">
      <c r="A979">
        <f>HYPERLINK("https://www.youtube.com/watch?v=KDcNVZjaNSU", "Video")</f>
        <v/>
      </c>
      <c r="B979" t="inlineStr">
        <is>
          <t>6:53</t>
        </is>
      </c>
      <c r="C979" t="inlineStr">
        <is>
          <t>They all need to delete bits to keep their
structure stable against the onslaught of</t>
        </is>
      </c>
      <c r="D979">
        <f>HYPERLINK("https://www.youtube.com/watch?v=KDcNVZjaNSU&amp;t=413s", "Go to time")</f>
        <v/>
      </c>
    </row>
    <row r="980">
      <c r="A980">
        <f>HYPERLINK("https://www.youtube.com/watch?v=KDcNVZjaNSU", "Video")</f>
        <v/>
      </c>
      <c r="B980" t="inlineStr">
        <is>
          <t>7:02</t>
        </is>
      </c>
      <c r="C980" t="inlineStr">
        <is>
          <t>So in some sense you get waste bits; you need
to throw these bits out of your system and</t>
        </is>
      </c>
      <c r="D980">
        <f>HYPERLINK("https://www.youtube.com/watch?v=KDcNVZjaNSU&amp;t=422s", "Go to time")</f>
        <v/>
      </c>
    </row>
    <row r="981">
      <c r="A981">
        <f>HYPERLINK("https://www.youtube.com/watch?v=KDcNVZjaNSU", "Video")</f>
        <v/>
      </c>
      <c r="B981" t="inlineStr">
        <is>
          <t>7:08</t>
        </is>
      </c>
      <c r="C981" t="inlineStr">
        <is>
          <t>this is what we as observers perceive as increasing
entropy, these waste bits.</t>
        </is>
      </c>
      <c r="D981">
        <f>HYPERLINK("https://www.youtube.com/watch?v=KDcNVZjaNSU&amp;t=428s", "Go to time")</f>
        <v/>
      </c>
    </row>
    <row r="982">
      <c r="A982">
        <f>HYPERLINK("https://www.youtube.com/watch?v=KDcNVZjaNSU", "Video")</f>
        <v/>
      </c>
      <c r="B982" t="inlineStr">
        <is>
          <t>7:20</t>
        </is>
      </c>
      <c r="C982" t="inlineStr">
        <is>
          <t>That's because you don't have entropies in
Minecraft; Minecraft can delete bits, it can</t>
        </is>
      </c>
      <c r="D982">
        <f>HYPERLINK("https://www.youtube.com/watch?v=KDcNVZjaNSU&amp;t=440s", "Go to time")</f>
        <v/>
      </c>
    </row>
    <row r="983">
      <c r="A983">
        <f>HYPERLINK("https://www.youtube.com/watch?v=oaZ40EE3arI", "Video")</f>
        <v/>
      </c>
      <c r="B983" t="inlineStr">
        <is>
          <t>1:17</t>
        </is>
      </c>
      <c r="C983" t="inlineStr">
        <is>
          <t>started to solidify. I was I was a bit</t>
        </is>
      </c>
      <c r="D983">
        <f>HYPERLINK("https://www.youtube.com/watch?v=oaZ40EE3arI&amp;t=77s", "Go to time")</f>
        <v/>
      </c>
    </row>
    <row r="984">
      <c r="A984">
        <f>HYPERLINK("https://www.youtube.com/watch?v=uQ_qiqeD1Uo", "Video")</f>
        <v/>
      </c>
      <c r="B984" t="inlineStr">
        <is>
          <t>1:31</t>
        </is>
      </c>
      <c r="C984" t="inlineStr">
        <is>
          <t>I'm waving my hands a bit here because</t>
        </is>
      </c>
      <c r="D984">
        <f>HYPERLINK("https://www.youtube.com/watch?v=uQ_qiqeD1Uo&amp;t=91s", "Go to time")</f>
        <v/>
      </c>
    </row>
    <row r="985">
      <c r="A985">
        <f>HYPERLINK("https://www.youtube.com/watch?v=uQ_qiqeD1Uo", "Video")</f>
        <v/>
      </c>
      <c r="B985" t="inlineStr">
        <is>
          <t>1:39</t>
        </is>
      </c>
      <c r="C985" t="inlineStr">
        <is>
          <t>bit unusual in that way in that it does</t>
        </is>
      </c>
      <c r="D985">
        <f>HYPERLINK("https://www.youtube.com/watch?v=uQ_qiqeD1Uo&amp;t=99s", "Go to time")</f>
        <v/>
      </c>
    </row>
    <row r="986">
      <c r="A986">
        <f>HYPERLINK("https://www.youtube.com/watch?v=3b5ZxVo_5II", "Video")</f>
        <v/>
      </c>
      <c r="B986" t="inlineStr">
        <is>
          <t>1:17</t>
        </is>
      </c>
      <c r="C986" t="inlineStr">
        <is>
          <t>inhabiting it in this really intense and</t>
        </is>
      </c>
      <c r="D986">
        <f>HYPERLINK("https://www.youtube.com/watch?v=3b5ZxVo_5II&amp;t=77s", "Go to time")</f>
        <v/>
      </c>
    </row>
    <row r="987">
      <c r="A987">
        <f>HYPERLINK("https://www.youtube.com/watch?v=3b5ZxVo_5II", "Video")</f>
        <v/>
      </c>
      <c r="B987" t="inlineStr">
        <is>
          <t>3:43</t>
        </is>
      </c>
      <c r="C987" t="inlineStr">
        <is>
          <t>a little bit of power what happens if</t>
        </is>
      </c>
      <c r="D987">
        <f>HYPERLINK("https://www.youtube.com/watch?v=3b5ZxVo_5II&amp;t=223s", "Go to time")</f>
        <v/>
      </c>
    </row>
    <row r="988">
      <c r="A988">
        <f>HYPERLINK("https://www.youtube.com/watch?v=mRMswg0q9x0", "Video")</f>
        <v/>
      </c>
      <c r="B988" t="inlineStr">
        <is>
          <t>1:45</t>
        </is>
      </c>
      <c r="C988" t="inlineStr">
        <is>
          <t>It made a bit of news and when I went to the
nightclub that night, the Manager met me at</t>
        </is>
      </c>
      <c r="D988">
        <f>HYPERLINK("https://www.youtube.com/watch?v=mRMswg0q9x0&amp;t=105s", "Go to time")</f>
        <v/>
      </c>
    </row>
    <row r="989">
      <c r="A989">
        <f>HYPERLINK("https://www.youtube.com/watch?v=mRMswg0q9x0", "Video")</f>
        <v/>
      </c>
      <c r="B989" t="inlineStr">
        <is>
          <t>4:07</t>
        </is>
      </c>
      <c r="C989" t="inlineStr">
        <is>
          <t>I was really doing this kind of a thing and
had to take every bit of oxygen I could possible</t>
        </is>
      </c>
      <c r="D989">
        <f>HYPERLINK("https://www.youtube.com/watch?v=mRMswg0q9x0&amp;t=247s", "Go to time")</f>
        <v/>
      </c>
    </row>
    <row r="990">
      <c r="A990">
        <f>HYPERLINK("https://www.youtube.com/watch?v=PoWUhovhT5U", "Video")</f>
        <v/>
      </c>
      <c r="B990" t="inlineStr">
        <is>
          <t>2:35</t>
        </is>
      </c>
      <c r="C990" t="inlineStr">
        <is>
          <t>and again exhibit a of this is uh Banny</t>
        </is>
      </c>
      <c r="D990">
        <f>HYPERLINK("https://www.youtube.com/watch?v=PoWUhovhT5U&amp;t=155s", "Go to time")</f>
        <v/>
      </c>
    </row>
    <row r="991">
      <c r="A991">
        <f>HYPERLINK("https://www.youtube.com/watch?v=4xSkkDTA0qI", "Video")</f>
        <v/>
      </c>
      <c r="B991" t="inlineStr">
        <is>
          <t>2:04</t>
        </is>
      </c>
      <c r="C991" t="inlineStr">
        <is>
          <t>and if they had a little bit of visual</t>
        </is>
      </c>
      <c r="D991">
        <f>HYPERLINK("https://www.youtube.com/watch?v=4xSkkDTA0qI&amp;t=124s", "Go to time")</f>
        <v/>
      </c>
    </row>
    <row r="992">
      <c r="A992">
        <f>HYPERLINK("https://www.youtube.com/watch?v=4xSkkDTA0qI", "Video")</f>
        <v/>
      </c>
      <c r="B992" t="inlineStr">
        <is>
          <t>2:10</t>
        </is>
      </c>
      <c r="C992" t="inlineStr">
        <is>
          <t>then put a little bit of text to create</t>
        </is>
      </c>
      <c r="D992">
        <f>HYPERLINK("https://www.youtube.com/watch?v=4xSkkDTA0qI&amp;t=130s", "Go to time")</f>
        <v/>
      </c>
    </row>
    <row r="993">
      <c r="A993">
        <f>HYPERLINK("https://www.youtube.com/watch?v=4xSkkDTA0qI", "Video")</f>
        <v/>
      </c>
      <c r="B993" t="inlineStr">
        <is>
          <t>8:27</t>
        </is>
      </c>
      <c r="C993" t="inlineStr">
        <is>
          <t>the people a little bit and what they're</t>
        </is>
      </c>
      <c r="D993">
        <f>HYPERLINK("https://www.youtube.com/watch?v=4xSkkDTA0qI&amp;t=507s", "Go to time")</f>
        <v/>
      </c>
    </row>
    <row r="994">
      <c r="A994">
        <f>HYPERLINK("https://www.youtube.com/watch?v=4xSkkDTA0qI", "Video")</f>
        <v/>
      </c>
      <c r="B994" t="inlineStr">
        <is>
          <t>8:51</t>
        </is>
      </c>
      <c r="C994" t="inlineStr">
        <is>
          <t>bit you realize that all the girls are</t>
        </is>
      </c>
      <c r="D994">
        <f>HYPERLINK("https://www.youtube.com/watch?v=4xSkkDTA0qI&amp;t=531s", "Go to time")</f>
        <v/>
      </c>
    </row>
    <row r="995">
      <c r="A995">
        <f>HYPERLINK("https://www.youtube.com/watch?v=4xSkkDTA0qI", "Video")</f>
        <v/>
      </c>
      <c r="B995" t="inlineStr">
        <is>
          <t>9:05</t>
        </is>
      </c>
      <c r="C995" t="inlineStr">
        <is>
          <t>perception of it a little bit so Milan</t>
        </is>
      </c>
      <c r="D995">
        <f>HYPERLINK("https://www.youtube.com/watch?v=4xSkkDTA0qI&amp;t=545s", "Go to time")</f>
        <v/>
      </c>
    </row>
    <row r="996">
      <c r="A996">
        <f>HYPERLINK("https://www.youtube.com/watch?v=iFD0hPR-HLI", "Video")</f>
        <v/>
      </c>
      <c r="B996" t="inlineStr">
        <is>
          <t>1:15</t>
        </is>
      </c>
      <c r="C996" t="inlineStr">
        <is>
          <t>little bit</t>
        </is>
      </c>
      <c r="D996">
        <f>HYPERLINK("https://www.youtube.com/watch?v=iFD0hPR-HLI&amp;t=75s", "Go to time")</f>
        <v/>
      </c>
    </row>
    <row r="997">
      <c r="A997">
        <f>HYPERLINK("https://www.youtube.com/watch?v=exvUH2qKLTU", "Video")</f>
        <v/>
      </c>
      <c r="B997" t="inlineStr">
        <is>
          <t>0:21</t>
        </is>
      </c>
      <c r="C997" t="inlineStr">
        <is>
          <t>really of overcoming bitterness, hatred, resentment,
vengefulness and so forth.</t>
        </is>
      </c>
      <c r="D997">
        <f>HYPERLINK("https://www.youtube.com/watch?v=exvUH2qKLTU&amp;t=21s", "Go to time")</f>
        <v/>
      </c>
    </row>
    <row r="998">
      <c r="A998">
        <f>HYPERLINK("https://www.youtube.com/watch?v=exvUH2qKLTU", "Video")</f>
        <v/>
      </c>
      <c r="B998" t="inlineStr">
        <is>
          <t>2:09</t>
        </is>
      </c>
      <c r="C998" t="inlineStr">
        <is>
          <t>Then Martin Luther King said, "No, it's too
bitter a burden to bear hatred and resentment.</t>
        </is>
      </c>
      <c r="D998">
        <f>HYPERLINK("https://www.youtube.com/watch?v=exvUH2qKLTU&amp;t=129s", "Go to time")</f>
        <v/>
      </c>
    </row>
    <row r="999">
      <c r="A999">
        <f>HYPERLINK("https://www.youtube.com/watch?v=kZlFytzRpEE", "Video")</f>
        <v/>
      </c>
      <c r="B999" t="inlineStr">
        <is>
          <t>0:24</t>
        </is>
      </c>
      <c r="C999" t="inlineStr">
        <is>
          <t>little bit of Revenue these days uh and</t>
        </is>
      </c>
      <c r="D999">
        <f>HYPERLINK("https://www.youtube.com/watch?v=kZlFytzRpEE&amp;t=24s", "Go to time")</f>
        <v/>
      </c>
    </row>
    <row r="1000">
      <c r="A1000">
        <f>HYPERLINK("https://www.youtube.com/watch?v=kZlFytzRpEE", "Video")</f>
        <v/>
      </c>
      <c r="B1000" t="inlineStr">
        <is>
          <t>0:36</t>
        </is>
      </c>
      <c r="C1000" t="inlineStr">
        <is>
          <t>effects of prohibition which is really</t>
        </is>
      </c>
      <c r="D1000">
        <f>HYPERLINK("https://www.youtube.com/watch?v=kZlFytzRpEE&amp;t=36s", "Go to time")</f>
        <v/>
      </c>
    </row>
    <row r="1001">
      <c r="A1001">
        <f>HYPERLINK("https://www.youtube.com/watch?v=kZlFytzRpEE", "Video")</f>
        <v/>
      </c>
      <c r="B1001" t="inlineStr">
        <is>
          <t>0:38</t>
        </is>
      </c>
      <c r="C1001" t="inlineStr">
        <is>
          <t>what it is I mean it is prohibition uh</t>
        </is>
      </c>
      <c r="D1001">
        <f>HYPERLINK("https://www.youtube.com/watch?v=kZlFytzRpEE&amp;t=38s", "Go to time")</f>
        <v/>
      </c>
    </row>
    <row r="1002">
      <c r="A1002">
        <f>HYPERLINK("https://www.youtube.com/watch?v=9W7ObKyJ22Q", "Video")</f>
        <v/>
      </c>
      <c r="B1002" t="inlineStr">
        <is>
          <t>1:25</t>
        </is>
      </c>
      <c r="C1002" t="inlineStr">
        <is>
          <t>I think that could actually force politicians
to think a little bit more long term.</t>
        </is>
      </c>
      <c r="D1002">
        <f>HYPERLINK("https://www.youtube.com/watch?v=9W7ObKyJ22Q&amp;t=85s", "Go to time")</f>
        <v/>
      </c>
    </row>
    <row r="1003">
      <c r="A1003">
        <f>HYPERLINK("https://www.youtube.com/watch?v=-d1q02_aFEI", "Video")</f>
        <v/>
      </c>
      <c r="B1003" t="inlineStr">
        <is>
          <t>5:21</t>
        </is>
      </c>
      <c r="C1003" t="inlineStr">
        <is>
          <t>bit more time and do some more analysis</t>
        </is>
      </c>
      <c r="D1003">
        <f>HYPERLINK("https://www.youtube.com/watch?v=-d1q02_aFEI&amp;t=321s", "Go to time")</f>
        <v/>
      </c>
    </row>
    <row r="1004">
      <c r="A1004">
        <f>HYPERLINK("https://www.youtube.com/watch?v=-d1q02_aFEI", "Video")</f>
        <v/>
      </c>
      <c r="B1004" t="inlineStr">
        <is>
          <t>5:49</t>
        </is>
      </c>
      <c r="C1004" t="inlineStr">
        <is>
          <t>go home do a little bit of research and</t>
        </is>
      </c>
      <c r="D1004">
        <f>HYPERLINK("https://www.youtube.com/watch?v=-d1q02_aFEI&amp;t=349s", "Go to time")</f>
        <v/>
      </c>
    </row>
    <row r="1005">
      <c r="A1005">
        <f>HYPERLINK("https://www.youtube.com/watch?v=LqSe8fENDt0", "Video")</f>
        <v/>
      </c>
      <c r="B1005" t="inlineStr">
        <is>
          <t>0:43</t>
        </is>
      </c>
      <c r="C1005" t="inlineStr">
        <is>
          <t>smart uh a little bit defensive when you</t>
        </is>
      </c>
      <c r="D1005">
        <f>HYPERLINK("https://www.youtube.com/watch?v=LqSe8fENDt0&amp;t=43s", "Go to time")</f>
        <v/>
      </c>
    </row>
    <row r="1006">
      <c r="A1006">
        <f>HYPERLINK("https://www.youtube.com/watch?v=yMn7xxRnhhE", "Video")</f>
        <v/>
      </c>
      <c r="B1006" t="inlineStr">
        <is>
          <t>2:01</t>
        </is>
      </c>
      <c r="C1006" t="inlineStr">
        <is>
          <t>is a bit problematic</t>
        </is>
      </c>
      <c r="D1006">
        <f>HYPERLINK("https://www.youtube.com/watch?v=yMn7xxRnhhE&amp;t=121s", "Go to time")</f>
        <v/>
      </c>
    </row>
    <row r="1007">
      <c r="A1007">
        <f>HYPERLINK("https://www.youtube.com/watch?v=yMn7xxRnhhE", "Video")</f>
        <v/>
      </c>
      <c r="B1007" t="inlineStr">
        <is>
          <t>3:50</t>
        </is>
      </c>
      <c r="C1007" t="inlineStr">
        <is>
          <t>These days, it gets a
bit more complicated,</t>
        </is>
      </c>
      <c r="D1007">
        <f>HYPERLINK("https://www.youtube.com/watch?v=yMn7xxRnhhE&amp;t=230s", "Go to time")</f>
        <v/>
      </c>
    </row>
    <row r="1008">
      <c r="A1008">
        <f>HYPERLINK("https://www.youtube.com/watch?v=G04itkSQP1g", "Video")</f>
        <v/>
      </c>
      <c r="B1008" t="inlineStr">
        <is>
          <t>1:03</t>
        </is>
      </c>
      <c r="C1008" t="inlineStr">
        <is>
          <t>vodka-infused and bacon-infused, Coca Pebbles,
like, it’s getting a bit nuts.</t>
        </is>
      </c>
      <c r="D1008">
        <f>HYPERLINK("https://www.youtube.com/watch?v=G04itkSQP1g&amp;t=63s", "Go to time")</f>
        <v/>
      </c>
    </row>
    <row r="1009">
      <c r="A1009">
        <f>HYPERLINK("https://www.youtube.com/watch?v=G04itkSQP1g", "Video")</f>
        <v/>
      </c>
      <c r="B1009" t="inlineStr">
        <is>
          <t>3:26</t>
        </is>
      </c>
      <c r="C1009" t="inlineStr">
        <is>
          <t>So what else can you build beyond the raw
thing, beyond the bits that you publish?</t>
        </is>
      </c>
      <c r="D1009">
        <f>HYPERLINK("https://www.youtube.com/watch?v=G04itkSQP1g&amp;t=206s", "Go to time")</f>
        <v/>
      </c>
    </row>
    <row r="1010">
      <c r="A1010">
        <f>HYPERLINK("https://www.youtube.com/watch?v=AK0GYBTNx5Q", "Video")</f>
        <v/>
      </c>
      <c r="B1010" t="inlineStr">
        <is>
          <t>0:15</t>
        </is>
      </c>
      <c r="C1010" t="inlineStr">
        <is>
          <t>to over bitter food.</t>
        </is>
      </c>
      <c r="D1010">
        <f>HYPERLINK("https://www.youtube.com/watch?v=AK0GYBTNx5Q&amp;t=15s", "Go to time")</f>
        <v/>
      </c>
    </row>
    <row r="1011">
      <c r="A1011">
        <f>HYPERLINK("https://www.youtube.com/watch?v=SuZsDL_ks0E", "Video")</f>
        <v/>
      </c>
      <c r="B1011" t="inlineStr">
        <is>
          <t>4:38</t>
        </is>
      </c>
      <c r="C1011" t="inlineStr">
        <is>
          <t>and you cut it arbitrarily then you will</t>
        </is>
      </c>
      <c r="D1011">
        <f>HYPERLINK("https://www.youtube.com/watch?v=SuZsDL_ks0E&amp;t=278s", "Go to time")</f>
        <v/>
      </c>
    </row>
    <row r="1012">
      <c r="A1012">
        <f>HYPERLINK("https://www.youtube.com/watch?v=PMz5Bb3gvoU", "Video")</f>
        <v/>
      </c>
      <c r="B1012" t="inlineStr">
        <is>
          <t>1:27</t>
        </is>
      </c>
      <c r="C1012" t="inlineStr">
        <is>
          <t>billion range might even be a little bit</t>
        </is>
      </c>
      <c r="D1012">
        <f>HYPERLINK("https://www.youtube.com/watch?v=PMz5Bb3gvoU&amp;t=87s", "Go to time")</f>
        <v/>
      </c>
    </row>
    <row r="1013">
      <c r="A1013">
        <f>HYPERLINK("https://www.youtube.com/watch?v=53XVw1yiRWU", "Video")</f>
        <v/>
      </c>
      <c r="B1013" t="inlineStr">
        <is>
          <t>3:32</t>
        </is>
      </c>
      <c r="C1013" t="inlineStr">
        <is>
          <t>Cardinal Del Monte who's a bit of an</t>
        </is>
      </c>
      <c r="D1013">
        <f>HYPERLINK("https://www.youtube.com/watch?v=53XVw1yiRWU&amp;t=212s", "Go to time")</f>
        <v/>
      </c>
    </row>
    <row r="1014">
      <c r="A1014">
        <f>HYPERLINK("https://www.youtube.com/watch?v=hriKvIN20Vw", "Video")</f>
        <v/>
      </c>
      <c r="B1014" t="inlineStr">
        <is>
          <t>10:58</t>
        </is>
      </c>
      <c r="C1014" t="inlineStr">
        <is>
          <t>nuts over guy who exhibited it and this</t>
        </is>
      </c>
      <c r="D1014">
        <f>HYPERLINK("https://www.youtube.com/watch?v=hriKvIN20Vw&amp;t=658s", "Go to time")</f>
        <v/>
      </c>
    </row>
    <row r="1015">
      <c r="A1015">
        <f>HYPERLINK("https://www.youtube.com/watch?v=rx2ObIx3wyA", "Video")</f>
        <v/>
      </c>
      <c r="B1015" t="inlineStr">
        <is>
          <t>1:14</t>
        </is>
      </c>
      <c r="C1015" t="inlineStr">
        <is>
          <t>little bit more pleasurable. But it it's</t>
        </is>
      </c>
      <c r="D1015">
        <f>HYPERLINK("https://www.youtube.com/watch?v=rx2ObIx3wyA&amp;t=74s", "Go to time")</f>
        <v/>
      </c>
    </row>
    <row r="1016">
      <c r="A1016">
        <f>HYPERLINK("https://www.youtube.com/watch?v=GnCS_TGYZPA", "Video")</f>
        <v/>
      </c>
      <c r="B1016" t="inlineStr">
        <is>
          <t>5:53</t>
        </is>
      </c>
      <c r="C1016" t="inlineStr">
        <is>
          <t>inhibitors, such as Prozac and all the other
drugs in this category.</t>
        </is>
      </c>
      <c r="D1016">
        <f>HYPERLINK("https://www.youtube.com/watch?v=GnCS_TGYZPA&amp;t=353s", "Go to time")</f>
        <v/>
      </c>
    </row>
    <row r="1017">
      <c r="A1017">
        <f>HYPERLINK("https://www.youtube.com/watch?v=GnCS_TGYZPA", "Video")</f>
        <v/>
      </c>
      <c r="B1017" t="inlineStr">
        <is>
          <t>8:37</t>
        </is>
      </c>
      <c r="C1017" t="inlineStr">
        <is>
          <t>And you've made it a little bit more like
the Mediterranean diet.</t>
        </is>
      </c>
      <c r="D1017">
        <f>HYPERLINK("https://www.youtube.com/watch?v=GnCS_TGYZPA&amp;t=517s", "Go to time")</f>
        <v/>
      </c>
    </row>
    <row r="1018">
      <c r="A1018">
        <f>HYPERLINK("https://www.youtube.com/watch?v=GnCS_TGYZPA", "Video")</f>
        <v/>
      </c>
      <c r="B1018" t="inlineStr">
        <is>
          <t>8:59</t>
        </is>
      </c>
      <c r="C1018" t="inlineStr">
        <is>
          <t>All those Tapas with little anchovies and
a little bit of squid, and a little bit of</t>
        </is>
      </c>
      <c r="D1018">
        <f>HYPERLINK("https://www.youtube.com/watch?v=GnCS_TGYZPA&amp;t=539s", "Go to time")</f>
        <v/>
      </c>
    </row>
    <row r="1019">
      <c r="A1019">
        <f>HYPERLINK("https://www.youtube.com/watch?v=GnCS_TGYZPA", "Video")</f>
        <v/>
      </c>
      <c r="B1019" t="inlineStr">
        <is>
          <t>14:12</t>
        </is>
      </c>
      <c r="C1019" t="inlineStr">
        <is>
          <t>And you can almost, it's not denial, it's
real and it's valid, but you're a little bit</t>
        </is>
      </c>
      <c r="D1019">
        <f>HYPERLINK("https://www.youtube.com/watch?v=GnCS_TGYZPA&amp;t=852s", "Go to time")</f>
        <v/>
      </c>
    </row>
    <row r="1020">
      <c r="A1020">
        <f>HYPERLINK("https://www.youtube.com/watch?v=GnCS_TGYZPA", "Video")</f>
        <v/>
      </c>
      <c r="B1020" t="inlineStr">
        <is>
          <t>18:42</t>
        </is>
      </c>
      <c r="C1020" t="inlineStr">
        <is>
          <t>Whatever it may be, you can develop a habit
of not letting those thoughts take you over</t>
        </is>
      </c>
      <c r="D1020">
        <f>HYPERLINK("https://www.youtube.com/watch?v=GnCS_TGYZPA&amp;t=1122s", "Go to time")</f>
        <v/>
      </c>
    </row>
    <row r="1021">
      <c r="A1021">
        <f>HYPERLINK("https://www.youtube.com/watch?v=GnCS_TGYZPA", "Video")</f>
        <v/>
      </c>
      <c r="B1021" t="inlineStr">
        <is>
          <t>22:34</t>
        </is>
      </c>
      <c r="C1021" t="inlineStr">
        <is>
          <t>But the good news is you can unwire them and
create new habits and give yourself a more</t>
        </is>
      </c>
      <c r="D1021">
        <f>HYPERLINK("https://www.youtube.com/watch?v=GnCS_TGYZPA&amp;t=1354s", "Go to time")</f>
        <v/>
      </c>
    </row>
    <row r="1022">
      <c r="A1022">
        <f>HYPERLINK("https://www.youtube.com/watch?v=6Xe3-MIgYcA", "Video")</f>
        <v/>
      </c>
      <c r="B1022" t="inlineStr">
        <is>
          <t>0:28</t>
        </is>
      </c>
      <c r="C1022" t="inlineStr">
        <is>
          <t>ambitious for his children and was a</t>
        </is>
      </c>
      <c r="D1022">
        <f>HYPERLINK("https://www.youtube.com/watch?v=6Xe3-MIgYcA&amp;t=28s", "Go to time")</f>
        <v/>
      </c>
    </row>
    <row r="1023">
      <c r="A1023">
        <f>HYPERLINK("https://www.youtube.com/watch?v=jI4HtPshLkk", "Video")</f>
        <v/>
      </c>
      <c r="B1023" t="inlineStr">
        <is>
          <t>0:39</t>
        </is>
      </c>
      <c r="C1023" t="inlineStr">
        <is>
          <t>habit of making fun of just about</t>
        </is>
      </c>
      <c r="D1023">
        <f>HYPERLINK("https://www.youtube.com/watch?v=jI4HtPshLkk&amp;t=39s", "Go to time")</f>
        <v/>
      </c>
    </row>
    <row r="1024">
      <c r="A1024">
        <f>HYPERLINK("https://www.youtube.com/watch?v=UzInAWq1xd8", "Video")</f>
        <v/>
      </c>
      <c r="B1024" t="inlineStr">
        <is>
          <t>35:08</t>
        </is>
      </c>
      <c r="C1024" t="inlineStr">
        <is>
          <t>um for me was a bit of a a bit of a</t>
        </is>
      </c>
      <c r="D1024">
        <f>HYPERLINK("https://www.youtube.com/watch?v=UzInAWq1xd8&amp;t=2108s", "Go to time")</f>
        <v/>
      </c>
    </row>
    <row r="1025">
      <c r="A1025">
        <f>HYPERLINK("https://www.youtube.com/watch?v=UkA7dML785o", "Video")</f>
        <v/>
      </c>
      <c r="B1025" t="inlineStr">
        <is>
          <t>3:43</t>
        </is>
      </c>
      <c r="C1025" t="inlineStr">
        <is>
          <t>of essentially uninhabited</t>
        </is>
      </c>
      <c r="D1025">
        <f>HYPERLINK("https://www.youtube.com/watch?v=UkA7dML785o&amp;t=223s", "Go to time")</f>
        <v/>
      </c>
    </row>
    <row r="1026">
      <c r="A1026">
        <f>HYPERLINK("https://www.youtube.com/watch?v=s0esp5-bbWY", "Video")</f>
        <v/>
      </c>
      <c r="B1026" t="inlineStr">
        <is>
          <t>0:11</t>
        </is>
      </c>
      <c r="C1026" t="inlineStr">
        <is>
          <t>that's the quite a little bit the wrong</t>
        </is>
      </c>
      <c r="D1026">
        <f>HYPERLINK("https://www.youtube.com/watch?v=s0esp5-bbWY&amp;t=11s", "Go to time")</f>
        <v/>
      </c>
    </row>
    <row r="1027">
      <c r="A1027">
        <f>HYPERLINK("https://www.youtube.com/watch?v=UY3bfj8mRcM", "Video")</f>
        <v/>
      </c>
      <c r="B1027" t="inlineStr">
        <is>
          <t>0:08</t>
        </is>
      </c>
      <c r="C1027" t="inlineStr">
        <is>
          <t>that's sweet sour salt bitter the four</t>
        </is>
      </c>
      <c r="D1027">
        <f>HYPERLINK("https://www.youtube.com/watch?v=UY3bfj8mRcM&amp;t=8s", "Go to time")</f>
        <v/>
      </c>
    </row>
    <row r="1028">
      <c r="A1028">
        <f>HYPERLINK("https://www.youtube.com/watch?v=UY3bfj8mRcM", "Video")</f>
        <v/>
      </c>
      <c r="B1028" t="inlineStr">
        <is>
          <t>1:15</t>
        </is>
      </c>
      <c r="C1028" t="inlineStr">
        <is>
          <t>sweet sour salt bitter and Umami flavor</t>
        </is>
      </c>
      <c r="D1028">
        <f>HYPERLINK("https://www.youtube.com/watch?v=UY3bfj8mRcM&amp;t=75s", "Go to time")</f>
        <v/>
      </c>
    </row>
    <row r="1029">
      <c r="A1029">
        <f>HYPERLINK("https://www.youtube.com/watch?v=UY3bfj8mRcM", "Video")</f>
        <v/>
      </c>
      <c r="B1029" t="inlineStr">
        <is>
          <t>1:54</t>
        </is>
      </c>
      <c r="C1029" t="inlineStr">
        <is>
          <t>salt bitter and Umami also important are</t>
        </is>
      </c>
      <c r="D1029">
        <f>HYPERLINK("https://www.youtube.com/watch?v=UY3bfj8mRcM&amp;t=114s", "Go to time")</f>
        <v/>
      </c>
    </row>
    <row r="1030">
      <c r="A1030">
        <f>HYPERLINK("https://www.youtube.com/watch?v=9TlAUfIdDZU", "Video")</f>
        <v/>
      </c>
      <c r="B1030" t="inlineStr">
        <is>
          <t>9:04</t>
        </is>
      </c>
      <c r="C1030" t="inlineStr">
        <is>
          <t>bit but in a sense that was where the</t>
        </is>
      </c>
      <c r="D1030">
        <f>HYPERLINK("https://www.youtube.com/watch?v=9TlAUfIdDZU&amp;t=544s", "Go to time")</f>
        <v/>
      </c>
    </row>
    <row r="1031">
      <c r="A1031">
        <f>HYPERLINK("https://www.youtube.com/watch?v=9TlAUfIdDZU", "Video")</f>
        <v/>
      </c>
      <c r="B1031" t="inlineStr">
        <is>
          <t>10:07</t>
        </is>
      </c>
      <c r="C1031" t="inlineStr">
        <is>
          <t>was a little bit chaotic people were</t>
        </is>
      </c>
      <c r="D1031">
        <f>HYPERLINK("https://www.youtube.com/watch?v=9TlAUfIdDZU&amp;t=607s", "Go to time")</f>
        <v/>
      </c>
    </row>
    <row r="1032">
      <c r="A1032">
        <f>HYPERLINK("https://www.youtube.com/watch?v=-kMRLbOlw9I", "Video")</f>
        <v/>
      </c>
      <c r="B1032" t="inlineStr">
        <is>
          <t>0:20</t>
        </is>
      </c>
      <c r="C1032" t="inlineStr">
        <is>
          <t>say this um with a bit of trepidation</t>
        </is>
      </c>
      <c r="D1032">
        <f>HYPERLINK("https://www.youtube.com/watch?v=-kMRLbOlw9I&amp;t=20s", "Go to time")</f>
        <v/>
      </c>
    </row>
    <row r="1033">
      <c r="A1033">
        <f>HYPERLINK("https://www.youtube.com/watch?v=m0UjqT45JsQ", "Video")</f>
        <v/>
      </c>
      <c r="B1033" t="inlineStr">
        <is>
          <t>5:52</t>
        </is>
      </c>
      <c r="C1033" t="inlineStr">
        <is>
          <t>or exhibit any behavior that would tell us</t>
        </is>
      </c>
      <c r="D1033">
        <f>HYPERLINK("https://www.youtube.com/watch?v=m0UjqT45JsQ&amp;t=352s", "Go to time")</f>
        <v/>
      </c>
    </row>
    <row r="1034">
      <c r="A1034">
        <f>HYPERLINK("https://www.youtube.com/watch?v=m0UjqT45JsQ", "Video")</f>
        <v/>
      </c>
      <c r="B1034" t="inlineStr">
        <is>
          <t>6:06</t>
        </is>
      </c>
      <c r="C1034" t="inlineStr">
        <is>
          <t>or exhibit behavior that convinces us</t>
        </is>
      </c>
      <c r="D1034">
        <f>HYPERLINK("https://www.youtube.com/watch?v=m0UjqT45JsQ&amp;t=366s", "Go to time")</f>
        <v/>
      </c>
    </row>
    <row r="1035">
      <c r="A1035">
        <f>HYPERLINK("https://www.youtube.com/watch?v=K5tcwIicICg", "Video")</f>
        <v/>
      </c>
      <c r="B1035" t="inlineStr">
        <is>
          <t>35:55</t>
        </is>
      </c>
      <c r="C1035" t="inlineStr">
        <is>
          <t>And that got a little
bit of news weeks later,</t>
        </is>
      </c>
      <c r="D1035">
        <f>HYPERLINK("https://www.youtube.com/watch?v=K5tcwIicICg&amp;t=2155s", "Go to time")</f>
        <v/>
      </c>
    </row>
    <row r="1036">
      <c r="A1036">
        <f>HYPERLINK("https://www.youtube.com/watch?v=5CcNAgU8TXg", "Video")</f>
        <v/>
      </c>
      <c r="B1036" t="inlineStr">
        <is>
          <t>1:32</t>
        </is>
      </c>
      <c r="C1036" t="inlineStr">
        <is>
          <t>bit of the Middle East but basically</t>
        </is>
      </c>
      <c r="D1036">
        <f>HYPERLINK("https://www.youtube.com/watch?v=5CcNAgU8TXg&amp;t=92s", "Go to time")</f>
        <v/>
      </c>
    </row>
    <row r="1037">
      <c r="A1037">
        <f>HYPERLINK("https://www.youtube.com/watch?v=uhKlA4JjZvI", "Video")</f>
        <v/>
      </c>
      <c r="B1037" t="inlineStr">
        <is>
          <t>0:36</t>
        </is>
      </c>
      <c r="C1037" t="inlineStr">
        <is>
          <t>of this Dark Horse are a little bit</t>
        </is>
      </c>
      <c r="D1037">
        <f>HYPERLINK("https://www.youtube.com/watch?v=uhKlA4JjZvI&amp;t=36s", "Go to time")</f>
        <v/>
      </c>
    </row>
    <row r="1038">
      <c r="A1038">
        <f>HYPERLINK("https://www.youtube.com/watch?v=uhKlA4JjZvI", "Video")</f>
        <v/>
      </c>
      <c r="B1038" t="inlineStr">
        <is>
          <t>0:59</t>
        </is>
      </c>
      <c r="C1038" t="inlineStr">
        <is>
          <t>felt a bit lost and it was actually my</t>
        </is>
      </c>
      <c r="D1038">
        <f>HYPERLINK("https://www.youtube.com/watch?v=uhKlA4JjZvI&amp;t=59s", "Go to time")</f>
        <v/>
      </c>
    </row>
    <row r="1039">
      <c r="A1039">
        <f>HYPERLINK("https://www.youtube.com/watch?v=uhKlA4JjZvI", "Video")</f>
        <v/>
      </c>
      <c r="B1039" t="inlineStr">
        <is>
          <t>4:32</t>
        </is>
      </c>
      <c r="C1039" t="inlineStr">
        <is>
          <t>specific motives are every bit as</t>
        </is>
      </c>
      <c r="D1039">
        <f>HYPERLINK("https://www.youtube.com/watch?v=uhKlA4JjZvI&amp;t=272s", "Go to time")</f>
        <v/>
      </c>
    </row>
    <row r="1040">
      <c r="A1040">
        <f>HYPERLINK("https://www.youtube.com/watch?v=uhKlA4JjZvI", "Video")</f>
        <v/>
      </c>
      <c r="B1040" t="inlineStr">
        <is>
          <t>6:08</t>
        </is>
      </c>
      <c r="C1040" t="inlineStr">
        <is>
          <t>that will turn out to be every bit as</t>
        </is>
      </c>
      <c r="D1040">
        <f>HYPERLINK("https://www.youtube.com/watch?v=uhKlA4JjZvI&amp;t=368s", "Go to time")</f>
        <v/>
      </c>
    </row>
    <row r="1041">
      <c r="A1041">
        <f>HYPERLINK("https://www.youtube.com/watch?v=YWI6pgaKhGw", "Video")</f>
        <v/>
      </c>
      <c r="B1041" t="inlineStr">
        <is>
          <t>0:35</t>
        </is>
      </c>
      <c r="C1041" t="inlineStr">
        <is>
          <t>presenters and exhibitors that</t>
        </is>
      </c>
      <c r="D1041">
        <f>HYPERLINK("https://www.youtube.com/watch?v=YWI6pgaKhGw&amp;t=35s", "Go to time")</f>
        <v/>
      </c>
    </row>
    <row r="1042">
      <c r="A1042">
        <f>HYPERLINK("https://www.youtube.com/watch?v=MxZp2QOAhNw", "Video")</f>
        <v/>
      </c>
      <c r="B1042" t="inlineStr">
        <is>
          <t>1:18</t>
        </is>
      </c>
      <c r="C1042" t="inlineStr">
        <is>
          <t>habitual I get up in the morning just</t>
        </is>
      </c>
      <c r="D1042">
        <f>HYPERLINK("https://www.youtube.com/watch?v=MxZp2QOAhNw&amp;t=78s", "Go to time")</f>
        <v/>
      </c>
    </row>
    <row r="1043">
      <c r="A1043">
        <f>HYPERLINK("https://www.youtube.com/watch?v=0_OBgHw4sgA", "Video")</f>
        <v/>
      </c>
      <c r="B1043" t="inlineStr">
        <is>
          <t>2:41</t>
        </is>
      </c>
      <c r="C1043" t="inlineStr">
        <is>
          <t>prohibits it already and Pakistan is is</t>
        </is>
      </c>
      <c r="D1043">
        <f>HYPERLINK("https://www.youtube.com/watch?v=0_OBgHw4sgA&amp;t=161s", "Go to time")</f>
        <v/>
      </c>
    </row>
    <row r="1044">
      <c r="A1044">
        <f>HYPERLINK("https://www.youtube.com/watch?v=0_OBgHw4sgA", "Video")</f>
        <v/>
      </c>
      <c r="B1044" t="inlineStr">
        <is>
          <t>4:07</t>
        </is>
      </c>
      <c r="C1044" t="inlineStr">
        <is>
          <t>bit of a poana but I think that that's</t>
        </is>
      </c>
      <c r="D1044">
        <f>HYPERLINK("https://www.youtube.com/watch?v=0_OBgHw4sgA&amp;t=247s", "Go to time")</f>
        <v/>
      </c>
    </row>
    <row r="1045">
      <c r="A1045">
        <f>HYPERLINK("https://www.youtube.com/watch?v=wQMqxj53PG4", "Video")</f>
        <v/>
      </c>
      <c r="B1045" t="inlineStr">
        <is>
          <t>0:27</t>
        </is>
      </c>
      <c r="C1045" t="inlineStr">
        <is>
          <t>it's a bit of a drop in terms of the</t>
        </is>
      </c>
      <c r="D1045">
        <f>HYPERLINK("https://www.youtube.com/watch?v=wQMqxj53PG4&amp;t=27s", "Go to time")</f>
        <v/>
      </c>
    </row>
    <row r="1046">
      <c r="A1046">
        <f>HYPERLINK("https://www.youtube.com/watch?v=aB5ys1zsz-o", "Video")</f>
        <v/>
      </c>
      <c r="B1046" t="inlineStr">
        <is>
          <t>7:55</t>
        </is>
      </c>
      <c r="C1046" t="inlineStr">
        <is>
          <t>It becomes a funny bit.</t>
        </is>
      </c>
      <c r="D1046">
        <f>HYPERLINK("https://www.youtube.com/watch?v=aB5ys1zsz-o&amp;t=475s", "Go to time")</f>
        <v/>
      </c>
    </row>
    <row r="1047">
      <c r="A1047">
        <f>HYPERLINK("https://www.youtube.com/watch?v=I8YJN4e0DnY", "Video")</f>
        <v/>
      </c>
      <c r="B1047" t="inlineStr">
        <is>
          <t>0:38</t>
        </is>
      </c>
      <c r="C1047" t="inlineStr">
        <is>
          <t>it is a little bit of an anarchic</t>
        </is>
      </c>
      <c r="D1047">
        <f>HYPERLINK("https://www.youtube.com/watch?v=I8YJN4e0DnY&amp;t=38s", "Go to time")</f>
        <v/>
      </c>
    </row>
    <row r="1048">
      <c r="A1048">
        <f>HYPERLINK("https://www.youtube.com/watch?v=I8YJN4e0DnY", "Video")</f>
        <v/>
      </c>
      <c r="B1048" t="inlineStr">
        <is>
          <t>0:43</t>
        </is>
      </c>
      <c r="C1048" t="inlineStr">
        <is>
          <t>makes it a little bit fun and they</t>
        </is>
      </c>
      <c r="D1048">
        <f>HYPERLINK("https://www.youtube.com/watch?v=I8YJN4e0DnY&amp;t=43s", "Go to time")</f>
        <v/>
      </c>
    </row>
    <row r="1049">
      <c r="A1049">
        <f>HYPERLINK("https://www.youtube.com/watch?v=I8YJN4e0DnY", "Video")</f>
        <v/>
      </c>
      <c r="B1049" t="inlineStr">
        <is>
          <t>2:09</t>
        </is>
      </c>
      <c r="C1049" t="inlineStr">
        <is>
          <t>approach a little bit like what YouTube</t>
        </is>
      </c>
      <c r="D1049">
        <f>HYPERLINK("https://www.youtube.com/watch?v=I8YJN4e0DnY&amp;t=129s", "Go to time")</f>
        <v/>
      </c>
    </row>
    <row r="1050">
      <c r="A1050">
        <f>HYPERLINK("https://www.youtube.com/watch?v=F6tdlbqDHBw", "Video")</f>
        <v/>
      </c>
      <c r="B1050" t="inlineStr">
        <is>
          <t>1:21</t>
        </is>
      </c>
      <c r="C1050" t="inlineStr">
        <is>
          <t>ambition I want to do this and this and</t>
        </is>
      </c>
      <c r="D1050">
        <f>HYPERLINK("https://www.youtube.com/watch?v=F6tdlbqDHBw&amp;t=81s", "Go to time")</f>
        <v/>
      </c>
    </row>
    <row r="1051">
      <c r="A1051">
        <f>HYPERLINK("https://www.youtube.com/watch?v=F6tdlbqDHBw", "Video")</f>
        <v/>
      </c>
      <c r="B1051" t="inlineStr">
        <is>
          <t>4:39</t>
        </is>
      </c>
      <c r="C1051" t="inlineStr">
        <is>
          <t>but it's a little bit less cheerleading</t>
        </is>
      </c>
      <c r="D1051">
        <f>HYPERLINK("https://www.youtube.com/watch?v=F6tdlbqDHBw&amp;t=279s", "Go to time")</f>
        <v/>
      </c>
    </row>
    <row r="1052">
      <c r="A1052">
        <f>HYPERLINK("https://www.youtube.com/watch?v=yDLhVZ-RB3o", "Video")</f>
        <v/>
      </c>
      <c r="B1052" t="inlineStr">
        <is>
          <t>0:27</t>
        </is>
      </c>
      <c r="C1052" t="inlineStr">
        <is>
          <t>to complicate things a little bit one
could think about pluralism as itself a</t>
        </is>
      </c>
      <c r="D1052">
        <f>HYPERLINK("https://www.youtube.com/watch?v=yDLhVZ-RB3o&amp;t=27s", "Go to time")</f>
        <v/>
      </c>
    </row>
    <row r="1053">
      <c r="A1053">
        <f>HYPERLINK("https://www.youtube.com/watch?v=yDLhVZ-RB3o", "Video")</f>
        <v/>
      </c>
      <c r="B1053" t="inlineStr">
        <is>
          <t>4:52</t>
        </is>
      </c>
      <c r="C1053" t="inlineStr">
        <is>
          <t>little bit of guidance in thinking about
how one understands a good society under</t>
        </is>
      </c>
      <c r="D1053">
        <f>HYPERLINK("https://www.youtube.com/watch?v=yDLhVZ-RB3o&amp;t=292s", "Go to time")</f>
        <v/>
      </c>
    </row>
    <row r="1054">
      <c r="A1054">
        <f>HYPERLINK("https://www.youtube.com/watch?v=yDLhVZ-RB3o", "Video")</f>
        <v/>
      </c>
      <c r="B1054" t="inlineStr">
        <is>
          <t>5:43</t>
        </is>
      </c>
      <c r="C1054" t="inlineStr">
        <is>
          <t>or one can think about toleration as
something a bit more expansive something</t>
        </is>
      </c>
      <c r="D1054">
        <f>HYPERLINK("https://www.youtube.com/watch?v=yDLhVZ-RB3o&amp;t=343s", "Go to time")</f>
        <v/>
      </c>
    </row>
    <row r="1055">
      <c r="A1055">
        <f>HYPERLINK("https://www.youtube.com/watch?v=yDLhVZ-RB3o", "Video")</f>
        <v/>
      </c>
      <c r="B1055" t="inlineStr">
        <is>
          <t>6:09</t>
        </is>
      </c>
      <c r="C1055" t="inlineStr">
        <is>
          <t>actually also go a little bit further to
try to understand your point of view I</t>
        </is>
      </c>
      <c r="D1055">
        <f>HYPERLINK("https://www.youtube.com/watch?v=yDLhVZ-RB3o&amp;t=369s", "Go to time")</f>
        <v/>
      </c>
    </row>
    <row r="1056">
      <c r="A1056">
        <f>HYPERLINK("https://www.youtube.com/watch?v=Nly47dGjLdQ", "Video")</f>
        <v/>
      </c>
      <c r="B1056" t="inlineStr">
        <is>
          <t>1:41</t>
        </is>
      </c>
      <c r="C1056" t="inlineStr">
        <is>
          <t>balance a debit balance of Any Given</t>
        </is>
      </c>
      <c r="D1056">
        <f>HYPERLINK("https://www.youtube.com/watch?v=Nly47dGjLdQ&amp;t=101s", "Go to time")</f>
        <v/>
      </c>
    </row>
    <row r="1057">
      <c r="A1057">
        <f>HYPERLINK("https://www.youtube.com/watch?v=jCJdl6Vs7wg", "Video")</f>
        <v/>
      </c>
      <c r="B1057" t="inlineStr">
        <is>
          <t>5:43</t>
        </is>
      </c>
      <c r="C1057" t="inlineStr">
        <is>
          <t>I mean it's – and greed is not quite the
same as ambition.</t>
        </is>
      </c>
      <c r="D1057">
        <f>HYPERLINK("https://www.youtube.com/watch?v=jCJdl6Vs7wg&amp;t=343s", "Go to time")</f>
        <v/>
      </c>
    </row>
    <row r="1058">
      <c r="A1058">
        <f>HYPERLINK("https://www.youtube.com/watch?v=jCJdl6Vs7wg", "Video")</f>
        <v/>
      </c>
      <c r="B1058" t="inlineStr">
        <is>
          <t>11:00</t>
        </is>
      </c>
      <c r="C1058" t="inlineStr">
        <is>
          <t>And we get a little bit of dopamine all the
time when we say oh, information.</t>
        </is>
      </c>
      <c r="D1058">
        <f>HYPERLINK("https://www.youtube.com/watch?v=jCJdl6Vs7wg&amp;t=660s", "Go to time")</f>
        <v/>
      </c>
    </row>
    <row r="1059">
      <c r="A1059">
        <f>HYPERLINK("https://www.youtube.com/watch?v=jCJdl6Vs7wg", "Video")</f>
        <v/>
      </c>
      <c r="B1059" t="inlineStr">
        <is>
          <t>11:25</t>
        </is>
      </c>
      <c r="C1059" t="inlineStr">
        <is>
          <t>And that is really what mindfulness and meditation
is trying to balance out a little bit, so</t>
        </is>
      </c>
      <c r="D1059">
        <f>HYPERLINK("https://www.youtube.com/watch?v=jCJdl6Vs7wg&amp;t=685s", "Go to time")</f>
        <v/>
      </c>
    </row>
    <row r="1060">
      <c r="A1060">
        <f>HYPERLINK("https://www.youtube.com/watch?v=jCJdl6Vs7wg", "Video")</f>
        <v/>
      </c>
      <c r="B1060" t="inlineStr">
        <is>
          <t>13:51</t>
        </is>
      </c>
      <c r="C1060" t="inlineStr">
        <is>
          <t>We get it when we bite into an apple or imagine
biting into an apple and for a brief period,</t>
        </is>
      </c>
      <c r="D1060">
        <f>HYPERLINK("https://www.youtube.com/watch?v=jCJdl6Vs7wg&amp;t=831s", "Go to time")</f>
        <v/>
      </c>
    </row>
    <row r="1061">
      <c r="A1061">
        <f>HYPERLINK("https://www.youtube.com/watch?v=jCJdl6Vs7wg", "Video")</f>
        <v/>
      </c>
      <c r="B1061" t="inlineStr">
        <is>
          <t>14:07</t>
        </is>
      </c>
      <c r="C1061" t="inlineStr">
        <is>
          <t>that imagined bite into the apple.</t>
        </is>
      </c>
      <c r="D1061">
        <f>HYPERLINK("https://www.youtube.com/watch?v=jCJdl6Vs7wg&amp;t=847s", "Go to time")</f>
        <v/>
      </c>
    </row>
    <row r="1062">
      <c r="A1062">
        <f>HYPERLINK("https://www.youtube.com/watch?v=jCJdl6Vs7wg", "Video")</f>
        <v/>
      </c>
      <c r="B1062" t="inlineStr">
        <is>
          <t>21:28</t>
        </is>
      </c>
      <c r="C1062" t="inlineStr">
        <is>
          <t>I forced myself to do it for 30 days thinking
that would be it and I would form my habit.</t>
        </is>
      </c>
      <c r="D1062">
        <f>HYPERLINK("https://www.youtube.com/watch?v=jCJdl6Vs7wg&amp;t=1288s", "Go to time")</f>
        <v/>
      </c>
    </row>
    <row r="1063">
      <c r="A1063">
        <f>HYPERLINK("https://www.youtube.com/watch?v=jMOGW31Wn4k", "Video")</f>
        <v/>
      </c>
      <c r="B1063" t="inlineStr">
        <is>
          <t>5:49</t>
        </is>
      </c>
      <c r="C1063" t="inlineStr">
        <is>
          <t>control still I wanted some small bit</t>
        </is>
      </c>
      <c r="D1063">
        <f>HYPERLINK("https://www.youtube.com/watch?v=jMOGW31Wn4k&amp;t=349s", "Go to time")</f>
        <v/>
      </c>
    </row>
    <row r="1064">
      <c r="A1064">
        <f>HYPERLINK("https://www.youtube.com/watch?v=jMOGW31Wn4k", "Video")</f>
        <v/>
      </c>
      <c r="B1064" t="inlineStr">
        <is>
          <t>6:57</t>
        </is>
      </c>
      <c r="C1064" t="inlineStr">
        <is>
          <t>maintained that bit of control I think</t>
        </is>
      </c>
      <c r="D1064">
        <f>HYPERLINK("https://www.youtube.com/watch?v=jMOGW31Wn4k&amp;t=417s", "Go to time")</f>
        <v/>
      </c>
    </row>
    <row r="1065">
      <c r="A1065">
        <f>HYPERLINK("https://www.youtube.com/watch?v=QvHne-U4lcw", "Video")</f>
        <v/>
      </c>
      <c r="B1065" t="inlineStr">
        <is>
          <t>2:04</t>
        </is>
      </c>
      <c r="C1065" t="inlineStr">
        <is>
          <t>lifestyle habits like diet and exercise, as 
changes to those things will often have an</t>
        </is>
      </c>
      <c r="D1065">
        <f>HYPERLINK("https://www.youtube.com/watch?v=QvHne-U4lcw&amp;t=124s", "Go to time")</f>
        <v/>
      </c>
    </row>
    <row r="1066">
      <c r="A1066">
        <f>HYPERLINK("https://www.youtube.com/watch?v=QvHne-U4lcw", "Video")</f>
        <v/>
      </c>
      <c r="B1066" t="inlineStr">
        <is>
          <t>12:22</t>
        </is>
      </c>
      <c r="C1066" t="inlineStr">
        <is>
          <t>situations in lots of different ways. We are 
habit-forming animals, and sometimes without even</t>
        </is>
      </c>
      <c r="D1066">
        <f>HYPERLINK("https://www.youtube.com/watch?v=QvHne-U4lcw&amp;t=742s", "Go to time")</f>
        <v/>
      </c>
    </row>
    <row r="1067">
      <c r="A1067">
        <f>HYPERLINK("https://www.youtube.com/watch?v=ju1IMxGSuNE", "Video")</f>
        <v/>
      </c>
      <c r="B1067" t="inlineStr">
        <is>
          <t>3:32</t>
        </is>
      </c>
      <c r="C1067" t="inlineStr">
        <is>
          <t>little bit more about uh you know what</t>
        </is>
      </c>
      <c r="D1067">
        <f>HYPERLINK("https://www.youtube.com/watch?v=ju1IMxGSuNE&amp;t=212s", "Go to time")</f>
        <v/>
      </c>
    </row>
    <row r="1068">
      <c r="A1068">
        <f>HYPERLINK("https://www.youtube.com/watch?v=d_3h4xIfclw", "Video")</f>
        <v/>
      </c>
      <c r="B1068" t="inlineStr">
        <is>
          <t>0:48</t>
        </is>
      </c>
      <c r="C1068" t="inlineStr">
        <is>
          <t>inhabit the world of of greyhawk of</t>
        </is>
      </c>
      <c r="D1068">
        <f>HYPERLINK("https://www.youtube.com/watch?v=d_3h4xIfclw&amp;t=48s", "Go to time")</f>
        <v/>
      </c>
    </row>
    <row r="1069">
      <c r="A1069">
        <f>HYPERLINK("https://www.youtube.com/watch?v=1AqUYejDdmU", "Video")</f>
        <v/>
      </c>
      <c r="B1069" t="inlineStr">
        <is>
          <t>3:20</t>
        </is>
      </c>
      <c r="C1069" t="inlineStr">
        <is>
          <t>Moving it up a bit, some people
willingly engage in projects</t>
        </is>
      </c>
      <c r="D1069">
        <f>HYPERLINK("https://www.youtube.com/watch?v=1AqUYejDdmU&amp;t=200s", "Go to time")</f>
        <v/>
      </c>
    </row>
    <row r="1070">
      <c r="A1070">
        <f>HYPERLINK("https://www.youtube.com/watch?v=1AqUYejDdmU", "Video")</f>
        <v/>
      </c>
      <c r="B1070" t="inlineStr">
        <is>
          <t>4:08</t>
        </is>
      </c>
      <c r="C1070" t="inlineStr">
        <is>
          <t>and sort of shudder a bit,
it probably isn't meaningful.</t>
        </is>
      </c>
      <c r="D1070">
        <f>HYPERLINK("https://www.youtube.com/watch?v=1AqUYejDdmU&amp;t=248s", "Go to time")</f>
        <v/>
      </c>
    </row>
    <row r="1071">
      <c r="A1071">
        <f>HYPERLINK("https://www.youtube.com/watch?v=6bWC5pdso68", "Video")</f>
        <v/>
      </c>
      <c r="B1071" t="inlineStr">
        <is>
          <t>4:43</t>
        </is>
      </c>
      <c r="C1071" t="inlineStr">
        <is>
          <t>three habits of mind animism creationism</t>
        </is>
      </c>
      <c r="D1071">
        <f>HYPERLINK("https://www.youtube.com/watch?v=6bWC5pdso68&amp;t=283s", "Go to time")</f>
        <v/>
      </c>
    </row>
    <row r="1072">
      <c r="A1072">
        <f>HYPERLINK("https://www.youtube.com/watch?v=6bWC5pdso68", "Video")</f>
        <v/>
      </c>
      <c r="B1072" t="inlineStr">
        <is>
          <t>6:25</t>
        </is>
      </c>
      <c r="C1072" t="inlineStr">
        <is>
          <t>bit atheists far more than the United</t>
        </is>
      </c>
      <c r="D1072">
        <f>HYPERLINK("https://www.youtube.com/watch?v=6bWC5pdso68&amp;t=385s", "Go to time")</f>
        <v/>
      </c>
    </row>
    <row r="1073">
      <c r="A1073">
        <f>HYPERLINK("https://www.youtube.com/watch?v=6bWC5pdso68", "Video")</f>
        <v/>
      </c>
      <c r="B1073" t="inlineStr">
        <is>
          <t>8:10</t>
        </is>
      </c>
      <c r="C1073" t="inlineStr">
        <is>
          <t>in a bit of a different direction um the</t>
        </is>
      </c>
      <c r="D1073">
        <f>HYPERLINK("https://www.youtube.com/watch?v=6bWC5pdso68&amp;t=490s", "Go to time")</f>
        <v/>
      </c>
    </row>
    <row r="1074">
      <c r="A1074">
        <f>HYPERLINK("https://www.youtube.com/watch?v=6bWC5pdso68", "Video")</f>
        <v/>
      </c>
      <c r="B1074" t="inlineStr">
        <is>
          <t>15:57</t>
        </is>
      </c>
      <c r="C1074" t="inlineStr">
        <is>
          <t>bit grossed out being gross though makes</t>
        </is>
      </c>
      <c r="D1074">
        <f>HYPERLINK("https://www.youtube.com/watch?v=6bWC5pdso68&amp;t=957s", "Go to time")</f>
        <v/>
      </c>
    </row>
    <row r="1075">
      <c r="A1075">
        <f>HYPERLINK("https://www.youtube.com/watch?v=6bWC5pdso68", "Video")</f>
        <v/>
      </c>
      <c r="B1075" t="inlineStr">
        <is>
          <t>22:59</t>
        </is>
      </c>
      <c r="C1075" t="inlineStr">
        <is>
          <t>Chu to bits why would I seek out</t>
        </is>
      </c>
      <c r="D1075">
        <f>HYPERLINK("https://www.youtube.com/watch?v=6bWC5pdso68&amp;t=1379s", "Go to time")</f>
        <v/>
      </c>
    </row>
    <row r="1076">
      <c r="A1076">
        <f>HYPERLINK("https://www.youtube.com/watch?v=G-J4y84iHsY", "Video")</f>
        <v/>
      </c>
      <c r="B1076" t="inlineStr">
        <is>
          <t>1:58</t>
        </is>
      </c>
      <c r="C1076" t="inlineStr">
        <is>
          <t>there's a great deal of bitterness</t>
        </is>
      </c>
      <c r="D1076">
        <f>HYPERLINK("https://www.youtube.com/watch?v=G-J4y84iHsY&amp;t=118s", "Go to time")</f>
        <v/>
      </c>
    </row>
    <row r="1077">
      <c r="A1077">
        <f>HYPERLINK("https://www.youtube.com/watch?v=G-J4y84iHsY", "Video")</f>
        <v/>
      </c>
      <c r="B1077" t="inlineStr">
        <is>
          <t>4:10</t>
        </is>
      </c>
      <c r="C1077" t="inlineStr">
        <is>
          <t>these rock stars or people who exhibit</t>
        </is>
      </c>
      <c r="D1077">
        <f>HYPERLINK("https://www.youtube.com/watch?v=G-J4y84iHsY&amp;t=250s", "Go to time")</f>
        <v/>
      </c>
    </row>
    <row r="1078">
      <c r="A1078">
        <f>HYPERLINK("https://www.youtube.com/watch?v=OeqCcuokpTQ", "Video")</f>
        <v/>
      </c>
      <c r="B1078" t="inlineStr">
        <is>
          <t>0:54</t>
        </is>
      </c>
      <c r="C1078" t="inlineStr">
        <is>
          <t>everybody's being a bit more sober about</t>
        </is>
      </c>
      <c r="D1078">
        <f>HYPERLINK("https://www.youtube.com/watch?v=OeqCcuokpTQ&amp;t=54s", "Go to time")</f>
        <v/>
      </c>
    </row>
    <row r="1079">
      <c r="A1079">
        <f>HYPERLINK("https://www.youtube.com/watch?v=k0mw7Vp0tYI", "Video")</f>
        <v/>
      </c>
      <c r="B1079" t="inlineStr">
        <is>
          <t>0:25</t>
        </is>
      </c>
      <c r="C1079" t="inlineStr">
        <is>
          <t>made the passage into adulthood so we know
a little bit more about them than we did eight</t>
        </is>
      </c>
      <c r="D1079">
        <f>HYPERLINK("https://www.youtube.com/watch?v=k0mw7Vp0tYI&amp;t=25s", "Go to time")</f>
        <v/>
      </c>
    </row>
    <row r="1080">
      <c r="A1080">
        <f>HYPERLINK("https://www.youtube.com/watch?v=k0mw7Vp0tYI", "Video")</f>
        <v/>
      </c>
      <c r="B1080" t="inlineStr">
        <is>
          <t>4:57</t>
        </is>
      </c>
      <c r="C1080" t="inlineStr">
        <is>
          <t>of their habits with these information systems.
Not just for information acquisition but for</t>
        </is>
      </c>
      <c r="D1080">
        <f>HYPERLINK("https://www.youtube.com/watch?v=k0mw7Vp0tYI&amp;t=297s", "Go to time")</f>
        <v/>
      </c>
    </row>
    <row r="1081">
      <c r="A1081">
        <f>HYPERLINK("https://www.youtube.com/watch?v=9vOKF0uYOFU", "Video")</f>
        <v/>
      </c>
      <c r="B1081" t="inlineStr">
        <is>
          <t>0:52</t>
        </is>
      </c>
      <c r="C1081" t="inlineStr">
        <is>
          <t>floor and having all your little habits</t>
        </is>
      </c>
      <c r="D1081">
        <f>HYPERLINK("https://www.youtube.com/watch?v=9vOKF0uYOFU&amp;t=52s", "Go to time")</f>
        <v/>
      </c>
    </row>
    <row r="1082">
      <c r="A1082">
        <f>HYPERLINK("https://www.youtube.com/watch?v=eS875xBs1T4", "Video")</f>
        <v/>
      </c>
      <c r="B1082" t="inlineStr">
        <is>
          <t>5:32</t>
        </is>
      </c>
      <c r="C1082" t="inlineStr">
        <is>
          <t>that are arboreal and so on, you need to be
able to manipulate bits of food like plucking</t>
        </is>
      </c>
      <c r="D1082">
        <f>HYPERLINK("https://www.youtube.com/watch?v=eS875xBs1T4&amp;t=332s", "Go to time")</f>
        <v/>
      </c>
    </row>
    <row r="1083">
      <c r="A1083">
        <f>HYPERLINK("https://www.youtube.com/watch?v=eS875xBs1T4", "Video")</f>
        <v/>
      </c>
      <c r="B1083" t="inlineStr">
        <is>
          <t>6:25</t>
        </is>
      </c>
      <c r="C1083" t="inlineStr">
        <is>
          <t>That was a bit of a stretch but I feel confident
about that.</t>
        </is>
      </c>
      <c r="D1083">
        <f>HYPERLINK("https://www.youtube.com/watch?v=eS875xBs1T4&amp;t=385s", "Go to time")</f>
        <v/>
      </c>
    </row>
    <row r="1084">
      <c r="A1084">
        <f>HYPERLINK("https://www.youtube.com/watch?v=KmZoXQ0noDA", "Video")</f>
        <v/>
      </c>
      <c r="B1084" t="inlineStr">
        <is>
          <t>1:08</t>
        </is>
      </c>
      <c r="C1084" t="inlineStr">
        <is>
          <t>bit further but if you had complete</t>
        </is>
      </c>
      <c r="D1084">
        <f>HYPERLINK("https://www.youtube.com/watch?v=KmZoXQ0noDA&amp;t=68s", "Go to time")</f>
        <v/>
      </c>
    </row>
    <row r="1085">
      <c r="A1085">
        <f>HYPERLINK("https://www.youtube.com/watch?v=KmZoXQ0noDA", "Video")</f>
        <v/>
      </c>
      <c r="B1085" t="inlineStr">
        <is>
          <t>2:22</t>
        </is>
      </c>
      <c r="C1085" t="inlineStr">
        <is>
          <t>but in Kabal it's changing a little bit</t>
        </is>
      </c>
      <c r="D1085">
        <f>HYPERLINK("https://www.youtube.com/watch?v=KmZoXQ0noDA&amp;t=142s", "Go to time")</f>
        <v/>
      </c>
    </row>
    <row r="1086">
      <c r="A1086">
        <f>HYPERLINK("https://www.youtube.com/watch?v=wPvOETP_SY0", "Video")</f>
        <v/>
      </c>
      <c r="B1086" t="inlineStr">
        <is>
          <t>2:02</t>
        </is>
      </c>
      <c r="C1086" t="inlineStr">
        <is>
          <t>just have a little bit of profit uh the</t>
        </is>
      </c>
      <c r="D1086">
        <f>HYPERLINK("https://www.youtube.com/watch?v=wPvOETP_SY0&amp;t=122s", "Go to time")</f>
        <v/>
      </c>
    </row>
    <row r="1087">
      <c r="A1087">
        <f>HYPERLINK("https://www.youtube.com/watch?v=pu5Wz9jV_nw", "Video")</f>
        <v/>
      </c>
      <c r="B1087" t="inlineStr">
        <is>
          <t>3:23</t>
        </is>
      </c>
      <c r="C1087" t="inlineStr">
        <is>
          <t>thinking to extrapolate quite a bit</t>
        </is>
      </c>
      <c r="D1087">
        <f>HYPERLINK("https://www.youtube.com/watch?v=pu5Wz9jV_nw&amp;t=203s", "Go to time")</f>
        <v/>
      </c>
    </row>
    <row r="1088">
      <c r="A1088">
        <f>HYPERLINK("https://www.youtube.com/watch?v=MnLwx-iVTgA", "Video")</f>
        <v/>
      </c>
      <c r="B1088" t="inlineStr">
        <is>
          <t>1:16</t>
        </is>
      </c>
      <c r="C1088" t="inlineStr">
        <is>
          <t>biology that came a little bit later so</t>
        </is>
      </c>
      <c r="D1088">
        <f>HYPERLINK("https://www.youtube.com/watch?v=MnLwx-iVTgA&amp;t=76s", "Go to time")</f>
        <v/>
      </c>
    </row>
    <row r="1089">
      <c r="A1089">
        <f>HYPERLINK("https://www.youtube.com/watch?v=MnLwx-iVTgA", "Video")</f>
        <v/>
      </c>
      <c r="B1089" t="inlineStr">
        <is>
          <t>1:30</t>
        </is>
      </c>
      <c r="C1089" t="inlineStr">
        <is>
          <t>about doing something a little bit</t>
        </is>
      </c>
      <c r="D1089">
        <f>HYPERLINK("https://www.youtube.com/watch?v=MnLwx-iVTgA&amp;t=90s", "Go to time")</f>
        <v/>
      </c>
    </row>
    <row r="1090">
      <c r="A1090">
        <f>HYPERLINK("https://www.youtube.com/watch?v=MnLwx-iVTgA", "Video")</f>
        <v/>
      </c>
      <c r="B1090" t="inlineStr">
        <is>
          <t>2:16</t>
        </is>
      </c>
      <c r="C1090" t="inlineStr">
        <is>
          <t>there's a little bit known but not much</t>
        </is>
      </c>
      <c r="D1090">
        <f>HYPERLINK("https://www.youtube.com/watch?v=MnLwx-iVTgA&amp;t=136s", "Go to time")</f>
        <v/>
      </c>
    </row>
    <row r="1091">
      <c r="A1091">
        <f>HYPERLINK("https://www.youtube.com/watch?v=9bL7m_czt1A", "Video")</f>
        <v/>
      </c>
      <c r="B1091" t="inlineStr">
        <is>
          <t>0:41</t>
        </is>
      </c>
      <c r="C1091" t="inlineStr">
        <is>
          <t>And someone they're laughing a little bit
here and there.</t>
        </is>
      </c>
      <c r="D1091">
        <f>HYPERLINK("https://www.youtube.com/watch?v=9bL7m_czt1A&amp;t=41s", "Go to time")</f>
        <v/>
      </c>
    </row>
    <row r="1092">
      <c r="A1092">
        <f>HYPERLINK("https://www.youtube.com/watch?v=9bL7m_czt1A", "Video")</f>
        <v/>
      </c>
      <c r="B1092" t="inlineStr">
        <is>
          <t>1:43</t>
        </is>
      </c>
      <c r="C1092" t="inlineStr">
        <is>
          <t>And if they laughed at bits of it we say well
can we use the funny bit and get rid of the</t>
        </is>
      </c>
      <c r="D1092">
        <f>HYPERLINK("https://www.youtube.com/watch?v=9bL7m_czt1A&amp;t=103s", "Go to time")</f>
        <v/>
      </c>
    </row>
    <row r="1093">
      <c r="A1093">
        <f>HYPERLINK("https://www.youtube.com/watch?v=tT1vxEpE1aI", "Video")</f>
        <v/>
      </c>
      <c r="B1093" t="inlineStr">
        <is>
          <t>0:59</t>
        </is>
      </c>
      <c r="C1093" t="inlineStr">
        <is>
          <t>The most ambitious has been proposed by people
who believe that one day we will create a</t>
        </is>
      </c>
      <c r="D1093">
        <f>HYPERLINK("https://www.youtube.com/watch?v=tT1vxEpE1aI&amp;t=59s", "Go to time")</f>
        <v/>
      </c>
    </row>
    <row r="1094">
      <c r="A1094">
        <f>HYPERLINK("https://www.youtube.com/watch?v=tT1vxEpE1aI", "Video")</f>
        <v/>
      </c>
      <c r="B1094" t="inlineStr">
        <is>
          <t>2:02</t>
        </is>
      </c>
      <c r="C1094" t="inlineStr">
        <is>
          <t>That is one of the most ambitious ways to
transfer consciousness from our body to another</t>
        </is>
      </c>
      <c r="D1094">
        <f>HYPERLINK("https://www.youtube.com/watch?v=tT1vxEpE1aI&amp;t=122s", "Go to time")</f>
        <v/>
      </c>
    </row>
    <row r="1095">
      <c r="A1095">
        <f>HYPERLINK("https://www.youtube.com/watch?v=_hUKV1kTPrA", "Video")</f>
        <v/>
      </c>
      <c r="B1095" t="inlineStr">
        <is>
          <t>2:09</t>
        </is>
      </c>
      <c r="C1095" t="inlineStr">
        <is>
          <t>um for me was a bit of a a bit of a</t>
        </is>
      </c>
      <c r="D1095">
        <f>HYPERLINK("https://www.youtube.com/watch?v=_hUKV1kTPrA&amp;t=129s", "Go to time")</f>
        <v/>
      </c>
    </row>
    <row r="1096">
      <c r="A1096">
        <f>HYPERLINK("https://www.youtube.com/watch?v=PWb87tcil94", "Video")</f>
        <v/>
      </c>
      <c r="B1096" t="inlineStr">
        <is>
          <t>0:44</t>
        </is>
      </c>
      <c r="C1096" t="inlineStr">
        <is>
          <t>things and try to get a little bit more 
happiness out of that aspect of our lives.</t>
        </is>
      </c>
      <c r="D1096">
        <f>HYPERLINK("https://www.youtube.com/watch?v=PWb87tcil94&amp;t=44s", "Go to time")</f>
        <v/>
      </c>
    </row>
    <row r="1097">
      <c r="A1097">
        <f>HYPERLINK("https://www.youtube.com/watch?v=PWb87tcil94", "Video")</f>
        <v/>
      </c>
      <c r="B1097" t="inlineStr">
        <is>
          <t>1:23</t>
        </is>
      </c>
      <c r="C1097" t="inlineStr">
        <is>
          <t>getting stuff for ourselves. And so it has to 
be a habit of mind that we encourage ourselves</t>
        </is>
      </c>
      <c r="D1097">
        <f>HYPERLINK("https://www.youtube.com/watch?v=PWb87tcil94&amp;t=83s", "Go to time")</f>
        <v/>
      </c>
    </row>
    <row r="1098">
      <c r="A1098">
        <f>HYPERLINK("https://www.youtube.com/watch?v=cmmtg2Ec_MI", "Video")</f>
        <v/>
      </c>
      <c r="B1098" t="inlineStr">
        <is>
          <t>0:27</t>
        </is>
      </c>
      <c r="C1098" t="inlineStr">
        <is>
          <t>them disinhibition for instance one</t>
        </is>
      </c>
      <c r="D1098">
        <f>HYPERLINK("https://www.youtube.com/watch?v=cmmtg2Ec_MI&amp;t=27s", "Go to time")</f>
        <v/>
      </c>
    </row>
    <row r="1099">
      <c r="A1099">
        <f>HYPERLINK("https://www.youtube.com/watch?v=M5EkrannzQ0", "Video")</f>
        <v/>
      </c>
      <c r="B1099" t="inlineStr">
        <is>
          <t>0:18</t>
        </is>
      </c>
      <c r="C1099" t="inlineStr">
        <is>
          <t>um a little bit of uh a reporting and a</t>
        </is>
      </c>
      <c r="D1099">
        <f>HYPERLINK("https://www.youtube.com/watch?v=M5EkrannzQ0&amp;t=18s", "Go to time")</f>
        <v/>
      </c>
    </row>
    <row r="1100">
      <c r="A1100">
        <f>HYPERLINK("https://www.youtube.com/watch?v=M5EkrannzQ0", "Video")</f>
        <v/>
      </c>
      <c r="B1100" t="inlineStr">
        <is>
          <t>0:22</t>
        </is>
      </c>
      <c r="C1100" t="inlineStr">
        <is>
          <t>little bit of understanding of this last</t>
        </is>
      </c>
      <c r="D1100">
        <f>HYPERLINK("https://www.youtube.com/watch?v=M5EkrannzQ0&amp;t=22s", "Go to time")</f>
        <v/>
      </c>
    </row>
    <row r="1101">
      <c r="A1101">
        <f>HYPERLINK("https://www.youtube.com/watch?v=fAuj5XwRz0I", "Video")</f>
        <v/>
      </c>
      <c r="B1101" t="inlineStr">
        <is>
          <t>7:17</t>
        </is>
      </c>
      <c r="C1101" t="inlineStr">
        <is>
          <t>exorbitant amount of money um but there</t>
        </is>
      </c>
      <c r="D1101">
        <f>HYPERLINK("https://www.youtube.com/watch?v=fAuj5XwRz0I&amp;t=437s", "Go to time")</f>
        <v/>
      </c>
    </row>
    <row r="1102">
      <c r="A1102">
        <f>HYPERLINK("https://www.youtube.com/watch?v=fAuj5XwRz0I", "Video")</f>
        <v/>
      </c>
      <c r="B1102" t="inlineStr">
        <is>
          <t>8:09</t>
        </is>
      </c>
      <c r="C1102" t="inlineStr">
        <is>
          <t>little bits of DNA on it that detect</t>
        </is>
      </c>
      <c r="D1102">
        <f>HYPERLINK("https://www.youtube.com/watch?v=fAuj5XwRz0I&amp;t=489s", "Go to time")</f>
        <v/>
      </c>
    </row>
    <row r="1103">
      <c r="A1103">
        <f>HYPERLINK("https://www.youtube.com/watch?v=IS7Cv04hwjc", "Video")</f>
        <v/>
      </c>
      <c r="B1103" t="inlineStr">
        <is>
          <t>1:56</t>
        </is>
      </c>
      <c r="C1103" t="inlineStr">
        <is>
          <t>play maybe a little bit beyond their</t>
        </is>
      </c>
      <c r="D1103">
        <f>HYPERLINK("https://www.youtube.com/watch?v=IS7Cv04hwjc&amp;t=116s", "Go to time")</f>
        <v/>
      </c>
    </row>
    <row r="1104">
      <c r="A1104">
        <f>HYPERLINK("https://www.youtube.com/watch?v=Nf6hRIbtylw", "Video")</f>
        <v/>
      </c>
      <c r="B1104" t="inlineStr">
        <is>
          <t>0:02</t>
        </is>
      </c>
      <c r="C1104" t="inlineStr">
        <is>
          <t>James Randi: I’m a bit of an amateur at 
shuffling cards. Ho, ho, ho. But when</t>
        </is>
      </c>
      <c r="D1104">
        <f>HYPERLINK("https://www.youtube.com/watch?v=Nf6hRIbtylw&amp;t=2s", "Go to time")</f>
        <v/>
      </c>
    </row>
    <row r="1105">
      <c r="A1105">
        <f>HYPERLINK("https://www.youtube.com/watch?v=MQFTto1Afts", "Video")</f>
        <v/>
      </c>
      <c r="B1105" t="inlineStr">
        <is>
          <t>5:01</t>
        </is>
      </c>
      <c r="C1105" t="inlineStr">
        <is>
          <t>and they eat 50 bites and they pay $50</t>
        </is>
      </c>
      <c r="D1105">
        <f>HYPERLINK("https://www.youtube.com/watch?v=MQFTto1Afts&amp;t=301s", "Go to time")</f>
        <v/>
      </c>
    </row>
    <row r="1106">
      <c r="A1106">
        <f>HYPERLINK("https://www.youtube.com/watch?v=MQFTto1Afts", "Video")</f>
        <v/>
      </c>
      <c r="B1106" t="inlineStr">
        <is>
          <t>5:08</t>
        </is>
      </c>
      <c r="C1106" t="inlineStr">
        <is>
          <t>price 50 cents per bite and moreover</t>
        </is>
      </c>
      <c r="D1106">
        <f>HYPERLINK("https://www.youtube.com/watch?v=MQFTto1Afts&amp;t=308s", "Go to time")</f>
        <v/>
      </c>
    </row>
    <row r="1107">
      <c r="A1107">
        <f>HYPERLINK("https://www.youtube.com/watch?v=MQFTto1Afts", "Video")</f>
        <v/>
      </c>
      <c r="B1107" t="inlineStr">
        <is>
          <t>5:11</t>
        </is>
      </c>
      <c r="C1107" t="inlineStr">
        <is>
          <t>I'll only charge you for the bites you</t>
        </is>
      </c>
      <c r="D1107">
        <f>HYPERLINK("https://www.youtube.com/watch?v=MQFTto1Afts&amp;t=311s", "Go to time")</f>
        <v/>
      </c>
    </row>
    <row r="1108">
      <c r="A1108">
        <f>HYPERLINK("https://www.youtube.com/watch?v=MQFTto1Afts", "Video")</f>
        <v/>
      </c>
      <c r="B1108" t="inlineStr">
        <is>
          <t>5:17</t>
        </is>
      </c>
      <c r="C1108" t="inlineStr">
        <is>
          <t>there with your wallet and every bite</t>
        </is>
      </c>
      <c r="D1108">
        <f>HYPERLINK("https://www.youtube.com/watch?v=MQFTto1Afts&amp;t=317s", "Go to time")</f>
        <v/>
      </c>
    </row>
    <row r="1109">
      <c r="A1109">
        <f>HYPERLINK("https://www.youtube.com/watch?v=MQFTto1Afts", "Video")</f>
        <v/>
      </c>
      <c r="B1109" t="inlineStr">
        <is>
          <t>5:30</t>
        </is>
      </c>
      <c r="C1109" t="inlineStr">
        <is>
          <t>only the bites you eat but how much fun</t>
        </is>
      </c>
      <c r="D1109">
        <f>HYPERLINK("https://www.youtube.com/watch?v=MQFTto1Afts&amp;t=330s", "Go to time")</f>
        <v/>
      </c>
    </row>
    <row r="1110">
      <c r="A1110">
        <f>HYPERLINK("https://www.youtube.com/watch?v=MQFTto1Afts", "Video")</f>
        <v/>
      </c>
      <c r="B1110" t="inlineStr">
        <is>
          <t>6:26</t>
        </is>
      </c>
      <c r="C1110" t="inlineStr">
        <is>
          <t>cash you feel a bit more guilt it's a</t>
        </is>
      </c>
      <c r="D1110">
        <f>HYPERLINK("https://www.youtube.com/watch?v=MQFTto1Afts&amp;t=386s", "Go to time")</f>
        <v/>
      </c>
    </row>
    <row r="1111">
      <c r="A1111">
        <f>HYPERLINK("https://www.youtube.com/watch?v=MQFTto1Afts", "Video")</f>
        <v/>
      </c>
      <c r="B1111" t="inlineStr">
        <is>
          <t>6:28</t>
        </is>
      </c>
      <c r="C1111" t="inlineStr">
        <is>
          <t>bit more difficult it's kind of more</t>
        </is>
      </c>
      <c r="D1111">
        <f>HYPERLINK("https://www.youtube.com/watch?v=MQFTto1Afts&amp;t=388s", "Go to time")</f>
        <v/>
      </c>
    </row>
    <row r="1112">
      <c r="A1112">
        <f>HYPERLINK("https://www.youtube.com/watch?v=MQFTto1Afts", "Video")</f>
        <v/>
      </c>
      <c r="B1112" t="inlineStr">
        <is>
          <t>6:55</t>
        </is>
      </c>
      <c r="C1112" t="inlineStr">
        <is>
          <t>of paying debit card have a little bit</t>
        </is>
      </c>
      <c r="D1112">
        <f>HYPERLINK("https://www.youtube.com/watch?v=MQFTto1Afts&amp;t=415s", "Go to time")</f>
        <v/>
      </c>
    </row>
    <row r="1113">
      <c r="A1113">
        <f>HYPERLINK("https://www.youtube.com/watch?v=zh8E95Uhcts", "Video")</f>
        <v/>
      </c>
      <c r="B1113" t="inlineStr">
        <is>
          <t>2:15</t>
        </is>
      </c>
      <c r="C1113" t="inlineStr">
        <is>
          <t>program otherwise there's empty
so that makes them a bit less</t>
        </is>
      </c>
      <c r="D1113">
        <f>HYPERLINK("https://www.youtube.com/watch?v=zh8E95Uhcts&amp;t=135s", "Go to time")</f>
        <v/>
      </c>
    </row>
    <row r="1114">
      <c r="A1114">
        <f>HYPERLINK("https://www.youtube.com/watch?v=zh8E95Uhcts", "Video")</f>
        <v/>
      </c>
      <c r="B1114" t="inlineStr">
        <is>
          <t>2:36</t>
        </is>
      </c>
      <c r="C1114" t="inlineStr">
        <is>
          <t>that takes a bit more creativity get
smarter faster with new videos daily at</t>
        </is>
      </c>
      <c r="D1114">
        <f>HYPERLINK("https://www.youtube.com/watch?v=zh8E95Uhcts&amp;t=156s", "Go to time")</f>
        <v/>
      </c>
    </row>
    <row r="1115">
      <c r="A1115">
        <f>HYPERLINK("https://www.youtube.com/watch?v=rJoHJNtb8Sw", "Video")</f>
        <v/>
      </c>
      <c r="B1115" t="inlineStr">
        <is>
          <t>6:13</t>
        </is>
      </c>
      <c r="C1115" t="inlineStr">
        <is>
          <t>inhibit the activity of that particular</t>
        </is>
      </c>
      <c r="D1115">
        <f>HYPERLINK("https://www.youtube.com/watch?v=rJoHJNtb8Sw&amp;t=373s", "Go to time")</f>
        <v/>
      </c>
    </row>
    <row r="1116">
      <c r="A1116">
        <f>HYPERLINK("https://www.youtube.com/watch?v=rJoHJNtb8Sw", "Video")</f>
        <v/>
      </c>
      <c r="B1116" t="inlineStr">
        <is>
          <t>8:09</t>
        </is>
      </c>
      <c r="C1116" t="inlineStr">
        <is>
          <t>um dial the activity of these inhibitors</t>
        </is>
      </c>
      <c r="D1116">
        <f>HYPERLINK("https://www.youtube.com/watch?v=rJoHJNtb8Sw&amp;t=489s", "Go to time")</f>
        <v/>
      </c>
    </row>
    <row r="1117">
      <c r="A1117">
        <f>HYPERLINK("https://www.youtube.com/watch?v=rJoHJNtb8Sw", "Video")</f>
        <v/>
      </c>
      <c r="B1117" t="inlineStr">
        <is>
          <t>8:20</t>
        </is>
      </c>
      <c r="C1117" t="inlineStr">
        <is>
          <t>you you want to inhibit its activity 50%</t>
        </is>
      </c>
      <c r="D1117">
        <f>HYPERLINK("https://www.youtube.com/watch?v=rJoHJNtb8Sw&amp;t=500s", "Go to time")</f>
        <v/>
      </c>
    </row>
    <row r="1118">
      <c r="A1118">
        <f>HYPERLINK("https://www.youtube.com/watch?v=IpbyDIpIStc", "Video")</f>
        <v/>
      </c>
      <c r="B1118" t="inlineStr">
        <is>
          <t>0:44</t>
        </is>
      </c>
      <c r="C1118" t="inlineStr">
        <is>
          <t>right that bits your bit that's bit</t>
        </is>
      </c>
      <c r="D1118">
        <f>HYPERLINK("https://www.youtube.com/watch?v=IpbyDIpIStc&amp;t=44s", "Go to time")</f>
        <v/>
      </c>
    </row>
    <row r="1119">
      <c r="A1119">
        <f>HYPERLINK("https://www.youtube.com/watch?v=7XU7QtC1VDg", "Video")</f>
        <v/>
      </c>
      <c r="B1119" t="inlineStr">
        <is>
          <t>14:49</t>
        </is>
      </c>
      <c r="C1119" t="inlineStr">
        <is>
          <t>bit of a revolving door you know kind of</t>
        </is>
      </c>
      <c r="D1119">
        <f>HYPERLINK("https://www.youtube.com/watch?v=7XU7QtC1VDg&amp;t=889s", "Go to time")</f>
        <v/>
      </c>
    </row>
    <row r="1120">
      <c r="A1120">
        <f>HYPERLINK("https://www.youtube.com/watch?v=7XU7QtC1VDg", "Video")</f>
        <v/>
      </c>
      <c r="B1120" t="inlineStr">
        <is>
          <t>15:00</t>
        </is>
      </c>
      <c r="C1120" t="inlineStr">
        <is>
          <t>changed there's going to be a little bit</t>
        </is>
      </c>
      <c r="D1120">
        <f>HYPERLINK("https://www.youtube.com/watch?v=7XU7QtC1VDg&amp;t=900s", "Go to time")</f>
        <v/>
      </c>
    </row>
    <row r="1121">
      <c r="A1121">
        <f>HYPERLINK("https://www.youtube.com/watch?v=7XU7QtC1VDg", "Video")</f>
        <v/>
      </c>
      <c r="B1121" t="inlineStr">
        <is>
          <t>22:39</t>
        </is>
      </c>
      <c r="C1121" t="inlineStr">
        <is>
          <t>know a little bit below the radar screen</t>
        </is>
      </c>
      <c r="D1121">
        <f>HYPERLINK("https://www.youtube.com/watch?v=7XU7QtC1VDg&amp;t=1359s", "Go to time")</f>
        <v/>
      </c>
    </row>
    <row r="1122">
      <c r="A1122">
        <f>HYPERLINK("https://www.youtube.com/watch?v=7XU7QtC1VDg", "Video")</f>
        <v/>
      </c>
      <c r="B1122" t="inlineStr">
        <is>
          <t>24:55</t>
        </is>
      </c>
      <c r="C1122" t="inlineStr">
        <is>
          <t>Goat they can borrow a little bit of</t>
        </is>
      </c>
      <c r="D1122">
        <f>HYPERLINK("https://www.youtube.com/watch?v=7XU7QtC1VDg&amp;t=1495s", "Go to time")</f>
        <v/>
      </c>
    </row>
    <row r="1123">
      <c r="A1123">
        <f>HYPERLINK("https://www.youtube.com/watch?v=7XU7QtC1VDg", "Video")</f>
        <v/>
      </c>
      <c r="B1123" t="inlineStr">
        <is>
          <t>29:23</t>
        </is>
      </c>
      <c r="C1123" t="inlineStr">
        <is>
          <t>little bit of money you'll be able to</t>
        </is>
      </c>
      <c r="D1123">
        <f>HYPERLINK("https://www.youtube.com/watch?v=7XU7QtC1VDg&amp;t=1763s", "Go to time")</f>
        <v/>
      </c>
    </row>
    <row r="1124">
      <c r="A1124">
        <f>HYPERLINK("https://www.youtube.com/watch?v=7XU7QtC1VDg", "Video")</f>
        <v/>
      </c>
      <c r="B1124" t="inlineStr">
        <is>
          <t>32:32</t>
        </is>
      </c>
      <c r="C1124" t="inlineStr">
        <is>
          <t>little bit of</t>
        </is>
      </c>
      <c r="D1124">
        <f>HYPERLINK("https://www.youtube.com/watch?v=7XU7QtC1VDg&amp;t=1952s", "Go to time")</f>
        <v/>
      </c>
    </row>
    <row r="1125">
      <c r="A1125">
        <f>HYPERLINK("https://www.youtube.com/watch?v=7XU7QtC1VDg", "Video")</f>
        <v/>
      </c>
      <c r="B1125" t="inlineStr">
        <is>
          <t>34:39</t>
        </is>
      </c>
      <c r="C1125" t="inlineStr">
        <is>
          <t>bit of a different story to many of the</t>
        </is>
      </c>
      <c r="D1125">
        <f>HYPERLINK("https://www.youtube.com/watch?v=7XU7QtC1VDg&amp;t=2079s", "Go to time")</f>
        <v/>
      </c>
    </row>
    <row r="1126">
      <c r="A1126">
        <f>HYPERLINK("https://www.youtube.com/watch?v=O6jrwLWxve0", "Video")</f>
        <v/>
      </c>
      <c r="B1126" t="inlineStr">
        <is>
          <t>4:56</t>
        </is>
      </c>
      <c r="C1126" t="inlineStr">
        <is>
          <t>delay the reward it's a little bit like</t>
        </is>
      </c>
      <c r="D1126">
        <f>HYPERLINK("https://www.youtube.com/watch?v=O6jrwLWxve0&amp;t=296s", "Go to time")</f>
        <v/>
      </c>
    </row>
    <row r="1127">
      <c r="A1127">
        <f>HYPERLINK("https://www.youtube.com/watch?v=O6jrwLWxve0", "Video")</f>
        <v/>
      </c>
      <c r="B1127" t="inlineStr">
        <is>
          <t>5:16</t>
        </is>
      </c>
      <c r="C1127" t="inlineStr">
        <is>
          <t>bit like um changing your memory of the</t>
        </is>
      </c>
      <c r="D1127">
        <f>HYPERLINK("https://www.youtube.com/watch?v=O6jrwLWxve0&amp;t=316s", "Go to time")</f>
        <v/>
      </c>
    </row>
    <row r="1128">
      <c r="A1128">
        <f>HYPERLINK("https://www.youtube.com/watch?v=O6jrwLWxve0", "Video")</f>
        <v/>
      </c>
      <c r="B1128" t="inlineStr">
        <is>
          <t>6:08</t>
        </is>
      </c>
      <c r="C1128" t="inlineStr">
        <is>
          <t>called orbital frontal</t>
        </is>
      </c>
      <c r="D1128">
        <f>HYPERLINK("https://www.youtube.com/watch?v=O6jrwLWxve0&amp;t=368s", "Go to time")</f>
        <v/>
      </c>
    </row>
    <row r="1129">
      <c r="A1129">
        <f>HYPERLINK("https://www.youtube.com/watch?v=TMZxex_MX8g", "Video")</f>
        <v/>
      </c>
      <c r="B1129" t="inlineStr">
        <is>
          <t>2:45</t>
        </is>
      </c>
      <c r="C1129" t="inlineStr">
        <is>
          <t>little bit and that they they are</t>
        </is>
      </c>
      <c r="D1129">
        <f>HYPERLINK("https://www.youtube.com/watch?v=TMZxex_MX8g&amp;t=165s", "Go to time")</f>
        <v/>
      </c>
    </row>
    <row r="1130">
      <c r="A1130">
        <f>HYPERLINK("https://www.youtube.com/watch?v=TMZxex_MX8g", "Video")</f>
        <v/>
      </c>
      <c r="B1130" t="inlineStr">
        <is>
          <t>2:50</t>
        </is>
      </c>
      <c r="C1130" t="inlineStr">
        <is>
          <t>retract a little bit and the Practical</t>
        </is>
      </c>
      <c r="D1130">
        <f>HYPERLINK("https://www.youtube.com/watch?v=TMZxex_MX8g&amp;t=170s", "Go to time")</f>
        <v/>
      </c>
    </row>
    <row r="1131">
      <c r="A1131">
        <f>HYPERLINK("https://www.youtube.com/watch?v=TMZxex_MX8g", "Video")</f>
        <v/>
      </c>
      <c r="B1131" t="inlineStr">
        <is>
          <t>15:08</t>
        </is>
      </c>
      <c r="C1131" t="inlineStr">
        <is>
          <t>that maybe gets lost a little bit right</t>
        </is>
      </c>
      <c r="D1131">
        <f>HYPERLINK("https://www.youtube.com/watch?v=TMZxex_MX8g&amp;t=908s", "Go to time")</f>
        <v/>
      </c>
    </row>
    <row r="1132">
      <c r="A1132">
        <f>HYPERLINK("https://www.youtube.com/watch?v=TMZxex_MX8g", "Video")</f>
        <v/>
      </c>
      <c r="B1132" t="inlineStr">
        <is>
          <t>33:51</t>
        </is>
      </c>
      <c r="C1132" t="inlineStr">
        <is>
          <t>um to daydream a little bit on the job</t>
        </is>
      </c>
      <c r="D1132">
        <f>HYPERLINK("https://www.youtube.com/watch?v=TMZxex_MX8g&amp;t=2031s", "Go to time")</f>
        <v/>
      </c>
    </row>
    <row r="1133">
      <c r="A1133">
        <f>HYPERLINK("https://www.youtube.com/watch?v=TMZxex_MX8g", "Video")</f>
        <v/>
      </c>
      <c r="B1133" t="inlineStr">
        <is>
          <t>39:42</t>
        </is>
      </c>
      <c r="C1133" t="inlineStr">
        <is>
          <t>they're all going to look a little bit</t>
        </is>
      </c>
      <c r="D1133">
        <f>HYPERLINK("https://www.youtube.com/watch?v=TMZxex_MX8g&amp;t=2382s", "Go to time")</f>
        <v/>
      </c>
    </row>
    <row r="1134">
      <c r="A1134">
        <f>HYPERLINK("https://www.youtube.com/watch?v=TMZxex_MX8g", "Video")</f>
        <v/>
      </c>
      <c r="B1134" t="inlineStr">
        <is>
          <t>43:08</t>
        </is>
      </c>
      <c r="C1134" t="inlineStr">
        <is>
          <t>just an example of being a little bit</t>
        </is>
      </c>
      <c r="D1134">
        <f>HYPERLINK("https://www.youtube.com/watch?v=TMZxex_MX8g&amp;t=2588s", "Go to time")</f>
        <v/>
      </c>
    </row>
    <row r="1135">
      <c r="A1135">
        <f>HYPERLINK("https://www.youtube.com/watch?v=eSpOLeDEgos", "Video")</f>
        <v/>
      </c>
      <c r="B1135" t="inlineStr">
        <is>
          <t>0:11</t>
        </is>
      </c>
      <c r="C1135" t="inlineStr">
        <is>
          <t>yes it actually has quite a bit I um</t>
        </is>
      </c>
      <c r="D1135">
        <f>HYPERLINK("https://www.youtube.com/watch?v=eSpOLeDEgos&amp;t=11s", "Go to time")</f>
        <v/>
      </c>
    </row>
    <row r="1136">
      <c r="A1136">
        <f>HYPERLINK("https://www.youtube.com/watch?v=Qr5yweBE-8w", "Video")</f>
        <v/>
      </c>
      <c r="B1136" t="inlineStr">
        <is>
          <t>4:30</t>
        </is>
      </c>
      <c r="C1136" t="inlineStr">
        <is>
          <t>um ambitious women who wanted to</t>
        </is>
      </c>
      <c r="D1136">
        <f>HYPERLINK("https://www.youtube.com/watch?v=Qr5yweBE-8w&amp;t=270s", "Go to time")</f>
        <v/>
      </c>
    </row>
    <row r="1137">
      <c r="A1137">
        <f>HYPERLINK("https://www.youtube.com/watch?v=-BoKpujeIvQ", "Video")</f>
        <v/>
      </c>
      <c r="B1137" t="inlineStr">
        <is>
          <t>0:35</t>
        </is>
      </c>
      <c r="C1137" t="inlineStr">
        <is>
          <t>energy it's a it's a bit of a problem</t>
        </is>
      </c>
      <c r="D1137">
        <f>HYPERLINK("https://www.youtube.com/watch?v=-BoKpujeIvQ&amp;t=35s", "Go to time")</f>
        <v/>
      </c>
    </row>
    <row r="1138">
      <c r="A1138">
        <f>HYPERLINK("https://www.youtube.com/watch?v=tH27qW3a49s", "Video")</f>
        <v/>
      </c>
      <c r="B1138" t="inlineStr">
        <is>
          <t>2:21</t>
        </is>
      </c>
      <c r="C1138" t="inlineStr">
        <is>
          <t>do so um I what do I have to be bitter</t>
        </is>
      </c>
      <c r="D1138">
        <f>HYPERLINK("https://www.youtube.com/watch?v=tH27qW3a49s&amp;t=141s", "Go to time")</f>
        <v/>
      </c>
    </row>
    <row r="1139">
      <c r="A1139">
        <f>HYPERLINK("https://www.youtube.com/watch?v=8t5MhhJ6SxQ", "Video")</f>
        <v/>
      </c>
      <c r="B1139" t="inlineStr">
        <is>
          <t>4:20</t>
        </is>
      </c>
      <c r="C1139" t="inlineStr">
        <is>
          <t>quite a bit but when they're intoxicated</t>
        </is>
      </c>
      <c r="D1139">
        <f>HYPERLINK("https://www.youtube.com/watch?v=8t5MhhJ6SxQ&amp;t=260s", "Go to time")</f>
        <v/>
      </c>
    </row>
    <row r="1140">
      <c r="A1140">
        <f>HYPERLINK("https://www.youtube.com/watch?v=EfdyRL3ELpo", "Video")</f>
        <v/>
      </c>
      <c r="B1140" t="inlineStr">
        <is>
          <t>1:42</t>
        </is>
      </c>
      <c r="C1140" t="inlineStr">
        <is>
          <t>a couple houses that are inhabited on A</t>
        </is>
      </c>
      <c r="D1140">
        <f>HYPERLINK("https://www.youtube.com/watch?v=EfdyRL3ELpo&amp;t=102s", "Go to time")</f>
        <v/>
      </c>
    </row>
    <row r="1141">
      <c r="A1141">
        <f>HYPERLINK("https://www.youtube.com/watch?v=s05mvJWWmeM", "Video")</f>
        <v/>
      </c>
      <c r="B1141" t="inlineStr">
        <is>
          <t>2:42</t>
        </is>
      </c>
      <c r="C1141" t="inlineStr">
        <is>
          <t>a bit of a mystery as to how and why</t>
        </is>
      </c>
      <c r="D1141">
        <f>HYPERLINK("https://www.youtube.com/watch?v=s05mvJWWmeM&amp;t=162s", "Go to time")</f>
        <v/>
      </c>
    </row>
    <row r="1142">
      <c r="A1142">
        <f>HYPERLINK("https://www.youtube.com/watch?v=5LpaVYxTedE", "Video")</f>
        <v/>
      </c>
      <c r="B1142" t="inlineStr">
        <is>
          <t>3:54</t>
        </is>
      </c>
      <c r="C1142" t="inlineStr">
        <is>
          <t>They move a little bit more slowly.</t>
        </is>
      </c>
      <c r="D1142">
        <f>HYPERLINK("https://www.youtube.com/watch?v=5LpaVYxTedE&amp;t=234s", "Go to time")</f>
        <v/>
      </c>
    </row>
    <row r="1143">
      <c r="A1143">
        <f>HYPERLINK("https://www.youtube.com/watch?v=5LpaVYxTedE", "Video")</f>
        <v/>
      </c>
      <c r="B1143" t="inlineStr">
        <is>
          <t>4:56</t>
        </is>
      </c>
      <c r="C1143" t="inlineStr">
        <is>
          <t>In a dog's nose, it works
a little bit differently.</t>
        </is>
      </c>
      <c r="D1143">
        <f>HYPERLINK("https://www.youtube.com/watch?v=5LpaVYxTedE&amp;t=296s", "Go to time")</f>
        <v/>
      </c>
    </row>
    <row r="1144">
      <c r="A1144">
        <f>HYPERLINK("https://www.youtube.com/watch?v=5LpaVYxTedE", "Video")</f>
        <v/>
      </c>
      <c r="B1144" t="inlineStr">
        <is>
          <t>5:05</t>
        </is>
      </c>
      <c r="C1144" t="inlineStr">
        <is>
          <t>The bit that goes into the nose enters</t>
        </is>
      </c>
      <c r="D1144">
        <f>HYPERLINK("https://www.youtube.com/watch?v=5LpaVYxTedE&amp;t=305s", "Go to time")</f>
        <v/>
      </c>
    </row>
    <row r="1145">
      <c r="A1145">
        <f>HYPERLINK("https://www.youtube.com/watch?v=CqibqD4fJZs", "Video")</f>
        <v/>
      </c>
      <c r="B1145" t="inlineStr">
        <is>
          <t>3:23</t>
        </is>
      </c>
      <c r="C1145" t="inlineStr">
        <is>
          <t>It’s sort of people frown at you and say,
“Well, that’s a bit dull and stupid.</t>
        </is>
      </c>
      <c r="D1145">
        <f>HYPERLINK("https://www.youtube.com/watch?v=CqibqD4fJZs&amp;t=203s", "Go to time")</f>
        <v/>
      </c>
    </row>
    <row r="1146">
      <c r="A1146">
        <f>HYPERLINK("https://www.youtube.com/watch?v=CqibqD4fJZs", "Video")</f>
        <v/>
      </c>
      <c r="B1146" t="inlineStr">
        <is>
          <t>7:14</t>
        </is>
      </c>
      <c r="C1146" t="inlineStr">
        <is>
          <t>There is not any way that you can just choose
the nice bits and say that means there is</t>
        </is>
      </c>
      <c r="D1146">
        <f>HYPERLINK("https://www.youtube.com/watch?v=CqibqD4fJZs&amp;t=434s", "Go to time")</f>
        <v/>
      </c>
    </row>
    <row r="1147">
      <c r="A1147">
        <f>HYPERLINK("https://www.youtube.com/watch?v=4TWXUNR6nKY", "Video")</f>
        <v/>
      </c>
      <c r="B1147" t="inlineStr">
        <is>
          <t>2:26</t>
        </is>
      </c>
      <c r="C1147" t="inlineStr">
        <is>
          <t>uh that impacted me quite a bit he said</t>
        </is>
      </c>
      <c r="D1147">
        <f>HYPERLINK("https://www.youtube.com/watch?v=4TWXUNR6nKY&amp;t=146s", "Go to time")</f>
        <v/>
      </c>
    </row>
    <row r="1148">
      <c r="A1148">
        <f>HYPERLINK("https://www.youtube.com/watch?v=4TWXUNR6nKY", "Video")</f>
        <v/>
      </c>
      <c r="B1148" t="inlineStr">
        <is>
          <t>2:52</t>
        </is>
      </c>
      <c r="C1148" t="inlineStr">
        <is>
          <t>bit he's no longer alive but um he was</t>
        </is>
      </c>
      <c r="D1148">
        <f>HYPERLINK("https://www.youtube.com/watch?v=4TWXUNR6nKY&amp;t=172s", "Go to time")</f>
        <v/>
      </c>
    </row>
    <row r="1149">
      <c r="A1149">
        <f>HYPERLINK("https://www.youtube.com/watch?v=4TWXUNR6nKY", "Video")</f>
        <v/>
      </c>
      <c r="B1149" t="inlineStr">
        <is>
          <t>16:05</t>
        </is>
      </c>
      <c r="C1149" t="inlineStr">
        <is>
          <t>to uh create a bit of a you know kind of</t>
        </is>
      </c>
      <c r="D1149">
        <f>HYPERLINK("https://www.youtube.com/watch?v=4TWXUNR6nKY&amp;t=965s", "Go to time")</f>
        <v/>
      </c>
    </row>
    <row r="1150">
      <c r="A1150">
        <f>HYPERLINK("https://www.youtube.com/watch?v=Chj2AT2zr8w", "Video")</f>
        <v/>
      </c>
      <c r="B1150" t="inlineStr">
        <is>
          <t>4:27</t>
        </is>
      </c>
      <c r="C1150" t="inlineStr">
        <is>
          <t>still quite a bit of bit of away from</t>
        </is>
      </c>
      <c r="D1150">
        <f>HYPERLINK("https://www.youtube.com/watch?v=Chj2AT2zr8w&amp;t=267s", "Go to time")</f>
        <v/>
      </c>
    </row>
    <row r="1151">
      <c r="A1151">
        <f>HYPERLINK("https://www.youtube.com/watch?v=Chj2AT2zr8w", "Video")</f>
        <v/>
      </c>
      <c r="B1151" t="inlineStr">
        <is>
          <t>4:46</t>
        </is>
      </c>
      <c r="C1151" t="inlineStr">
        <is>
          <t>got a bit of a way to go with</t>
        </is>
      </c>
      <c r="D1151">
        <f>HYPERLINK("https://www.youtube.com/watch?v=Chj2AT2zr8w&amp;t=286s", "Go to time")</f>
        <v/>
      </c>
    </row>
    <row r="1152">
      <c r="A1152">
        <f>HYPERLINK("https://www.youtube.com/watch?v=uMZ2dAMhJSM", "Video")</f>
        <v/>
      </c>
      <c r="B1152" t="inlineStr">
        <is>
          <t>2:19</t>
        </is>
      </c>
      <c r="C1152" t="inlineStr">
        <is>
          <t>And so part of being a
great leader is ambition.</t>
        </is>
      </c>
      <c r="D1152">
        <f>HYPERLINK("https://www.youtube.com/watch?v=uMZ2dAMhJSM&amp;t=139s", "Go to time")</f>
        <v/>
      </c>
    </row>
    <row r="1153">
      <c r="A1153">
        <f>HYPERLINK("https://www.youtube.com/watch?v=uMZ2dAMhJSM", "Video")</f>
        <v/>
      </c>
      <c r="B1153" t="inlineStr">
        <is>
          <t>2:27</t>
        </is>
      </c>
      <c r="C1153" t="inlineStr">
        <is>
          <t>if you're a leader with
an ambitious agenda,</t>
        </is>
      </c>
      <c r="D1153">
        <f>HYPERLINK("https://www.youtube.com/watch?v=uMZ2dAMhJSM&amp;t=147s", "Go to time")</f>
        <v/>
      </c>
    </row>
    <row r="1154">
      <c r="A1154">
        <f>HYPERLINK("https://www.youtube.com/watch?v=uMZ2dAMhJSM", "Video")</f>
        <v/>
      </c>
      <c r="B1154" t="inlineStr">
        <is>
          <t>2:55</t>
        </is>
      </c>
      <c r="C1154" t="inlineStr">
        <is>
          <t>at achieving that ambition,</t>
        </is>
      </c>
      <c r="D1154">
        <f>HYPERLINK("https://www.youtube.com/watch?v=uMZ2dAMhJSM&amp;t=175s", "Go to time")</f>
        <v/>
      </c>
    </row>
    <row r="1155">
      <c r="A1155">
        <f>HYPERLINK("https://www.youtube.com/watch?v=uMZ2dAMhJSM", "Video")</f>
        <v/>
      </c>
      <c r="B1155" t="inlineStr">
        <is>
          <t>3:36</t>
        </is>
      </c>
      <c r="C1155" t="inlineStr">
        <is>
          <t>as it was going into orbit.</t>
        </is>
      </c>
      <c r="D1155">
        <f>HYPERLINK("https://www.youtube.com/watch?v=uMZ2dAMhJSM&amp;t=216s", "Go to time")</f>
        <v/>
      </c>
    </row>
    <row r="1156">
      <c r="A1156">
        <f>HYPERLINK("https://www.youtube.com/watch?v=uMZ2dAMhJSM", "Video")</f>
        <v/>
      </c>
      <c r="B1156" t="inlineStr">
        <is>
          <t>3:57</t>
        </is>
      </c>
      <c r="C1156" t="inlineStr">
        <is>
          <t>So you have to be thinking
speed, ambitious, globalization.</t>
        </is>
      </c>
      <c r="D1156">
        <f>HYPERLINK("https://www.youtube.com/watch?v=uMZ2dAMhJSM&amp;t=237s", "Go to time")</f>
        <v/>
      </c>
    </row>
    <row r="1157">
      <c r="A1157">
        <f>HYPERLINK("https://www.youtube.com/watch?v=uMZ2dAMhJSM", "Video")</f>
        <v/>
      </c>
      <c r="B1157" t="inlineStr">
        <is>
          <t>6:36</t>
        </is>
      </c>
      <c r="C1157" t="inlineStr">
        <is>
          <t>having the ambition to
be global from day one,</t>
        </is>
      </c>
      <c r="D1157">
        <f>HYPERLINK("https://www.youtube.com/watch?v=uMZ2dAMhJSM&amp;t=396s", "Go to time")</f>
        <v/>
      </c>
    </row>
    <row r="1158">
      <c r="A1158">
        <f>HYPERLINK("https://www.youtube.com/watch?v=uMZ2dAMhJSM", "Video")</f>
        <v/>
      </c>
      <c r="B1158" t="inlineStr">
        <is>
          <t>7:39</t>
        </is>
      </c>
      <c r="C1158" t="inlineStr">
        <is>
          <t>That ambition from Travis was
pushing on the gas on that.</t>
        </is>
      </c>
      <c r="D1158">
        <f>HYPERLINK("https://www.youtube.com/watch?v=uMZ2dAMhJSM&amp;t=459s", "Go to time")</f>
        <v/>
      </c>
    </row>
    <row r="1159">
      <c r="A1159">
        <f>HYPERLINK("https://www.youtube.com/watch?v=2FgWw4KHpiA", "Video")</f>
        <v/>
      </c>
      <c r="B1159" t="inlineStr">
        <is>
          <t>2:24</t>
        </is>
      </c>
      <c r="C1159" t="inlineStr">
        <is>
          <t>to be a little bit more forgiving than that
and realize that -- and I know this could</t>
        </is>
      </c>
      <c r="D1159">
        <f>HYPERLINK("https://www.youtube.com/watch?v=2FgWw4KHpiA&amp;t=144s", "Go to time")</f>
        <v/>
      </c>
    </row>
    <row r="1160">
      <c r="A1160">
        <f>HYPERLINK("https://www.youtube.com/watch?v=GzrlI6Ybxxk", "Video")</f>
        <v/>
      </c>
      <c r="B1160" t="inlineStr">
        <is>
          <t>1:39</t>
        </is>
      </c>
      <c r="C1160" t="inlineStr">
        <is>
          <t>little bit more obvious this is</t>
        </is>
      </c>
      <c r="D1160">
        <f>HYPERLINK("https://www.youtube.com/watch?v=GzrlI6Ybxxk&amp;t=99s", "Go to time")</f>
        <v/>
      </c>
    </row>
    <row r="1161">
      <c r="A1161">
        <f>HYPERLINK("https://www.youtube.com/watch?v=KI3OuPvrQLo", "Video")</f>
        <v/>
      </c>
      <c r="B1161" t="inlineStr">
        <is>
          <t>0:37</t>
        </is>
      </c>
      <c r="C1161" t="inlineStr">
        <is>
          <t>bit less</t>
        </is>
      </c>
      <c r="D1161">
        <f>HYPERLINK("https://www.youtube.com/watch?v=KI3OuPvrQLo&amp;t=37s", "Go to time")</f>
        <v/>
      </c>
    </row>
    <row r="1162">
      <c r="A1162">
        <f>HYPERLINK("https://www.youtube.com/watch?v=KI3OuPvrQLo", "Video")</f>
        <v/>
      </c>
      <c r="B1162" t="inlineStr">
        <is>
          <t>3:46</t>
        </is>
      </c>
      <c r="C1162" t="inlineStr">
        <is>
          <t>California and New Jersey as I bitterly</t>
        </is>
      </c>
      <c r="D1162">
        <f>HYPERLINK("https://www.youtube.com/watch?v=KI3OuPvrQLo&amp;t=226s", "Go to time")</f>
        <v/>
      </c>
    </row>
    <row r="1163">
      <c r="A1163">
        <f>HYPERLINK("https://www.youtube.com/watch?v=kX6q7S_1POI", "Video")</f>
        <v/>
      </c>
      <c r="B1163" t="inlineStr">
        <is>
          <t>3:49</t>
        </is>
      </c>
      <c r="C1163" t="inlineStr">
        <is>
          <t>better well with a little bit of</t>
        </is>
      </c>
      <c r="D1163">
        <f>HYPERLINK("https://www.youtube.com/watch?v=kX6q7S_1POI&amp;t=229s", "Go to time")</f>
        <v/>
      </c>
    </row>
    <row r="1164">
      <c r="A1164">
        <f>HYPERLINK("https://www.youtube.com/watch?v=aT-8RGRWZ4M", "Video")</f>
        <v/>
      </c>
      <c r="B1164" t="inlineStr">
        <is>
          <t>4:12</t>
        </is>
      </c>
      <c r="C1164" t="inlineStr">
        <is>
          <t>people probably a little bit younger</t>
        </is>
      </c>
      <c r="D1164">
        <f>HYPERLINK("https://www.youtube.com/watch?v=aT-8RGRWZ4M&amp;t=252s", "Go to time")</f>
        <v/>
      </c>
    </row>
    <row r="1165">
      <c r="A1165">
        <f>HYPERLINK("https://www.youtube.com/watch?v=h7eYt4ZmkR8", "Video")</f>
        <v/>
      </c>
      <c r="B1165" t="inlineStr">
        <is>
          <t>1:27</t>
        </is>
      </c>
      <c r="C1165" t="inlineStr">
        <is>
          <t>The orbital frontal cortex right behind your
eyes is where your conscience is.</t>
        </is>
      </c>
      <c r="D1165">
        <f>HYPERLINK("https://www.youtube.com/watch?v=h7eYt4ZmkR8&amp;t=87s", "Go to time")</f>
        <v/>
      </c>
    </row>
    <row r="1166">
      <c r="A1166">
        <f>HYPERLINK("https://www.youtube.com/watch?v=h7eYt4ZmkR8", "Video")</f>
        <v/>
      </c>
      <c r="B1166" t="inlineStr">
        <is>
          <t>2:25</t>
        </is>
      </c>
      <c r="C1166" t="inlineStr">
        <is>
          <t>Your orbital frontal cortex that is your conscience
is also shut off.</t>
        </is>
      </c>
      <c r="D1166">
        <f>HYPERLINK("https://www.youtube.com/watch?v=h7eYt4ZmkR8&amp;t=145s", "Go to time")</f>
        <v/>
      </c>
    </row>
    <row r="1167">
      <c r="A1167">
        <f>HYPERLINK("https://www.youtube.com/watch?v=ZgpRWzHf8Qs", "Video")</f>
        <v/>
      </c>
      <c r="B1167" t="inlineStr">
        <is>
          <t>3:17</t>
        </is>
      </c>
      <c r="C1167" t="inlineStr">
        <is>
          <t>that we are the only 
inhabited planet?</t>
        </is>
      </c>
      <c r="D1167">
        <f>HYPERLINK("https://www.youtube.com/watch?v=ZgpRWzHf8Qs&amp;t=197s", "Go to time")</f>
        <v/>
      </c>
    </row>
    <row r="1168">
      <c r="A1168">
        <f>HYPERLINK("https://www.youtube.com/watch?v=jpcJ3jX-2DA", "Video")</f>
        <v/>
      </c>
      <c r="B1168" t="inlineStr">
        <is>
          <t>2:04</t>
        </is>
      </c>
      <c r="C1168" t="inlineStr">
        <is>
          <t>There's just an itty bitty amount of energy
that we need to do complicated human things.</t>
        </is>
      </c>
      <c r="D1168">
        <f>HYPERLINK("https://www.youtube.com/watch?v=jpcJ3jX-2DA&amp;t=124s", "Go to time")</f>
        <v/>
      </c>
    </row>
    <row r="1169">
      <c r="A1169">
        <f>HYPERLINK("https://www.youtube.com/watch?v=jpcJ3jX-2DA", "Video")</f>
        <v/>
      </c>
      <c r="B1169" t="inlineStr">
        <is>
          <t>2:15</t>
        </is>
      </c>
      <c r="C1169" t="inlineStr">
        <is>
          <t>And we just need to capture a little bit of
that and turn it into electricity.</t>
        </is>
      </c>
      <c r="D1169">
        <f>HYPERLINK("https://www.youtube.com/watch?v=jpcJ3jX-2DA&amp;t=135s", "Go to time")</f>
        <v/>
      </c>
    </row>
    <row r="1170">
      <c r="A1170">
        <f>HYPERLINK("https://www.youtube.com/watch?v=B2Ta0yFoNG8", "Video")</f>
        <v/>
      </c>
      <c r="B1170" t="inlineStr">
        <is>
          <t>5:52</t>
        </is>
      </c>
      <c r="C1170" t="inlineStr">
        <is>
          <t>but I did and anyway, then I had a bit of a 
disaster in the mid nineties. I was in a play</t>
        </is>
      </c>
      <c r="D1170">
        <f>HYPERLINK("https://www.youtube.com/watch?v=B2Ta0yFoNG8&amp;t=352s", "Go to time")</f>
        <v/>
      </c>
    </row>
    <row r="1171">
      <c r="A1171">
        <f>HYPERLINK("https://www.youtube.com/watch?v=B2Ta0yFoNG8", "Video")</f>
        <v/>
      </c>
      <c r="B1171" t="inlineStr">
        <is>
          <t>6:25</t>
        </is>
      </c>
      <c r="C1171" t="inlineStr">
        <is>
          <t>even keel and more used to dealing with things 
and a little bit more clear about myself I made</t>
        </is>
      </c>
      <c r="D1171">
        <f>HYPERLINK("https://www.youtube.com/watch?v=B2Ta0yFoNG8&amp;t=385s", "Go to time")</f>
        <v/>
      </c>
    </row>
    <row r="1172">
      <c r="A1172">
        <f>HYPERLINK("https://www.youtube.com/watch?v=FBXkhJxZyq4", "Video")</f>
        <v/>
      </c>
      <c r="B1172" t="inlineStr">
        <is>
          <t>1:19</t>
        </is>
      </c>
      <c r="C1172" t="inlineStr">
        <is>
          <t>bit be show that tiny bit of respect for</t>
        </is>
      </c>
      <c r="D1172">
        <f>HYPERLINK("https://www.youtube.com/watch?v=FBXkhJxZyq4&amp;t=79s", "Go to time")</f>
        <v/>
      </c>
    </row>
    <row r="1173">
      <c r="A1173">
        <f>HYPERLINK("https://www.youtube.com/watch?v=FBXkhJxZyq4", "Video")</f>
        <v/>
      </c>
      <c r="B1173" t="inlineStr">
        <is>
          <t>3:07</t>
        </is>
      </c>
      <c r="C1173" t="inlineStr">
        <is>
          <t>exhibitionist streak I I betray my own</t>
        </is>
      </c>
      <c r="D1173">
        <f>HYPERLINK("https://www.youtube.com/watch?v=FBXkhJxZyq4&amp;t=187s", "Go to time")</f>
        <v/>
      </c>
    </row>
    <row r="1174">
      <c r="A1174">
        <f>HYPERLINK("https://www.youtube.com/watch?v=fW_f9oPKqpM", "Video")</f>
        <v/>
      </c>
      <c r="B1174" t="inlineStr">
        <is>
          <t>4:07</t>
        </is>
      </c>
      <c r="C1174" t="inlineStr">
        <is>
          <t>prepared to engage because it's a bit</t>
        </is>
      </c>
      <c r="D1174">
        <f>HYPERLINK("https://www.youtube.com/watch?v=fW_f9oPKqpM&amp;t=247s", "Go to time")</f>
        <v/>
      </c>
    </row>
    <row r="1175">
      <c r="A1175">
        <f>HYPERLINK("https://www.youtube.com/watch?v=sW5sMgGo7dw", "Video")</f>
        <v/>
      </c>
      <c r="B1175" t="inlineStr">
        <is>
          <t>0:39</t>
        </is>
      </c>
      <c r="C1175" t="inlineStr">
        <is>
          <t>Sometimes you need an arbiter to run the experiment.</t>
        </is>
      </c>
      <c r="D1175">
        <f>HYPERLINK("https://www.youtube.com/watch?v=sW5sMgGo7dw&amp;t=39s", "Go to time")</f>
        <v/>
      </c>
    </row>
    <row r="1176">
      <c r="A1176">
        <f>HYPERLINK("https://www.youtube.com/watch?v=sW5sMgGo7dw", "Video")</f>
        <v/>
      </c>
      <c r="B1176" t="inlineStr">
        <is>
          <t>2:01</t>
        </is>
      </c>
      <c r="C1176" t="inlineStr">
        <is>
          <t>it was a bit in two voices--but on most things
we agreed.</t>
        </is>
      </c>
      <c r="D1176">
        <f>HYPERLINK("https://www.youtube.com/watch?v=sW5sMgGo7dw&amp;t=121s", "Go to time")</f>
        <v/>
      </c>
    </row>
    <row r="1177">
      <c r="A1177">
        <f>HYPERLINK("https://www.youtube.com/watch?v=TOEMAq85Y-I", "Video")</f>
        <v/>
      </c>
      <c r="B1177" t="inlineStr">
        <is>
          <t>0:47</t>
        </is>
      </c>
      <c r="C1177" t="inlineStr">
        <is>
          <t>talked a little bit about how you can</t>
        </is>
      </c>
      <c r="D1177">
        <f>HYPERLINK("https://www.youtube.com/watch?v=TOEMAq85Y-I&amp;t=47s", "Go to time")</f>
        <v/>
      </c>
    </row>
    <row r="1178">
      <c r="A1178">
        <f>HYPERLINK("https://www.youtube.com/watch?v=fFMlcXltqD8", "Video")</f>
        <v/>
      </c>
      <c r="B1178" t="inlineStr">
        <is>
          <t>2:50</t>
        </is>
      </c>
      <c r="C1178" t="inlineStr">
        <is>
          <t>with a native habitat just like every</t>
        </is>
      </c>
      <c r="D1178">
        <f>HYPERLINK("https://www.youtube.com/watch?v=fFMlcXltqD8&amp;t=170s", "Go to time")</f>
        <v/>
      </c>
    </row>
    <row r="1179">
      <c r="A1179">
        <f>HYPERLINK("https://www.youtube.com/watch?v=BnFY3IvbcS0", "Video")</f>
        <v/>
      </c>
      <c r="B1179" t="inlineStr">
        <is>
          <t>1:16</t>
        </is>
      </c>
      <c r="C1179" t="inlineStr">
        <is>
          <t>I’m wondering if you can unpack that for
me a little bit and tell me more about what’s</t>
        </is>
      </c>
      <c r="D1179">
        <f>HYPERLINK("https://www.youtube.com/watch?v=BnFY3IvbcS0&amp;t=76s", "Go to time")</f>
        <v/>
      </c>
    </row>
    <row r="1180">
      <c r="A1180">
        <f>HYPERLINK("https://www.youtube.com/watch?v=BnFY3IvbcS0", "Video")</f>
        <v/>
      </c>
      <c r="B1180" t="inlineStr">
        <is>
          <t>1:42</t>
        </is>
      </c>
      <c r="C1180" t="inlineStr">
        <is>
          <t>And perhaps your mind will be opened a little
bit.</t>
        </is>
      </c>
      <c r="D1180">
        <f>HYPERLINK("https://www.youtube.com/watch?v=BnFY3IvbcS0&amp;t=102s", "Go to time")</f>
        <v/>
      </c>
    </row>
    <row r="1181">
      <c r="A1181">
        <f>HYPERLINK("https://www.youtube.com/watch?v=TL1C-WoKuIk", "Video")</f>
        <v/>
      </c>
      <c r="B1181" t="inlineStr">
        <is>
          <t>0:29</t>
        </is>
      </c>
      <c r="C1181" t="inlineStr">
        <is>
          <t>We’ve worked for millennia—or many, many
orbits of the sun—to reach this level.</t>
        </is>
      </c>
      <c r="D1181">
        <f>HYPERLINK("https://www.youtube.com/watch?v=TL1C-WoKuIk&amp;t=29s", "Go to time")</f>
        <v/>
      </c>
    </row>
    <row r="1182">
      <c r="A1182">
        <f>HYPERLINK("https://www.youtube.com/watch?v=TL1C-WoKuIk", "Video")</f>
        <v/>
      </c>
      <c r="B1182" t="inlineStr">
        <is>
          <t>0:38</t>
        </is>
      </c>
      <c r="C1182" t="inlineStr">
        <is>
          <t>We believe that we came to be about a hundred
thousand orbits ago and that life itself started</t>
        </is>
      </c>
      <c r="D1182">
        <f>HYPERLINK("https://www.youtube.com/watch?v=TL1C-WoKuIk&amp;t=38s", "Go to time")</f>
        <v/>
      </c>
    </row>
    <row r="1183">
      <c r="A1183">
        <f>HYPERLINK("https://www.youtube.com/watch?v=TL1C-WoKuIk", "Video")</f>
        <v/>
      </c>
      <c r="B1183" t="inlineStr">
        <is>
          <t>0:46</t>
        </is>
      </c>
      <c r="C1183" t="inlineStr">
        <is>
          <t>on our world about three billion orbits ago.</t>
        </is>
      </c>
      <c r="D1183">
        <f>HYPERLINK("https://www.youtube.com/watch?v=TL1C-WoKuIk&amp;t=46s", "Go to time")</f>
        <v/>
      </c>
    </row>
    <row r="1184">
      <c r="A1184">
        <f>HYPERLINK("https://www.youtube.com/watch?v=ORrrIKn-WNc", "Video")</f>
        <v/>
      </c>
      <c r="B1184" t="inlineStr">
        <is>
          <t>1:26</t>
        </is>
      </c>
      <c r="C1184" t="inlineStr">
        <is>
          <t>Bitcoin being the
granddaddy of all of them.</t>
        </is>
      </c>
      <c r="D1184">
        <f>HYPERLINK("https://www.youtube.com/watch?v=ORrrIKn-WNc&amp;t=86s", "Go to time")</f>
        <v/>
      </c>
    </row>
    <row r="1185">
      <c r="A1185">
        <f>HYPERLINK("https://www.youtube.com/watch?v=ORrrIKn-WNc", "Video")</f>
        <v/>
      </c>
      <c r="B1185" t="inlineStr">
        <is>
          <t>1:29</t>
        </is>
      </c>
      <c r="C1185" t="inlineStr">
        <is>
          <t>Bitcoin, I don't consider a currency.</t>
        </is>
      </c>
      <c r="D1185">
        <f>HYPERLINK("https://www.youtube.com/watch?v=ORrrIKn-WNc&amp;t=89s", "Go to time")</f>
        <v/>
      </c>
    </row>
    <row r="1186">
      <c r="A1186">
        <f>HYPERLINK("https://www.youtube.com/watch?v=ORrrIKn-WNc", "Video")</f>
        <v/>
      </c>
      <c r="B1186" t="inlineStr">
        <is>
          <t>1:31</t>
        </is>
      </c>
      <c r="C1186" t="inlineStr">
        <is>
          <t>Bitcoin is a speculative
asset, no different than gold.</t>
        </is>
      </c>
      <c r="D1186">
        <f>HYPERLINK("https://www.youtube.com/watch?v=ORrrIKn-WNc&amp;t=91s", "Go to time")</f>
        <v/>
      </c>
    </row>
    <row r="1187">
      <c r="A1187">
        <f>HYPERLINK("https://www.youtube.com/watch?v=ZKTTZvWsovQ", "Video")</f>
        <v/>
      </c>
      <c r="B1187" t="inlineStr">
        <is>
          <t>0:13</t>
        </is>
      </c>
      <c r="C1187" t="inlineStr">
        <is>
          <t>the habitat the systems itself for a</t>
        </is>
      </c>
      <c r="D1187">
        <f>HYPERLINK("https://www.youtube.com/watch?v=ZKTTZvWsovQ&amp;t=13s", "Go to time")</f>
        <v/>
      </c>
    </row>
    <row r="1188">
      <c r="A1188">
        <f>HYPERLINK("https://www.youtube.com/watch?v=ZKTTZvWsovQ", "Video")</f>
        <v/>
      </c>
      <c r="B1188" t="inlineStr">
        <is>
          <t>0:57</t>
        </is>
      </c>
      <c r="C1188" t="inlineStr">
        <is>
          <t>that's one of the things a habitat</t>
        </is>
      </c>
      <c r="D1188">
        <f>HYPERLINK("https://www.youtube.com/watch?v=ZKTTZvWsovQ&amp;t=57s", "Go to time")</f>
        <v/>
      </c>
    </row>
    <row r="1189">
      <c r="A1189">
        <f>HYPERLINK("https://www.youtube.com/watch?v=ZKTTZvWsovQ", "Video")</f>
        <v/>
      </c>
      <c r="B1189" t="inlineStr">
        <is>
          <t>3:43</t>
        </is>
      </c>
      <c r="C1189" t="inlineStr">
        <is>
          <t>Ron Garren's book orbital perspective</t>
        </is>
      </c>
      <c r="D1189">
        <f>HYPERLINK("https://www.youtube.com/watch?v=ZKTTZvWsovQ&amp;t=223s", "Go to time")</f>
        <v/>
      </c>
    </row>
    <row r="1190">
      <c r="A1190">
        <f>HYPERLINK("https://www.youtube.com/watch?v=ZKTTZvWsovQ", "Video")</f>
        <v/>
      </c>
      <c r="B1190" t="inlineStr">
        <is>
          <t>3:50</t>
        </is>
      </c>
      <c r="C1190" t="inlineStr">
        <is>
          <t>build a habitat but eventually we're</t>
        </is>
      </c>
      <c r="D1190">
        <f>HYPERLINK("https://www.youtube.com/watch?v=ZKTTZvWsovQ&amp;t=230s", "Go to time")</f>
        <v/>
      </c>
    </row>
    <row r="1191">
      <c r="A1191">
        <f>HYPERLINK("https://www.youtube.com/watch?v=eBUsmxM5r0I", "Video")</f>
        <v/>
      </c>
      <c r="B1191" t="inlineStr">
        <is>
          <t>1:39</t>
        </is>
      </c>
      <c r="C1191" t="inlineStr">
        <is>
          <t>So to impose a little bit of sludge</t>
        </is>
      </c>
      <c r="D1191">
        <f>HYPERLINK("https://www.youtube.com/watch?v=eBUsmxM5r0I&amp;t=99s", "Go to time")</f>
        <v/>
      </c>
    </row>
    <row r="1192">
      <c r="A1192">
        <f>HYPERLINK("https://www.youtube.com/watch?v=iMVFl_HJeZo", "Video")</f>
        <v/>
      </c>
      <c r="B1192" t="inlineStr">
        <is>
          <t>1:56</t>
        </is>
      </c>
      <c r="C1192" t="inlineStr">
        <is>
          <t>York ambitious people come here from</t>
        </is>
      </c>
      <c r="D1192">
        <f>HYPERLINK("https://www.youtube.com/watch?v=iMVFl_HJeZo&amp;t=116s", "Go to time")</f>
        <v/>
      </c>
    </row>
    <row r="1193">
      <c r="A1193">
        <f>HYPERLINK("https://www.youtube.com/watch?v=mJiROQx-M3c", "Video")</f>
        <v/>
      </c>
      <c r="B1193" t="inlineStr">
        <is>
          <t>2:27</t>
        </is>
      </c>
      <c r="C1193" t="inlineStr">
        <is>
          <t>There are people who are really good at one
thing, and only a little bit good at that</t>
        </is>
      </c>
      <c r="D1193">
        <f>HYPERLINK("https://www.youtube.com/watch?v=mJiROQx-M3c&amp;t=147s", "Go to time")</f>
        <v/>
      </c>
    </row>
    <row r="1194">
      <c r="A1194">
        <f>HYPERLINK("https://www.youtube.com/watch?v=oGTTgyTlyi0", "Video")</f>
        <v/>
      </c>
      <c r="B1194" t="inlineStr">
        <is>
          <t>0:14</t>
        </is>
      </c>
      <c r="C1194" t="inlineStr">
        <is>
          <t>little bit of Marxism there that that</t>
        </is>
      </c>
      <c r="D1194">
        <f>HYPERLINK("https://www.youtube.com/watch?v=oGTTgyTlyi0&amp;t=14s", "Go to time")</f>
        <v/>
      </c>
    </row>
    <row r="1195">
      <c r="A1195">
        <f>HYPERLINK("https://www.youtube.com/watch?v=oGTTgyTlyi0", "Video")</f>
        <v/>
      </c>
      <c r="B1195" t="inlineStr">
        <is>
          <t>1:10</t>
        </is>
      </c>
      <c r="C1195" t="inlineStr">
        <is>
          <t>teachers either, which is a little bit</t>
        </is>
      </c>
      <c r="D1195">
        <f>HYPERLINK("https://www.youtube.com/watch?v=oGTTgyTlyi0&amp;t=70s", "Go to time")</f>
        <v/>
      </c>
    </row>
    <row r="1196">
      <c r="A1196">
        <f>HYPERLINK("https://www.youtube.com/watch?v=3xA97JAdmjk", "Video")</f>
        <v/>
      </c>
      <c r="B1196" t="inlineStr">
        <is>
          <t>0:10</t>
        </is>
      </c>
      <c r="C1196" t="inlineStr">
        <is>
          <t>I think there are two bits of that I</t>
        </is>
      </c>
      <c r="D1196">
        <f>HYPERLINK("https://www.youtube.com/watch?v=3xA97JAdmjk&amp;t=10s", "Go to time")</f>
        <v/>
      </c>
    </row>
    <row r="1197">
      <c r="A1197">
        <f>HYPERLINK("https://www.youtube.com/watch?v=3xA97JAdmjk", "Video")</f>
        <v/>
      </c>
      <c r="B1197" t="inlineStr">
        <is>
          <t>0:17</t>
        </is>
      </c>
      <c r="C1197" t="inlineStr">
        <is>
          <t>going to unseat a bit I suspect probably</t>
        </is>
      </c>
      <c r="D1197">
        <f>HYPERLINK("https://www.youtube.com/watch?v=3xA97JAdmjk&amp;t=17s", "Go to time")</f>
        <v/>
      </c>
    </row>
    <row r="1198">
      <c r="A1198">
        <f>HYPERLINK("https://www.youtube.com/watch?v=3xA97JAdmjk", "Video")</f>
        <v/>
      </c>
      <c r="B1198" t="inlineStr">
        <is>
          <t>0:34</t>
        </is>
      </c>
      <c r="C1198" t="inlineStr">
        <is>
          <t>to churches a bit um as I said you know</t>
        </is>
      </c>
      <c r="D1198">
        <f>HYPERLINK("https://www.youtube.com/watch?v=3xA97JAdmjk&amp;t=34s", "Go to time")</f>
        <v/>
      </c>
    </row>
    <row r="1199">
      <c r="A1199">
        <f>HYPERLINK("https://www.youtube.com/watch?v=3xA97JAdmjk", "Video")</f>
        <v/>
      </c>
      <c r="B1199" t="inlineStr">
        <is>
          <t>0:42</t>
        </is>
      </c>
      <c r="C1199" t="inlineStr">
        <is>
          <t>bit I don't know whether the economy in</t>
        </is>
      </c>
      <c r="D1199">
        <f>HYPERLINK("https://www.youtube.com/watch?v=3xA97JAdmjk&amp;t=42s", "Go to time")</f>
        <v/>
      </c>
    </row>
    <row r="1200">
      <c r="A1200">
        <f>HYPERLINK("https://www.youtube.com/watch?v=3xA97JAdmjk", "Video")</f>
        <v/>
      </c>
      <c r="B1200" t="inlineStr">
        <is>
          <t>0:43</t>
        </is>
      </c>
      <c r="C1200" t="inlineStr">
        <is>
          <t>some ways will give it a little bit more</t>
        </is>
      </c>
      <c r="D1200">
        <f>HYPERLINK("https://www.youtube.com/watch?v=3xA97JAdmjk&amp;t=43s", "Go to time")</f>
        <v/>
      </c>
    </row>
    <row r="1201">
      <c r="A1201">
        <f>HYPERLINK("https://www.youtube.com/watch?v=VqxFulNRBEk", "Video")</f>
        <v/>
      </c>
      <c r="B1201" t="inlineStr">
        <is>
          <t>0:26</t>
        </is>
      </c>
      <c r="C1201" t="inlineStr">
        <is>
          <t>few years ago um that's changed a bit um</t>
        </is>
      </c>
      <c r="D1201">
        <f>HYPERLINK("https://www.youtube.com/watch?v=VqxFulNRBEk&amp;t=26s", "Go to time")</f>
        <v/>
      </c>
    </row>
    <row r="1202">
      <c r="A1202">
        <f>HYPERLINK("https://www.youtube.com/watch?v=VqxFulNRBEk", "Video")</f>
        <v/>
      </c>
      <c r="B1202" t="inlineStr">
        <is>
          <t>0:41</t>
        </is>
      </c>
      <c r="C1202" t="inlineStr">
        <is>
          <t>bit of luck with election being made as</t>
        </is>
      </c>
      <c r="D1202">
        <f>HYPERLINK("https://www.youtube.com/watch?v=VqxFulNRBEk&amp;t=41s", "Go to time")</f>
        <v/>
      </c>
    </row>
    <row r="1203">
      <c r="A1203">
        <f>HYPERLINK("https://www.youtube.com/watch?v=VqxFulNRBEk", "Video")</f>
        <v/>
      </c>
      <c r="B1203" t="inlineStr">
        <is>
          <t>6:05</t>
        </is>
      </c>
      <c r="C1203" t="inlineStr">
        <is>
          <t>little bit about oh if you know maybe</t>
        </is>
      </c>
      <c r="D1203">
        <f>HYPERLINK("https://www.youtube.com/watch?v=VqxFulNRBEk&amp;t=365s", "Go to time")</f>
        <v/>
      </c>
    </row>
    <row r="1204">
      <c r="A1204">
        <f>HYPERLINK("https://www.youtube.com/watch?v=ZPBzwlIwilw", "Video")</f>
        <v/>
      </c>
      <c r="B1204" t="inlineStr">
        <is>
          <t>2:10</t>
        </is>
      </c>
      <c r="C1204" t="inlineStr">
        <is>
          <t>think happiness is a little bit like that. There's 
certain paths, there's certain ways to happiness,</t>
        </is>
      </c>
      <c r="D1204">
        <f>HYPERLINK("https://www.youtube.com/watch?v=ZPBzwlIwilw&amp;t=130s", "Go to time")</f>
        <v/>
      </c>
    </row>
    <row r="1205">
      <c r="A1205">
        <f>HYPERLINK("https://www.youtube.com/watch?v=VpOan0hqdNA", "Video")</f>
        <v/>
      </c>
      <c r="B1205" t="inlineStr">
        <is>
          <t>0:22</t>
        </is>
      </c>
      <c r="C1205" t="inlineStr">
        <is>
          <t>and also people I think
are a bit reluctant</t>
        </is>
      </c>
      <c r="D1205">
        <f>HYPERLINK("https://www.youtube.com/watch?v=VpOan0hqdNA&amp;t=22s", "Go to time")</f>
        <v/>
      </c>
    </row>
    <row r="1206">
      <c r="A1206">
        <f>HYPERLINK("https://www.youtube.com/watch?v=VpOan0hqdNA", "Video")</f>
        <v/>
      </c>
      <c r="B1206" t="inlineStr">
        <is>
          <t>3:45</t>
        </is>
      </c>
      <c r="C1206" t="inlineStr">
        <is>
          <t>Parents are spending quite a
bit more time on parenting,</t>
        </is>
      </c>
      <c r="D1206">
        <f>HYPERLINK("https://www.youtube.com/watch?v=VpOan0hqdNA&amp;t=225s", "Go to time")</f>
        <v/>
      </c>
    </row>
    <row r="1207">
      <c r="A1207">
        <f>HYPERLINK("https://www.youtube.com/watch?v=9zOAtu6Ykuc", "Video")</f>
        <v/>
      </c>
      <c r="B1207" t="inlineStr">
        <is>
          <t>0:55</t>
        </is>
      </c>
      <c r="C1207" t="inlineStr">
        <is>
          <t>little bit nervous about this now um</t>
        </is>
      </c>
      <c r="D1207">
        <f>HYPERLINK("https://www.youtube.com/watch?v=9zOAtu6Ykuc&amp;t=55s", "Go to time")</f>
        <v/>
      </c>
    </row>
    <row r="1208">
      <c r="A1208">
        <f>HYPERLINK("https://www.youtube.com/watch?v=1iRBzE4BFTs", "Video")</f>
        <v/>
      </c>
      <c r="B1208" t="inlineStr">
        <is>
          <t>1:18</t>
        </is>
      </c>
      <c r="C1208" t="inlineStr">
        <is>
          <t>And the salary's a little bit higher.</t>
        </is>
      </c>
      <c r="D1208">
        <f>HYPERLINK("https://www.youtube.com/watch?v=1iRBzE4BFTs&amp;t=78s", "Go to time")</f>
        <v/>
      </c>
    </row>
    <row r="1209">
      <c r="A1209">
        <f>HYPERLINK("https://www.youtube.com/watch?v=4mPZC8QQXCo", "Video")</f>
        <v/>
      </c>
      <c r="B1209" t="inlineStr">
        <is>
          <t>5:44</t>
        </is>
      </c>
      <c r="C1209" t="inlineStr">
        <is>
          <t>and realize that something is
just a little bit out of sync.</t>
        </is>
      </c>
      <c r="D1209">
        <f>HYPERLINK("https://www.youtube.com/watch?v=4mPZC8QQXCo&amp;t=344s", "Go to time")</f>
        <v/>
      </c>
    </row>
    <row r="1210">
      <c r="A1210">
        <f>HYPERLINK("https://www.youtube.com/watch?v=4mPZC8QQXCo", "Video")</f>
        <v/>
      </c>
      <c r="B1210" t="inlineStr">
        <is>
          <t>5:52</t>
        </is>
      </c>
      <c r="C1210" t="inlineStr">
        <is>
          <t>is a little bit distinct and
that you are perhaps imposing</t>
        </is>
      </c>
      <c r="D1210">
        <f>HYPERLINK("https://www.youtube.com/watch?v=4mPZC8QQXCo&amp;t=352s", "Go to time")</f>
        <v/>
      </c>
    </row>
    <row r="1211">
      <c r="A1211">
        <f>HYPERLINK("https://www.youtube.com/watch?v=p-6mnzyIhaE", "Video")</f>
        <v/>
      </c>
      <c r="B1211" t="inlineStr">
        <is>
          <t>2:08</t>
        </is>
      </c>
      <c r="C1211" t="inlineStr">
        <is>
          <t>costs $10,000 to put a pound of anything into
near earth orbit. Imagine your body made out</t>
        </is>
      </c>
      <c r="D1211">
        <f>HYPERLINK("https://www.youtube.com/watch?v=p-6mnzyIhaE&amp;t=128s", "Go to time")</f>
        <v/>
      </c>
    </row>
    <row r="1212">
      <c r="A1212">
        <f>HYPERLINK("https://www.youtube.com/watch?v=p-6mnzyIhaE", "Video")</f>
        <v/>
      </c>
      <c r="B1212" t="inlineStr">
        <is>
          <t>2:14</t>
        </is>
      </c>
      <c r="C1212" t="inlineStr">
        <is>
          <t>of solid gold and that's the cost to put you
into orbit around the planet earth. To put</t>
        </is>
      </c>
      <c r="D1212">
        <f>HYPERLINK("https://www.youtube.com/watch?v=p-6mnzyIhaE&amp;t=134s", "Go to time")</f>
        <v/>
      </c>
    </row>
    <row r="1213">
      <c r="A1213">
        <f>HYPERLINK("https://www.youtube.com/watch?v=jH-0jJT8nl8", "Video")</f>
        <v/>
      </c>
      <c r="B1213" t="inlineStr">
        <is>
          <t>3:06</t>
        </is>
      </c>
      <c r="C1213" t="inlineStr">
        <is>
          <t>Each school is a little bit different.</t>
        </is>
      </c>
      <c r="D1213">
        <f>HYPERLINK("https://www.youtube.com/watch?v=jH-0jJT8nl8&amp;t=186s", "Go to time")</f>
        <v/>
      </c>
    </row>
    <row r="1214">
      <c r="A1214">
        <f>HYPERLINK("https://www.youtube.com/watch?v=KmZXUDEocxA", "Video")</f>
        <v/>
      </c>
      <c r="B1214" t="inlineStr">
        <is>
          <t>7:05</t>
        </is>
      </c>
      <c r="C1214" t="inlineStr">
        <is>
          <t>that we build and inhabit, we are all doomed
to die.</t>
        </is>
      </c>
      <c r="D1214">
        <f>HYPERLINK("https://www.youtube.com/watch?v=KmZXUDEocxA&amp;t=425s", "Go to time")</f>
        <v/>
      </c>
    </row>
    <row r="1215">
      <c r="A1215">
        <f>HYPERLINK("https://www.youtube.com/watch?v=KmZXUDEocxA", "Video")</f>
        <v/>
      </c>
      <c r="B1215" t="inlineStr">
        <is>
          <t>13:31</t>
        </is>
      </c>
      <c r="C1215" t="inlineStr">
        <is>
          <t>over all the regimes that we create and inhabit.</t>
        </is>
      </c>
      <c r="D1215">
        <f>HYPERLINK("https://www.youtube.com/watch?v=KmZXUDEocxA&amp;t=811s", "Go to time")</f>
        <v/>
      </c>
    </row>
    <row r="1216">
      <c r="A1216">
        <f>HYPERLINK("https://www.youtube.com/watch?v=KmZXUDEocxA", "Video")</f>
        <v/>
      </c>
      <c r="B1216" t="inlineStr">
        <is>
          <t>21:13</t>
        </is>
      </c>
      <c r="C1216" t="inlineStr">
        <is>
          <t>in which we are unprotected, in which we lose
our habitual protections, in which we are</t>
        </is>
      </c>
      <c r="D1216">
        <f>HYPERLINK("https://www.youtube.com/watch?v=KmZXUDEocxA&amp;t=1273s", "Go to time")</f>
        <v/>
      </c>
    </row>
    <row r="1217">
      <c r="A1217">
        <f>HYPERLINK("https://www.youtube.com/watch?v=PpyIZ4DGIK8", "Video")</f>
        <v/>
      </c>
      <c r="B1217" t="inlineStr">
        <is>
          <t>4:57</t>
        </is>
      </c>
      <c r="C1217" t="inlineStr">
        <is>
          <t>When you look at the modern
society that we inhabit,</t>
        </is>
      </c>
      <c r="D1217">
        <f>HYPERLINK("https://www.youtube.com/watch?v=PpyIZ4DGIK8&amp;t=297s", "Go to time")</f>
        <v/>
      </c>
    </row>
    <row r="1218">
      <c r="A1218">
        <f>HYPERLINK("https://www.youtube.com/watch?v=JAK6KrIuRbI", "Video")</f>
        <v/>
      </c>
      <c r="B1218" t="inlineStr">
        <is>
          <t>1:08</t>
        </is>
      </c>
      <c r="C1218" t="inlineStr">
        <is>
          <t>Already, NASA has something called the 100
Year Starship program, very ambitious, however,</t>
        </is>
      </c>
      <c r="D1218">
        <f>HYPERLINK("https://www.youtube.com/watch?v=JAK6KrIuRbI&amp;t=68s", "Go to time")</f>
        <v/>
      </c>
    </row>
    <row r="1219">
      <c r="A1219">
        <f>HYPERLINK("https://www.youtube.com/watch?v=cVLpdzhcU0g", "Video")</f>
        <v/>
      </c>
      <c r="B1219" t="inlineStr">
        <is>
          <t>0:47</t>
        </is>
      </c>
      <c r="C1219" t="inlineStr">
        <is>
          <t>Shakespeare’s characters throw us into
the depths of lust, envy, greed, pride, ambition.</t>
        </is>
      </c>
      <c r="D1219">
        <f>HYPERLINK("https://www.youtube.com/watch?v=cVLpdzhcU0g&amp;t=47s", "Go to time")</f>
        <v/>
      </c>
    </row>
    <row r="1220">
      <c r="A1220">
        <f>HYPERLINK("https://www.youtube.com/watch?v=cVLpdzhcU0g", "Video")</f>
        <v/>
      </c>
      <c r="B1220" t="inlineStr">
        <is>
          <t>35:30</t>
        </is>
      </c>
      <c r="C1220" t="inlineStr">
        <is>
          <t>transformation in the year 1667.    So
those, you might you say, are bits of knowledge.</t>
        </is>
      </c>
      <c r="D1220">
        <f>HYPERLINK("https://www.youtube.com/watch?v=cVLpdzhcU0g&amp;t=2130s", "Go to time")</f>
        <v/>
      </c>
    </row>
    <row r="1221">
      <c r="A1221">
        <f>HYPERLINK("https://www.youtube.com/watch?v=cVLpdzhcU0g", "Video")</f>
        <v/>
      </c>
      <c r="B1221" t="inlineStr">
        <is>
          <t>40:34</t>
        </is>
      </c>
      <c r="C1221" t="inlineStr">
        <is>
          <t>some specific examples will help, but the
bit about strenuous effort actually turns</t>
        </is>
      </c>
      <c r="D1221">
        <f>HYPERLINK("https://www.youtube.com/watch?v=cVLpdzhcU0g&amp;t=2434s", "Go to time")</f>
        <v/>
      </c>
    </row>
    <row r="1222">
      <c r="A1222">
        <f>HYPERLINK("https://www.youtube.com/watch?v=cVLpdzhcU0g", "Video")</f>
        <v/>
      </c>
      <c r="B1222" t="inlineStr">
        <is>
          <t>53:32</t>
        </is>
      </c>
      <c r="C1222" t="inlineStr">
        <is>
          <t>judgment on your own.  So let’s dig
down a little bit into the value of some old</t>
        </is>
      </c>
      <c r="D1222">
        <f>HYPERLINK("https://www.youtube.com/watch?v=cVLpdzhcU0g&amp;t=3212s", "Go to time")</f>
        <v/>
      </c>
    </row>
    <row r="1223">
      <c r="A1223">
        <f>HYPERLINK("https://www.youtube.com/watch?v=cVLpdzhcU0g", "Video")</f>
        <v/>
      </c>
      <c r="B1223" t="inlineStr">
        <is>
          <t>58:41</t>
        </is>
      </c>
      <c r="C1223" t="inlineStr">
        <is>
          <t>radical new perspective, when it’s not just
a matter of taking in bits of information</t>
        </is>
      </c>
      <c r="D1223">
        <f>HYPERLINK("https://www.youtube.com/watch?v=cVLpdzhcU0g&amp;t=3521s", "Go to time")</f>
        <v/>
      </c>
    </row>
    <row r="1224">
      <c r="A1224">
        <f>HYPERLINK("https://www.youtube.com/watch?v=Zq9gL2DJJUg", "Video")</f>
        <v/>
      </c>
      <c r="B1224" t="inlineStr">
        <is>
          <t>1:33</t>
        </is>
      </c>
      <c r="C1224" t="inlineStr">
        <is>
          <t>So, I think we need to clear the decks of
stuff we are doing as a matter of habit that</t>
        </is>
      </c>
      <c r="D1224">
        <f>HYPERLINK("https://www.youtube.com/watch?v=Zq9gL2DJJUg&amp;t=93s", "Go to time")</f>
        <v/>
      </c>
    </row>
    <row r="1225">
      <c r="A1225">
        <f>HYPERLINK("https://www.youtube.com/watch?v=SkjtKX5WApE", "Video")</f>
        <v/>
      </c>
      <c r="B1225" t="inlineStr">
        <is>
          <t>0:13</t>
        </is>
      </c>
      <c r="C1225" t="inlineStr">
        <is>
          <t>I went down to Washington a little bit</t>
        </is>
      </c>
      <c r="D1225">
        <f>HYPERLINK("https://www.youtube.com/watch?v=SkjtKX5WApE&amp;t=13s", "Go to time")</f>
        <v/>
      </c>
    </row>
    <row r="1226">
      <c r="A1226">
        <f>HYPERLINK("https://www.youtube.com/watch?v=A8md1Jdm4SE", "Video")</f>
        <v/>
      </c>
      <c r="B1226" t="inlineStr">
        <is>
          <t>1:50</t>
        </is>
      </c>
      <c r="C1226" t="inlineStr">
        <is>
          <t>And I think this is exactly why we need figures
such as James Bond who with a bit of poetic</t>
        </is>
      </c>
      <c r="D1226">
        <f>HYPERLINK("https://www.youtube.com/watch?v=A8md1Jdm4SE&amp;t=110s", "Go to time")</f>
        <v/>
      </c>
    </row>
    <row r="1227">
      <c r="A1227">
        <f>HYPERLINK("https://www.youtube.com/watch?v=ieBEEYsrNSQ", "Video")</f>
        <v/>
      </c>
      <c r="B1227" t="inlineStr">
        <is>
          <t>6:03</t>
        </is>
      </c>
      <c r="C1227" t="inlineStr">
        <is>
          <t>to do something a little
bit nice for someone.</t>
        </is>
      </c>
      <c r="D1227">
        <f>HYPERLINK("https://www.youtube.com/watch?v=ieBEEYsrNSQ&amp;t=363s", "Go to time")</f>
        <v/>
      </c>
    </row>
    <row r="1228">
      <c r="A1228">
        <f>HYPERLINK("https://www.youtube.com/watch?v=cgo93Khb7vM", "Video")</f>
        <v/>
      </c>
      <c r="B1228" t="inlineStr">
        <is>
          <t>2:26</t>
        </is>
      </c>
      <c r="C1228" t="inlineStr">
        <is>
          <t>is the most ambitious project
that we've undertaken.</t>
        </is>
      </c>
      <c r="D1228">
        <f>HYPERLINK("https://www.youtube.com/watch?v=cgo93Khb7vM&amp;t=146s", "Go to time")</f>
        <v/>
      </c>
    </row>
    <row r="1229">
      <c r="A1229">
        <f>HYPERLINK("https://www.youtube.com/watch?v=cgo93Khb7vM", "Video")</f>
        <v/>
      </c>
      <c r="B1229" t="inlineStr">
        <is>
          <t>2:45</t>
        </is>
      </c>
      <c r="C1229" t="inlineStr">
        <is>
          <t>so that makes it a little
bit more difficult.</t>
        </is>
      </c>
      <c r="D1229">
        <f>HYPERLINK("https://www.youtube.com/watch?v=cgo93Khb7vM&amp;t=165s", "Go to time")</f>
        <v/>
      </c>
    </row>
    <row r="1230">
      <c r="A1230">
        <f>HYPERLINK("https://www.youtube.com/watch?v=cgo93Khb7vM", "Video")</f>
        <v/>
      </c>
      <c r="B1230" t="inlineStr">
        <is>
          <t>4:26</t>
        </is>
      </c>
      <c r="C1230" t="inlineStr">
        <is>
          <t>We've collected quite a bit of data</t>
        </is>
      </c>
      <c r="D1230">
        <f>HYPERLINK("https://www.youtube.com/watch?v=cgo93Khb7vM&amp;t=266s", "Go to time")</f>
        <v/>
      </c>
    </row>
    <row r="1231">
      <c r="A1231">
        <f>HYPERLINK("https://www.youtube.com/watch?v=cgo93Khb7vM", "Video")</f>
        <v/>
      </c>
      <c r="B1231" t="inlineStr">
        <is>
          <t>6:20</t>
        </is>
      </c>
      <c r="C1231" t="inlineStr">
        <is>
          <t>But it is bittersweet</t>
        </is>
      </c>
      <c r="D1231">
        <f>HYPERLINK("https://www.youtube.com/watch?v=cgo93Khb7vM&amp;t=380s", "Go to time")</f>
        <v/>
      </c>
    </row>
    <row r="1232">
      <c r="A1232">
        <f>HYPERLINK("https://www.youtube.com/watch?v=hN0w8JTckEU", "Video")</f>
        <v/>
      </c>
      <c r="B1232" t="inlineStr">
        <is>
          <t>0:45</t>
        </is>
      </c>
      <c r="C1232" t="inlineStr">
        <is>
          <t>that kind of ambition naturally through</t>
        </is>
      </c>
      <c r="D1232">
        <f>HYPERLINK("https://www.youtube.com/watch?v=hN0w8JTckEU&amp;t=45s", "Go to time")</f>
        <v/>
      </c>
    </row>
    <row r="1233">
      <c r="A1233">
        <f>HYPERLINK("https://www.youtube.com/watch?v=Bij4k91uspU", "Video")</f>
        <v/>
      </c>
      <c r="B1233" t="inlineStr">
        <is>
          <t>0:27</t>
        </is>
      </c>
      <c r="C1233" t="inlineStr">
        <is>
          <t>that's a little bit of a humorous</t>
        </is>
      </c>
      <c r="D1233">
        <f>HYPERLINK("https://www.youtube.com/watch?v=Bij4k91uspU&amp;t=27s", "Go to time")</f>
        <v/>
      </c>
    </row>
    <row r="1234">
      <c r="A1234">
        <f>HYPERLINK("https://www.youtube.com/watch?v=Bij4k91uspU", "Video")</f>
        <v/>
      </c>
      <c r="B1234" t="inlineStr">
        <is>
          <t>6:01</t>
        </is>
      </c>
      <c r="C1234" t="inlineStr">
        <is>
          <t>soundbite but the actual stories are</t>
        </is>
      </c>
      <c r="D1234">
        <f>HYPERLINK("https://www.youtube.com/watch?v=Bij4k91uspU&amp;t=361s", "Go to time")</f>
        <v/>
      </c>
    </row>
    <row r="1235">
      <c r="A1235">
        <f>HYPERLINK("https://www.youtube.com/watch?v=1d_rdqBrlfs", "Video")</f>
        <v/>
      </c>
      <c r="B1235" t="inlineStr">
        <is>
          <t>4:04</t>
        </is>
      </c>
      <c r="C1235" t="inlineStr">
        <is>
          <t>tend to focus in America a bit on the</t>
        </is>
      </c>
      <c r="D1235">
        <f>HYPERLINK("https://www.youtube.com/watch?v=1d_rdqBrlfs&amp;t=244s", "Go to time")</f>
        <v/>
      </c>
    </row>
    <row r="1236">
      <c r="A1236">
        <f>HYPERLINK("https://www.youtube.com/watch?v=guIbkzhBsLU", "Video")</f>
        <v/>
      </c>
      <c r="B1236" t="inlineStr">
        <is>
          <t>2:56</t>
        </is>
      </c>
      <c r="C1236" t="inlineStr">
        <is>
          <t>Southern Africa we find a little bit</t>
        </is>
      </c>
      <c r="D1236">
        <f>HYPERLINK("https://www.youtube.com/watch?v=guIbkzhBsLU&amp;t=176s", "Go to time")</f>
        <v/>
      </c>
    </row>
    <row r="1237">
      <c r="A1237">
        <f>HYPERLINK("https://www.youtube.com/watch?v=Ug4Fe7tyle0", "Video")</f>
        <v/>
      </c>
      <c r="B1237" t="inlineStr">
        <is>
          <t>3:38</t>
        </is>
      </c>
      <c r="C1237" t="inlineStr">
        <is>
          <t>and like, ah, it gets a little
bit overwhelming and hectic,</t>
        </is>
      </c>
      <c r="D1237">
        <f>HYPERLINK("https://www.youtube.com/watch?v=Ug4Fe7tyle0&amp;t=218s", "Go to time")</f>
        <v/>
      </c>
    </row>
    <row r="1238">
      <c r="A1238">
        <f>HYPERLINK("https://www.youtube.com/watch?v=czd_kSIOiuQ", "Video")</f>
        <v/>
      </c>
      <c r="B1238" t="inlineStr">
        <is>
          <t>1:49</t>
        </is>
      </c>
      <c r="C1238" t="inlineStr">
        <is>
          <t>- Help me sort of understand a little bit</t>
        </is>
      </c>
      <c r="D1238">
        <f>HYPERLINK("https://www.youtube.com/watch?v=czd_kSIOiuQ&amp;t=109s", "Go to time")</f>
        <v/>
      </c>
    </row>
    <row r="1239">
      <c r="A1239">
        <f>HYPERLINK("https://www.youtube.com/watch?v=czd_kSIOiuQ", "Video")</f>
        <v/>
      </c>
      <c r="B1239" t="inlineStr">
        <is>
          <t>3:32</t>
        </is>
      </c>
      <c r="C1239" t="inlineStr">
        <is>
          <t>to dive into a little bit,</t>
        </is>
      </c>
      <c r="D1239">
        <f>HYPERLINK("https://www.youtube.com/watch?v=czd_kSIOiuQ&amp;t=212s", "Go to time")</f>
        <v/>
      </c>
    </row>
    <row r="1240">
      <c r="A1240">
        <f>HYPERLINK("https://www.youtube.com/watch?v=czd_kSIOiuQ", "Video")</f>
        <v/>
      </c>
      <c r="B1240" t="inlineStr">
        <is>
          <t>8:33</t>
        </is>
      </c>
      <c r="C1240" t="inlineStr">
        <is>
          <t>and when did it start
to sort of erode a bit</t>
        </is>
      </c>
      <c r="D1240">
        <f>HYPERLINK("https://www.youtube.com/watch?v=czd_kSIOiuQ&amp;t=513s", "Go to time")</f>
        <v/>
      </c>
    </row>
    <row r="1241">
      <c r="A1241">
        <f>HYPERLINK("https://www.youtube.com/watch?v=czd_kSIOiuQ", "Video")</f>
        <v/>
      </c>
      <c r="B1241" t="inlineStr">
        <is>
          <t>8:39</t>
        </is>
      </c>
      <c r="C1241" t="inlineStr">
        <is>
          <t>I think, you would say, is a bit at risk?</t>
        </is>
      </c>
      <c r="D1241">
        <f>HYPERLINK("https://www.youtube.com/watch?v=czd_kSIOiuQ&amp;t=519s", "Go to time")</f>
        <v/>
      </c>
    </row>
    <row r="1242">
      <c r="A1242">
        <f>HYPERLINK("https://www.youtube.com/watch?v=czd_kSIOiuQ", "Video")</f>
        <v/>
      </c>
      <c r="B1242" t="inlineStr">
        <is>
          <t>19:04</t>
        </is>
      </c>
      <c r="C1242" t="inlineStr">
        <is>
          <t>I still have a little bit of
tech optimist in me though,</t>
        </is>
      </c>
      <c r="D1242">
        <f>HYPERLINK("https://www.youtube.com/watch?v=czd_kSIOiuQ&amp;t=1144s", "Go to time")</f>
        <v/>
      </c>
    </row>
    <row r="1243">
      <c r="A1243">
        <f>HYPERLINK("https://www.youtube.com/watch?v=czd_kSIOiuQ", "Video")</f>
        <v/>
      </c>
      <c r="B1243" t="inlineStr">
        <is>
          <t>21:33</t>
        </is>
      </c>
      <c r="C1243" t="inlineStr">
        <is>
          <t>is going to be a bit messy
just because, in many ways,</t>
        </is>
      </c>
      <c r="D1243">
        <f>HYPERLINK("https://www.youtube.com/watch?v=czd_kSIOiuQ&amp;t=1293s", "Go to time")</f>
        <v/>
      </c>
    </row>
    <row r="1244">
      <c r="A1244">
        <f>HYPERLINK("https://www.youtube.com/watch?v=czd_kSIOiuQ", "Video")</f>
        <v/>
      </c>
      <c r="B1244" t="inlineStr">
        <is>
          <t>24:18</t>
        </is>
      </c>
      <c r="C1244" t="inlineStr">
        <is>
          <t>"We're gonna wait a bit
like," basically, we have</t>
        </is>
      </c>
      <c r="D1244">
        <f>HYPERLINK("https://www.youtube.com/watch?v=czd_kSIOiuQ&amp;t=1458s", "Go to time")</f>
        <v/>
      </c>
    </row>
    <row r="1245">
      <c r="A1245">
        <f>HYPERLINK("https://www.youtube.com/watch?v=czd_kSIOiuQ", "Video")</f>
        <v/>
      </c>
      <c r="B1245" t="inlineStr">
        <is>
          <t>29:44</t>
        </is>
      </c>
      <c r="C1245" t="inlineStr">
        <is>
          <t>which in some cases,
look a little bit more</t>
        </is>
      </c>
      <c r="D1245">
        <f>HYPERLINK("https://www.youtube.com/watch?v=czd_kSIOiuQ&amp;t=1784s", "Go to time")</f>
        <v/>
      </c>
    </row>
    <row r="1246">
      <c r="A1246">
        <f>HYPERLINK("https://www.youtube.com/watch?v=czd_kSIOiuQ", "Video")</f>
        <v/>
      </c>
      <c r="B1246" t="inlineStr">
        <is>
          <t>29:51</t>
        </is>
      </c>
      <c r="C1246" t="inlineStr">
        <is>
          <t>to talk about that a little
bit more because I do think,</t>
        </is>
      </c>
      <c r="D1246">
        <f>HYPERLINK("https://www.youtube.com/watch?v=czd_kSIOiuQ&amp;t=1791s", "Go to time")</f>
        <v/>
      </c>
    </row>
    <row r="1247">
      <c r="A1247">
        <f>HYPERLINK("https://www.youtube.com/watch?v=92M5rdX6m1s", "Video")</f>
        <v/>
      </c>
      <c r="B1247" t="inlineStr">
        <is>
          <t>4:05</t>
        </is>
      </c>
      <c r="C1247" t="inlineStr">
        <is>
          <t>bit less exciting work you</t>
        </is>
      </c>
      <c r="D1247">
        <f>HYPERLINK("https://www.youtube.com/watch?v=92M5rdX6m1s&amp;t=245s", "Go to time")</f>
        <v/>
      </c>
    </row>
    <row r="1248">
      <c r="A1248">
        <f>HYPERLINK("https://www.youtube.com/watch?v=n_ogF5SetV0", "Video")</f>
        <v/>
      </c>
      <c r="B1248" t="inlineStr">
        <is>
          <t>1:00</t>
        </is>
      </c>
      <c r="C1248" t="inlineStr">
        <is>
          <t>hoping that bit by bit hip-hop is going</t>
        </is>
      </c>
      <c r="D1248">
        <f>HYPERLINK("https://www.youtube.com/watch?v=n_ogF5SetV0&amp;t=60s", "Go to time")</f>
        <v/>
      </c>
    </row>
    <row r="1249">
      <c r="A1249">
        <f>HYPERLINK("https://www.youtube.com/watch?v=xXvGX_odZ4I", "Video")</f>
        <v/>
      </c>
      <c r="B1249" t="inlineStr">
        <is>
          <t>1:11</t>
        </is>
      </c>
      <c r="C1249" t="inlineStr">
        <is>
          <t>bitter tears at my own hard heartedness</t>
        </is>
      </c>
      <c r="D1249">
        <f>HYPERLINK("https://www.youtube.com/watch?v=xXvGX_odZ4I&amp;t=71s", "Go to time")</f>
        <v/>
      </c>
    </row>
    <row r="1250">
      <c r="A1250">
        <f>HYPERLINK("https://www.youtube.com/watch?v=8tMPtlMwZz4", "Video")</f>
        <v/>
      </c>
      <c r="B1250" t="inlineStr">
        <is>
          <t>4:20</t>
        </is>
      </c>
      <c r="C1250" t="inlineStr">
        <is>
          <t>these new kinds of vehicles takes a bit</t>
        </is>
      </c>
      <c r="D1250">
        <f>HYPERLINK("https://www.youtube.com/watch?v=8tMPtlMwZz4&amp;t=260s", "Go to time")</f>
        <v/>
      </c>
    </row>
    <row r="1251">
      <c r="A1251">
        <f>HYPERLINK("https://www.youtube.com/watch?v=8tMPtlMwZz4", "Video")</f>
        <v/>
      </c>
      <c r="B1251" t="inlineStr">
        <is>
          <t>7:54</t>
        </is>
      </c>
      <c r="C1251" t="inlineStr">
        <is>
          <t>we're a bit selfish we get our jollies</t>
        </is>
      </c>
      <c r="D1251">
        <f>HYPERLINK("https://www.youtube.com/watch?v=8tMPtlMwZz4&amp;t=474s", "Go to time")</f>
        <v/>
      </c>
    </row>
    <row r="1252">
      <c r="A1252">
        <f>HYPERLINK("https://www.youtube.com/watch?v=8tMPtlMwZz4", "Video")</f>
        <v/>
      </c>
      <c r="B1252" t="inlineStr">
        <is>
          <t>10:58</t>
        </is>
      </c>
      <c r="C1252" t="inlineStr">
        <is>
          <t>it doesn't it it's a little bit too</t>
        </is>
      </c>
      <c r="D1252">
        <f>HYPERLINK("https://www.youtube.com/watch?v=8tMPtlMwZz4&amp;t=658s", "Go to time")</f>
        <v/>
      </c>
    </row>
    <row r="1253">
      <c r="A1253">
        <f>HYPERLINK("https://www.youtube.com/watch?v=8tMPtlMwZz4", "Video")</f>
        <v/>
      </c>
      <c r="B1253" t="inlineStr">
        <is>
          <t>16:29</t>
        </is>
      </c>
      <c r="C1253" t="inlineStr">
        <is>
          <t>the future we thought that was a bit</t>
        </is>
      </c>
      <c r="D1253">
        <f>HYPERLINK("https://www.youtube.com/watch?v=8tMPtlMwZz4&amp;t=989s", "Go to time")</f>
        <v/>
      </c>
    </row>
    <row r="1254">
      <c r="A1254">
        <f>HYPERLINK("https://www.youtube.com/watch?v=F-dKfpGw294", "Video")</f>
        <v/>
      </c>
      <c r="B1254" t="inlineStr">
        <is>
          <t>2:27</t>
        </is>
      </c>
      <c r="C1254" t="inlineStr">
        <is>
          <t>behavior said that's a little bit like</t>
        </is>
      </c>
      <c r="D1254">
        <f>HYPERLINK("https://www.youtube.com/watch?v=F-dKfpGw294&amp;t=147s", "Go to time")</f>
        <v/>
      </c>
    </row>
    <row r="1255">
      <c r="A1255">
        <f>HYPERLINK("https://www.youtube.com/watch?v=sydha1suOvY", "Video")</f>
        <v/>
      </c>
      <c r="B1255" t="inlineStr">
        <is>
          <t>0:28</t>
        </is>
      </c>
      <c r="C1255" t="inlineStr">
        <is>
          <t>is because we simply
inhabit different realities</t>
        </is>
      </c>
      <c r="D1255">
        <f>HYPERLINK("https://www.youtube.com/watch?v=sydha1suOvY&amp;t=28s", "Go to time")</f>
        <v/>
      </c>
    </row>
    <row r="1256">
      <c r="A1256">
        <f>HYPERLINK("https://www.youtube.com/watch?v=sydha1suOvY", "Video")</f>
        <v/>
      </c>
      <c r="B1256" t="inlineStr">
        <is>
          <t>3:53</t>
        </is>
      </c>
      <c r="C1256" t="inlineStr">
        <is>
          <t>"Maybe this was just sort of arbitrary,</t>
        </is>
      </c>
      <c r="D1256">
        <f>HYPERLINK("https://www.youtube.com/watch?v=sydha1suOvY&amp;t=233s", "Go to time")</f>
        <v/>
      </c>
    </row>
    <row r="1257">
      <c r="A1257">
        <f>HYPERLINK("https://www.youtube.com/watch?v=GzfCtGFgRSk", "Video")</f>
        <v/>
      </c>
      <c r="B1257" t="inlineStr">
        <is>
          <t>0:33</t>
        </is>
      </c>
      <c r="C1257" t="inlineStr">
        <is>
          <t>and presumably there was a little bit of</t>
        </is>
      </c>
      <c r="D1257">
        <f>HYPERLINK("https://www.youtube.com/watch?v=GzfCtGFgRSk&amp;t=33s", "Go to time")</f>
        <v/>
      </c>
    </row>
    <row r="1258">
      <c r="A1258">
        <f>HYPERLINK("https://www.youtube.com/watch?v=SYSJefKc7L4", "Video")</f>
        <v/>
      </c>
      <c r="B1258" t="inlineStr">
        <is>
          <t>6:48</t>
        </is>
      </c>
      <c r="C1258" t="inlineStr">
        <is>
          <t>bit.</t>
        </is>
      </c>
      <c r="D1258">
        <f>HYPERLINK("https://www.youtube.com/watch?v=SYSJefKc7L4&amp;t=408s", "Go to time")</f>
        <v/>
      </c>
    </row>
    <row r="1259">
      <c r="A1259">
        <f>HYPERLINK("https://www.youtube.com/watch?v=VcxfEXKS41U", "Video")</f>
        <v/>
      </c>
      <c r="B1259" t="inlineStr">
        <is>
          <t>1:08</t>
        </is>
      </c>
      <c r="C1259" t="inlineStr">
        <is>
          <t>do think it's sometimes the Habit when</t>
        </is>
      </c>
      <c r="D1259">
        <f>HYPERLINK("https://www.youtube.com/watch?v=VcxfEXKS41U&amp;t=68s", "Go to time")</f>
        <v/>
      </c>
    </row>
    <row r="1260">
      <c r="A1260">
        <f>HYPERLINK("https://www.youtube.com/watch?v=KDSgqOCE8Os", "Video")</f>
        <v/>
      </c>
      <c r="B1260" t="inlineStr">
        <is>
          <t>5:16</t>
        </is>
      </c>
      <c r="C1260" t="inlineStr">
        <is>
          <t>is all these bits and pieces of</t>
        </is>
      </c>
      <c r="D1260">
        <f>HYPERLINK("https://www.youtube.com/watch?v=KDSgqOCE8Os&amp;t=316s", "Go to time")</f>
        <v/>
      </c>
    </row>
    <row r="1261">
      <c r="A1261">
        <f>HYPERLINK("https://www.youtube.com/watch?v=KDSgqOCE8Os", "Video")</f>
        <v/>
      </c>
      <c r="B1261" t="inlineStr">
        <is>
          <t>6:52</t>
        </is>
      </c>
      <c r="C1261" t="inlineStr">
        <is>
          <t>transforming bit it's almost like coding</t>
        </is>
      </c>
      <c r="D1261">
        <f>HYPERLINK("https://www.youtube.com/watch?v=KDSgqOCE8Os&amp;t=412s", "Go to time")</f>
        <v/>
      </c>
    </row>
    <row r="1262">
      <c r="A1262">
        <f>HYPERLINK("https://www.youtube.com/watch?v=KDSgqOCE8Os", "Video")</f>
        <v/>
      </c>
      <c r="B1262" t="inlineStr">
        <is>
          <t>6:55</t>
        </is>
      </c>
      <c r="C1262" t="inlineStr">
        <is>
          <t>you have these little bits and pieces</t>
        </is>
      </c>
      <c r="D1262">
        <f>HYPERLINK("https://www.youtube.com/watch?v=KDSgqOCE8Os&amp;t=415s", "Go to time")</f>
        <v/>
      </c>
    </row>
    <row r="1263">
      <c r="A1263">
        <f>HYPERLINK("https://www.youtube.com/watch?v=3YN3BhLlBQM", "Video")</f>
        <v/>
      </c>
      <c r="B1263" t="inlineStr">
        <is>
          <t>0:38</t>
        </is>
      </c>
      <c r="C1263" t="inlineStr">
        <is>
          <t>he's also put forward ambitious plans on</t>
        </is>
      </c>
      <c r="D1263">
        <f>HYPERLINK("https://www.youtube.com/watch?v=3YN3BhLlBQM&amp;t=38s", "Go to time")</f>
        <v/>
      </c>
    </row>
    <row r="1264">
      <c r="A1264">
        <f>HYPERLINK("https://www.youtube.com/watch?v=3YN3BhLlBQM", "Video")</f>
        <v/>
      </c>
      <c r="B1264" t="inlineStr">
        <is>
          <t>6:03</t>
        </is>
      </c>
      <c r="C1264" t="inlineStr">
        <is>
          <t>that took a little bit longer to roll</t>
        </is>
      </c>
      <c r="D1264">
        <f>HYPERLINK("https://www.youtube.com/watch?v=3YN3BhLlBQM&amp;t=363s", "Go to time")</f>
        <v/>
      </c>
    </row>
    <row r="1265">
      <c r="A1265">
        <f>HYPERLINK("https://www.youtube.com/watch?v=3YN3BhLlBQM", "Video")</f>
        <v/>
      </c>
      <c r="B1265" t="inlineStr">
        <is>
          <t>10:37</t>
        </is>
      </c>
      <c r="C1265" t="inlineStr">
        <is>
          <t>bit surprising that they're not anxious</t>
        </is>
      </c>
      <c r="D1265">
        <f>HYPERLINK("https://www.youtube.com/watch?v=3YN3BhLlBQM&amp;t=637s", "Go to time")</f>
        <v/>
      </c>
    </row>
    <row r="1266">
      <c r="A1266">
        <f>HYPERLINK("https://www.youtube.com/watch?v=3YN3BhLlBQM", "Video")</f>
        <v/>
      </c>
      <c r="B1266" t="inlineStr">
        <is>
          <t>21:32</t>
        </is>
      </c>
      <c r="C1266" t="inlineStr">
        <is>
          <t>one maybe go a little bit higher I'm</t>
        </is>
      </c>
      <c r="D1266">
        <f>HYPERLINK("https://www.youtube.com/watch?v=3YN3BhLlBQM&amp;t=1292s", "Go to time")</f>
        <v/>
      </c>
    </row>
    <row r="1267">
      <c r="A1267">
        <f>HYPERLINK("https://www.youtube.com/watch?v=3YN3BhLlBQM", "Video")</f>
        <v/>
      </c>
      <c r="B1267" t="inlineStr">
        <is>
          <t>34:32</t>
        </is>
      </c>
      <c r="C1267" t="inlineStr">
        <is>
          <t>you want to take bits and pieces from</t>
        </is>
      </c>
      <c r="D1267">
        <f>HYPERLINK("https://www.youtube.com/watch?v=3YN3BhLlBQM&amp;t=2072s", "Go to time")</f>
        <v/>
      </c>
    </row>
    <row r="1268">
      <c r="A1268">
        <f>HYPERLINK("https://www.youtube.com/watch?v=vGJLLcPUBl0", "Video")</f>
        <v/>
      </c>
      <c r="B1268" t="inlineStr">
        <is>
          <t>1:19</t>
        </is>
      </c>
      <c r="C1268" t="inlineStr">
        <is>
          <t>become becoming like a it's a bit of a</t>
        </is>
      </c>
      <c r="D1268">
        <f>HYPERLINK("https://www.youtube.com/watch?v=vGJLLcPUBl0&amp;t=79s", "Go to time")</f>
        <v/>
      </c>
    </row>
    <row r="1269">
      <c r="A1269">
        <f>HYPERLINK("https://www.youtube.com/watch?v=vGJLLcPUBl0", "Video")</f>
        <v/>
      </c>
      <c r="B1269" t="inlineStr">
        <is>
          <t>1:40</t>
        </is>
      </c>
      <c r="C1269" t="inlineStr">
        <is>
          <t>big conglomerates have acted it's a bit</t>
        </is>
      </c>
      <c r="D1269">
        <f>HYPERLINK("https://www.youtube.com/watch?v=vGJLLcPUBl0&amp;t=100s", "Go to time")</f>
        <v/>
      </c>
    </row>
    <row r="1270">
      <c r="A1270">
        <f>HYPERLINK("https://www.youtube.com/watch?v=UUisUZ42HLA", "Video")</f>
        <v/>
      </c>
      <c r="B1270" t="inlineStr">
        <is>
          <t>2:23</t>
        </is>
      </c>
      <c r="C1270" t="inlineStr">
        <is>
          <t>little bit like if you say to a person</t>
        </is>
      </c>
      <c r="D1270">
        <f>HYPERLINK("https://www.youtube.com/watch?v=UUisUZ42HLA&amp;t=143s", "Go to time")</f>
        <v/>
      </c>
    </row>
    <row r="1271">
      <c r="A1271">
        <f>HYPERLINK("https://www.youtube.com/watch?v=Z_RVvxO-Ifo", "Video")</f>
        <v/>
      </c>
      <c r="B1271" t="inlineStr">
        <is>
          <t>33:06</t>
        </is>
      </c>
      <c r="C1271" t="inlineStr">
        <is>
          <t>ambitious people whatever</t>
        </is>
      </c>
      <c r="D1271">
        <f>HYPERLINK("https://www.youtube.com/watch?v=Z_RVvxO-Ifo&amp;t=1986s", "Go to time")</f>
        <v/>
      </c>
    </row>
    <row r="1272">
      <c r="A1272">
        <f>HYPERLINK("https://www.youtube.com/watch?v=Z_RVvxO-Ifo", "Video")</f>
        <v/>
      </c>
      <c r="B1272" t="inlineStr">
        <is>
          <t>45:20</t>
        </is>
      </c>
      <c r="C1272" t="inlineStr">
        <is>
          <t>more people with skill and ambition and</t>
        </is>
      </c>
      <c r="D1272">
        <f>HYPERLINK("https://www.youtube.com/watch?v=Z_RVvxO-Ifo&amp;t=2720s", "Go to time")</f>
        <v/>
      </c>
    </row>
    <row r="1273">
      <c r="A1273">
        <f>HYPERLINK("https://www.youtube.com/watch?v=BdVLcIcp48U", "Video")</f>
        <v/>
      </c>
      <c r="B1273" t="inlineStr">
        <is>
          <t>1:55</t>
        </is>
      </c>
      <c r="C1273" t="inlineStr">
        <is>
          <t>It provides habitat for oysters.</t>
        </is>
      </c>
      <c r="D1273">
        <f>HYPERLINK("https://www.youtube.com/watch?v=BdVLcIcp48U&amp;t=115s", "Go to time")</f>
        <v/>
      </c>
    </row>
    <row r="1274">
      <c r="A1274">
        <f>HYPERLINK("https://www.youtube.com/watch?v=BdVLcIcp48U", "Video")</f>
        <v/>
      </c>
      <c r="B1274" t="inlineStr">
        <is>
          <t>2:05</t>
        </is>
      </c>
      <c r="C1274" t="inlineStr">
        <is>
          <t>Oyster habitat is also habitat for other fish.</t>
        </is>
      </c>
      <c r="D1274">
        <f>HYPERLINK("https://www.youtube.com/watch?v=BdVLcIcp48U&amp;t=125s", "Go to time")</f>
        <v/>
      </c>
    </row>
    <row r="1275">
      <c r="A1275">
        <f>HYPERLINK("https://www.youtube.com/watch?v=BdVLcIcp48U", "Video")</f>
        <v/>
      </c>
      <c r="B1275" t="inlineStr">
        <is>
          <t>2:08</t>
        </is>
      </c>
      <c r="C1275" t="inlineStr">
        <is>
          <t>It's also habitat for birds and it helps promote
tourism et cetera.</t>
        </is>
      </c>
      <c r="D1275">
        <f>HYPERLINK("https://www.youtube.com/watch?v=BdVLcIcp48U&amp;t=128s", "Go to time")</f>
        <v/>
      </c>
    </row>
    <row r="1276">
      <c r="A1276">
        <f>HYPERLINK("https://www.youtube.com/watch?v=550q8rkh7ns", "Video")</f>
        <v/>
      </c>
      <c r="B1276" t="inlineStr">
        <is>
          <t>0:35</t>
        </is>
      </c>
      <c r="C1276" t="inlineStr">
        <is>
          <t>I have friends who have been on the International
Space Station, they have orbited the Earth</t>
        </is>
      </c>
      <c r="D1276">
        <f>HYPERLINK("https://www.youtube.com/watch?v=550q8rkh7ns&amp;t=35s", "Go to time")</f>
        <v/>
      </c>
    </row>
    <row r="1277">
      <c r="A1277">
        <f>HYPERLINK("https://www.youtube.com/watch?v=550q8rkh7ns", "Video")</f>
        <v/>
      </c>
      <c r="B1277" t="inlineStr">
        <is>
          <t>3:17</t>
        </is>
      </c>
      <c r="C1277" t="inlineStr">
        <is>
          <t>It was straight overhead in Syene; in Alexandria
it was a little bit less than overhead, and</t>
        </is>
      </c>
      <c r="D1277">
        <f>HYPERLINK("https://www.youtube.com/watch?v=550q8rkh7ns&amp;t=197s", "Go to time")</f>
        <v/>
      </c>
    </row>
    <row r="1278">
      <c r="A1278">
        <f>HYPERLINK("https://www.youtube.com/watch?v=550q8rkh7ns", "Video")</f>
        <v/>
      </c>
      <c r="B1278" t="inlineStr">
        <is>
          <t>5:02</t>
        </is>
      </c>
      <c r="C1278" t="inlineStr">
        <is>
          <t>across the moon, sometimes it just kind of
glances the moon—just a little bit is in</t>
        </is>
      </c>
      <c r="D1278">
        <f>HYPERLINK("https://www.youtube.com/watch?v=550q8rkh7ns&amp;t=302s", "Go to time")</f>
        <v/>
      </c>
    </row>
    <row r="1279">
      <c r="A1279">
        <f>HYPERLINK("https://www.youtube.com/watch?v=DrXL8Vhu_fI", "Video")</f>
        <v/>
      </c>
      <c r="B1279" t="inlineStr">
        <is>
          <t>0:48</t>
        </is>
      </c>
      <c r="C1279" t="inlineStr">
        <is>
          <t>We know that the dark matter has to be pretty
cold, but it could be a little bit warm.</t>
        </is>
      </c>
      <c r="D1279">
        <f>HYPERLINK("https://www.youtube.com/watch?v=DrXL8Vhu_fI&amp;t=48s", "Go to time")</f>
        <v/>
      </c>
    </row>
    <row r="1280">
      <c r="A1280">
        <f>HYPERLINK("https://www.youtube.com/watch?v=tcmr4gvVyAc", "Video")</f>
        <v/>
      </c>
      <c r="B1280" t="inlineStr">
        <is>
          <t>0:30</t>
        </is>
      </c>
      <c r="C1280" t="inlineStr">
        <is>
          <t>ambitious so egos are huge so on the</t>
        </is>
      </c>
      <c r="D1280">
        <f>HYPERLINK("https://www.youtube.com/watch?v=tcmr4gvVyAc&amp;t=30s", "Go to time")</f>
        <v/>
      </c>
    </row>
    <row r="1281">
      <c r="A1281">
        <f>HYPERLINK("https://www.youtube.com/watch?v=tcmr4gvVyAc", "Video")</f>
        <v/>
      </c>
      <c r="B1281" t="inlineStr">
        <is>
          <t>1:44</t>
        </is>
      </c>
      <c r="C1281" t="inlineStr">
        <is>
          <t>the other hand ambition this tension</t>
        </is>
      </c>
      <c r="D1281">
        <f>HYPERLINK("https://www.youtube.com/watch?v=tcmr4gvVyAc&amp;t=104s", "Go to time")</f>
        <v/>
      </c>
    </row>
    <row r="1282">
      <c r="A1282">
        <f>HYPERLINK("https://www.youtube.com/watch?v=tcmr4gvVyAc", "Video")</f>
        <v/>
      </c>
      <c r="B1282" t="inlineStr">
        <is>
          <t>1:47</t>
        </is>
      </c>
      <c r="C1282" t="inlineStr">
        <is>
          <t>between regimentation and ambition leads</t>
        </is>
      </c>
      <c r="D1282">
        <f>HYPERLINK("https://www.youtube.com/watch?v=tcmr4gvVyAc&amp;t=107s", "Go to time")</f>
        <v/>
      </c>
    </row>
    <row r="1283">
      <c r="A1283">
        <f>HYPERLINK("https://www.youtube.com/watch?v=tcmr4gvVyAc", "Video")</f>
        <v/>
      </c>
      <c r="B1283" t="inlineStr">
        <is>
          <t>4:07</t>
        </is>
      </c>
      <c r="C1283" t="inlineStr">
        <is>
          <t>consumption habits that you see in China</t>
        </is>
      </c>
      <c r="D1283">
        <f>HYPERLINK("https://www.youtube.com/watch?v=tcmr4gvVyAc&amp;t=247s", "Go to time")</f>
        <v/>
      </c>
    </row>
    <row r="1284">
      <c r="A1284">
        <f>HYPERLINK("https://www.youtube.com/watch?v=iolIgufroLo", "Video")</f>
        <v/>
      </c>
      <c r="B1284" t="inlineStr">
        <is>
          <t>2:54</t>
        </is>
      </c>
      <c r="C1284" t="inlineStr">
        <is>
          <t>that could be fall a little bit below</t>
        </is>
      </c>
      <c r="D1284">
        <f>HYPERLINK("https://www.youtube.com/watch?v=iolIgufroLo&amp;t=174s", "Go to time")</f>
        <v/>
      </c>
    </row>
    <row r="1285">
      <c r="A1285">
        <f>HYPERLINK("https://www.youtube.com/watch?v=iolIgufroLo", "Video")</f>
        <v/>
      </c>
      <c r="B1285" t="inlineStr">
        <is>
          <t>30:41</t>
        </is>
      </c>
      <c r="C1285" t="inlineStr">
        <is>
          <t>years and perhaps it was a bit of</t>
        </is>
      </c>
      <c r="D1285">
        <f>HYPERLINK("https://www.youtube.com/watch?v=iolIgufroLo&amp;t=1841s", "Go to time")</f>
        <v/>
      </c>
    </row>
    <row r="1286">
      <c r="A1286">
        <f>HYPERLINK("https://www.youtube.com/watch?v=iolIgufroLo", "Video")</f>
        <v/>
      </c>
      <c r="B1286" t="inlineStr">
        <is>
          <t>30:44</t>
        </is>
      </c>
      <c r="C1286" t="inlineStr">
        <is>
          <t>optimism a bit of idealism uh perhaps I</t>
        </is>
      </c>
      <c r="D1286">
        <f>HYPERLINK("https://www.youtube.com/watch?v=iolIgufroLo&amp;t=1844s", "Go to time")</f>
        <v/>
      </c>
    </row>
    <row r="1287">
      <c r="A1287">
        <f>HYPERLINK("https://www.youtube.com/watch?v=iolIgufroLo", "Video")</f>
        <v/>
      </c>
      <c r="B1287" t="inlineStr">
        <is>
          <t>34:24</t>
        </is>
      </c>
      <c r="C1287" t="inlineStr">
        <is>
          <t>can get a little bit messy uh and I</t>
        </is>
      </c>
      <c r="D1287">
        <f>HYPERLINK("https://www.youtube.com/watch?v=iolIgufroLo&amp;t=2064s", "Go to time")</f>
        <v/>
      </c>
    </row>
    <row r="1288">
      <c r="A1288">
        <f>HYPERLINK("https://www.youtube.com/watch?v=iolIgufroLo", "Video")</f>
        <v/>
      </c>
      <c r="B1288" t="inlineStr">
        <is>
          <t>34:35</t>
        </is>
      </c>
      <c r="C1288" t="inlineStr">
        <is>
          <t>grow I think I was always a bit of a</t>
        </is>
      </c>
      <c r="D1288">
        <f>HYPERLINK("https://www.youtube.com/watch?v=iolIgufroLo&amp;t=2075s", "Go to time")</f>
        <v/>
      </c>
    </row>
    <row r="1289">
      <c r="A1289">
        <f>HYPERLINK("https://www.youtube.com/watch?v=NoIQlliMC-Q", "Video")</f>
        <v/>
      </c>
      <c r="B1289" t="inlineStr">
        <is>
          <t>8:01</t>
        </is>
      </c>
      <c r="C1289" t="inlineStr">
        <is>
          <t>so that's now also prohibited;</t>
        </is>
      </c>
      <c r="D1289">
        <f>HYPERLINK("https://www.youtube.com/watch?v=NoIQlliMC-Q&amp;t=481s", "Go to time")</f>
        <v/>
      </c>
    </row>
    <row r="1290">
      <c r="A1290">
        <f>HYPERLINK("https://www.youtube.com/watch?v=NoIQlliMC-Q", "Video")</f>
        <v/>
      </c>
      <c r="B1290" t="inlineStr">
        <is>
          <t>9:10</t>
        </is>
      </c>
      <c r="C1290" t="inlineStr">
        <is>
          <t>The other pigs will have
a little bit of room</t>
        </is>
      </c>
      <c r="D1290">
        <f>HYPERLINK("https://www.youtube.com/watch?v=NoIQlliMC-Q&amp;t=550s", "Go to time")</f>
        <v/>
      </c>
    </row>
    <row r="1291">
      <c r="A1291">
        <f>HYPERLINK("https://www.youtube.com/watch?v=NoIQlliMC-Q", "Video")</f>
        <v/>
      </c>
      <c r="B1291" t="inlineStr">
        <is>
          <t>13:06</t>
        </is>
      </c>
      <c r="C1291" t="inlineStr">
        <is>
          <t>We need to allow chickens
to live a bit longer</t>
        </is>
      </c>
      <c r="D1291">
        <f>HYPERLINK("https://www.youtube.com/watch?v=NoIQlliMC-Q&amp;t=786s", "Go to time")</f>
        <v/>
      </c>
    </row>
    <row r="1292">
      <c r="A1292">
        <f>HYPERLINK("https://www.youtube.com/watch?v=NoIQlliMC-Q", "Video")</f>
        <v/>
      </c>
      <c r="B1292" t="inlineStr">
        <is>
          <t>33:27</t>
        </is>
      </c>
      <c r="C1292" t="inlineStr">
        <is>
          <t>If it costs a bit more, nevermind.</t>
        </is>
      </c>
      <c r="D1292">
        <f>HYPERLINK("https://www.youtube.com/watch?v=NoIQlliMC-Q&amp;t=2007s", "Go to time")</f>
        <v/>
      </c>
    </row>
    <row r="1293">
      <c r="A1293">
        <f>HYPERLINK("https://www.youtube.com/watch?v=NoIQlliMC-Q", "Video")</f>
        <v/>
      </c>
      <c r="B1293" t="inlineStr">
        <is>
          <t>66:35</t>
        </is>
      </c>
      <c r="C1293" t="inlineStr">
        <is>
          <t>And they looked at him
as if he was a bit crazy,</t>
        </is>
      </c>
      <c r="D1293">
        <f>HYPERLINK("https://www.youtube.com/watch?v=NoIQlliMC-Q&amp;t=3995s", "Go to time")</f>
        <v/>
      </c>
    </row>
    <row r="1294">
      <c r="A1294">
        <f>HYPERLINK("https://www.youtube.com/watch?v=NoIQlliMC-Q", "Video")</f>
        <v/>
      </c>
      <c r="B1294" t="inlineStr">
        <is>
          <t>78:19</t>
        </is>
      </c>
      <c r="C1294" t="inlineStr">
        <is>
          <t>you don't change your
lifestyle and habits,</t>
        </is>
      </c>
      <c r="D1294">
        <f>HYPERLINK("https://www.youtube.com/watch?v=NoIQlliMC-Q&amp;t=4699s", "Go to time")</f>
        <v/>
      </c>
    </row>
    <row r="1295">
      <c r="A1295">
        <f>HYPERLINK("https://www.youtube.com/watch?v=NoIQlliMC-Q", "Video")</f>
        <v/>
      </c>
      <c r="B1295" t="inlineStr">
        <is>
          <t>80:25</t>
        </is>
      </c>
      <c r="C1295" t="inlineStr">
        <is>
          <t>But in fact there's been a bit of a swing</t>
        </is>
      </c>
      <c r="D1295">
        <f>HYPERLINK("https://www.youtube.com/watch?v=NoIQlliMC-Q&amp;t=4825s", "Go to time")</f>
        <v/>
      </c>
    </row>
    <row r="1296">
      <c r="A1296">
        <f>HYPERLINK("https://www.youtube.com/watch?v=NoIQlliMC-Q", "Video")</f>
        <v/>
      </c>
      <c r="B1296" t="inlineStr">
        <is>
          <t>86:34</t>
        </is>
      </c>
      <c r="C1296" t="inlineStr">
        <is>
          <t>I have a giving table that
is a bit like a tax table.</t>
        </is>
      </c>
      <c r="D1296">
        <f>HYPERLINK("https://www.youtube.com/watch?v=NoIQlliMC-Q&amp;t=5194s", "Go to time")</f>
        <v/>
      </c>
    </row>
    <row r="1297">
      <c r="A1297">
        <f>HYPERLINK("https://www.youtube.com/watch?v=NoIQlliMC-Q", "Video")</f>
        <v/>
      </c>
      <c r="B1297" t="inlineStr">
        <is>
          <t>87:26</t>
        </is>
      </c>
      <c r="C1297" t="inlineStr">
        <is>
          <t>In addition to that, they'll
be developing a good habit,</t>
        </is>
      </c>
      <c r="D1297">
        <f>HYPERLINK("https://www.youtube.com/watch?v=NoIQlliMC-Q&amp;t=5246s", "Go to time")</f>
        <v/>
      </c>
    </row>
    <row r="1298">
      <c r="A1298">
        <f>HYPERLINK("https://www.youtube.com/watch?v=7bquxJYC9DA", "Video")</f>
        <v/>
      </c>
      <c r="B1298" t="inlineStr">
        <is>
          <t>22:10</t>
        </is>
      </c>
      <c r="C1298" t="inlineStr">
        <is>
          <t>little rabbit you know with the ears</t>
        </is>
      </c>
      <c r="D1298">
        <f>HYPERLINK("https://www.youtube.com/watch?v=7bquxJYC9DA&amp;t=1330s", "Go to time")</f>
        <v/>
      </c>
    </row>
    <row r="1299">
      <c r="A1299">
        <f>HYPERLINK("https://www.youtube.com/watch?v=7bquxJYC9DA", "Video")</f>
        <v/>
      </c>
      <c r="B1299" t="inlineStr">
        <is>
          <t>32:09</t>
        </is>
      </c>
      <c r="C1299" t="inlineStr">
        <is>
          <t>it's the habit of democracy that it just</t>
        </is>
      </c>
      <c r="D1299">
        <f>HYPERLINK("https://www.youtube.com/watch?v=7bquxJYC9DA&amp;t=1929s", "Go to time")</f>
        <v/>
      </c>
    </row>
    <row r="1300">
      <c r="A1300">
        <f>HYPERLINK("https://www.youtube.com/watch?v=7bquxJYC9DA", "Video")</f>
        <v/>
      </c>
      <c r="B1300" t="inlineStr">
        <is>
          <t>32:15</t>
        </is>
      </c>
      <c r="C1300" t="inlineStr">
        <is>
          <t>that habit but we're accustomed to like</t>
        </is>
      </c>
      <c r="D1300">
        <f>HYPERLINK("https://www.youtube.com/watch?v=7bquxJYC9DA&amp;t=1935s", "Go to time")</f>
        <v/>
      </c>
    </row>
    <row r="1301">
      <c r="A1301">
        <f>HYPERLINK("https://www.youtube.com/watch?v=g_tmTYznG3o", "Video")</f>
        <v/>
      </c>
      <c r="B1301" t="inlineStr">
        <is>
          <t>0:06</t>
        </is>
      </c>
      <c r="C1301" t="inlineStr">
        <is>
          <t>And I would say, it's a
bit of apples and oranges.</t>
        </is>
      </c>
      <c r="D1301">
        <f>HYPERLINK("https://www.youtube.com/watch?v=g_tmTYznG3o&amp;t=6s", "Go to time")</f>
        <v/>
      </c>
    </row>
    <row r="1302">
      <c r="A1302">
        <f>HYPERLINK("https://www.youtube.com/watch?v=9vyFPuetK_4", "Video")</f>
        <v/>
      </c>
      <c r="B1302" t="inlineStr">
        <is>
          <t>0:58</t>
        </is>
      </c>
      <c r="C1302" t="inlineStr">
        <is>
          <t>and then maybe talk a
bit more about the idea</t>
        </is>
      </c>
      <c r="D1302">
        <f>HYPERLINK("https://www.youtube.com/watch?v=9vyFPuetK_4&amp;t=58s", "Go to time")</f>
        <v/>
      </c>
    </row>
    <row r="1303">
      <c r="A1303">
        <f>HYPERLINK("https://www.youtube.com/watch?v=-Gq-5qNekdo", "Video")</f>
        <v/>
      </c>
      <c r="B1303" t="inlineStr">
        <is>
          <t>0:21</t>
        </is>
      </c>
      <c r="C1303" t="inlineStr">
        <is>
          <t>a bit like a clockwork music box,</t>
        </is>
      </c>
      <c r="D1303">
        <f>HYPERLINK("https://www.youtube.com/watch?v=-Gq-5qNekdo&amp;t=21s", "Go to time")</f>
        <v/>
      </c>
    </row>
    <row r="1304">
      <c r="A1304">
        <f>HYPERLINK("https://www.youtube.com/watch?v=u5ZSANfAEXU", "Video")</f>
        <v/>
      </c>
      <c r="B1304" t="inlineStr">
        <is>
          <t>0:55</t>
        </is>
      </c>
      <c r="C1304" t="inlineStr">
        <is>
          <t>the term a little bit process oriented</t>
        </is>
      </c>
      <c r="D1304">
        <f>HYPERLINK("https://www.youtube.com/watch?v=u5ZSANfAEXU&amp;t=55s", "Go to time")</f>
        <v/>
      </c>
    </row>
    <row r="1305">
      <c r="A1305">
        <f>HYPERLINK("https://www.youtube.com/watch?v=9yKyP_ahSTo", "Video")</f>
        <v/>
      </c>
      <c r="B1305" t="inlineStr">
        <is>
          <t>5:23</t>
        </is>
      </c>
      <c r="C1305" t="inlineStr">
        <is>
          <t>maybe a bit grandiose but I'd like to</t>
        </is>
      </c>
      <c r="D1305">
        <f>HYPERLINK("https://www.youtube.com/watch?v=9yKyP_ahSTo&amp;t=323s", "Go to time")</f>
        <v/>
      </c>
    </row>
    <row r="1306">
      <c r="A1306">
        <f>HYPERLINK("https://www.youtube.com/watch?v=4k4VDF0YRRs", "Video")</f>
        <v/>
      </c>
      <c r="B1306" t="inlineStr">
        <is>
          <t>1:54</t>
        </is>
      </c>
      <c r="C1306" t="inlineStr">
        <is>
          <t>males tended to be a little bit more reserved.</t>
        </is>
      </c>
      <c r="D1306">
        <f>HYPERLINK("https://www.youtube.com/watch?v=4k4VDF0YRRs&amp;t=114s", "Go to time")</f>
        <v/>
      </c>
    </row>
    <row r="1307">
      <c r="A1307">
        <f>HYPERLINK("https://www.youtube.com/watch?v=HLwUi7r7_T8", "Video")</f>
        <v/>
      </c>
      <c r="B1307" t="inlineStr">
        <is>
          <t>3:08</t>
        </is>
      </c>
      <c r="C1307" t="inlineStr">
        <is>
          <t>Part of the reason that prohibition is collapsing
at the moment is because of what are called</t>
        </is>
      </c>
      <c r="D1307">
        <f>HYPERLINK("https://www.youtube.com/watch?v=HLwUi7r7_T8&amp;t=188s", "Go to time")</f>
        <v/>
      </c>
    </row>
    <row r="1308">
      <c r="A1308">
        <f>HYPERLINK("https://www.youtube.com/watch?v=qUCfkVUbb6A", "Video")</f>
        <v/>
      </c>
      <c r="B1308" t="inlineStr">
        <is>
          <t>1:41</t>
        </is>
      </c>
      <c r="C1308" t="inlineStr">
        <is>
          <t>do. I wanted I wanted to to my ambition</t>
        </is>
      </c>
      <c r="D1308">
        <f>HYPERLINK("https://www.youtube.com/watch?v=qUCfkVUbb6A&amp;t=101s", "Go to time")</f>
        <v/>
      </c>
    </row>
    <row r="1309">
      <c r="A1309">
        <f>HYPERLINK("https://www.youtube.com/watch?v=1598tCTdPrg", "Video")</f>
        <v/>
      </c>
      <c r="B1309" t="inlineStr">
        <is>
          <t>11:58</t>
        </is>
      </c>
      <c r="C1309" t="inlineStr">
        <is>
          <t>I will use the term, "Resting
Bitch Face" as an example</t>
        </is>
      </c>
      <c r="D1309">
        <f>HYPERLINK("https://www.youtube.com/watch?v=1598tCTdPrg&amp;t=718s", "Go to time")</f>
        <v/>
      </c>
    </row>
    <row r="1310">
      <c r="A1310">
        <f>HYPERLINK("https://www.youtube.com/watch?v=1598tCTdPrg", "Video")</f>
        <v/>
      </c>
      <c r="B1310" t="inlineStr">
        <is>
          <t>15:09</t>
        </is>
      </c>
      <c r="C1310" t="inlineStr">
        <is>
          <t>and realize that something is
just a little bit out of sync.</t>
        </is>
      </c>
      <c r="D1310">
        <f>HYPERLINK("https://www.youtube.com/watch?v=1598tCTdPrg&amp;t=909s", "Go to time")</f>
        <v/>
      </c>
    </row>
    <row r="1311">
      <c r="A1311">
        <f>HYPERLINK("https://www.youtube.com/watch?v=1598tCTdPrg", "Video")</f>
        <v/>
      </c>
      <c r="B1311" t="inlineStr">
        <is>
          <t>15:17</t>
        </is>
      </c>
      <c r="C1311" t="inlineStr">
        <is>
          <t>is a little bit distinct,</t>
        </is>
      </c>
      <c r="D1311">
        <f>HYPERLINK("https://www.youtube.com/watch?v=1598tCTdPrg&amp;t=917s", "Go to time")</f>
        <v/>
      </c>
    </row>
    <row r="1312">
      <c r="A1312">
        <f>HYPERLINK("https://www.youtube.com/watch?v=bu5SGGzHWro", "Video")</f>
        <v/>
      </c>
      <c r="B1312" t="inlineStr">
        <is>
          <t>1:09</t>
        </is>
      </c>
      <c r="C1312" t="inlineStr">
        <is>
          <t>writers um a little bit more in that</t>
        </is>
      </c>
      <c r="D1312">
        <f>HYPERLINK("https://www.youtube.com/watch?v=bu5SGGzHWro&amp;t=69s", "Go to time")</f>
        <v/>
      </c>
    </row>
    <row r="1313">
      <c r="A1313">
        <f>HYPERLINK("https://www.youtube.com/watch?v=bu5SGGzHWro", "Video")</f>
        <v/>
      </c>
      <c r="B1313" t="inlineStr">
        <is>
          <t>1:18</t>
        </is>
      </c>
      <c r="C1313" t="inlineStr">
        <is>
          <t>on a bit of a personal crusade to call</t>
        </is>
      </c>
      <c r="D1313">
        <f>HYPERLINK("https://www.youtube.com/watch?v=bu5SGGzHWro&amp;t=78s", "Go to time")</f>
        <v/>
      </c>
    </row>
    <row r="1314">
      <c r="A1314">
        <f>HYPERLINK("https://www.youtube.com/watch?v=VEzNKc-3SxM", "Video")</f>
        <v/>
      </c>
      <c r="B1314" t="inlineStr">
        <is>
          <t>0:26</t>
        </is>
      </c>
      <c r="C1314" t="inlineStr">
        <is>
          <t>And it's a little bit different than your
traditional social network diagram in that</t>
        </is>
      </c>
      <c r="D1314">
        <f>HYPERLINK("https://www.youtube.com/watch?v=VEzNKc-3SxM&amp;t=26s", "Go to time")</f>
        <v/>
      </c>
    </row>
    <row r="1315">
      <c r="A1315">
        <f>HYPERLINK("https://www.youtube.com/watch?v=gwmijEZ5sbM", "Video")</f>
        <v/>
      </c>
      <c r="B1315" t="inlineStr">
        <is>
          <t>0:38</t>
        </is>
      </c>
      <c r="C1315" t="inlineStr">
        <is>
          <t>of hers on repeat and she realized if you
take a bit of speech stream and you take a</t>
        </is>
      </c>
      <c r="D1315">
        <f>HYPERLINK("https://www.youtube.com/watch?v=gwmijEZ5sbM&amp;t=38s", "Go to time")</f>
        <v/>
      </c>
    </row>
    <row r="1316">
      <c r="A1316">
        <f>HYPERLINK("https://www.youtube.com/watch?v=gwmijEZ5sbM", "Video")</f>
        <v/>
      </c>
      <c r="B1316" t="inlineStr">
        <is>
          <t>1:57</t>
        </is>
      </c>
      <c r="C1316" t="inlineStr">
        <is>
          <t>And eventually the mouse habituates, it learns
to ignore the stimulus.</t>
        </is>
      </c>
      <c r="D1316">
        <f>HYPERLINK("https://www.youtube.com/watch?v=gwmijEZ5sbM&amp;t=117s", "Go to time")</f>
        <v/>
      </c>
    </row>
    <row r="1317">
      <c r="A1317">
        <f>HYPERLINK("https://www.youtube.com/watch?v=gwmijEZ5sbM", "Video")</f>
        <v/>
      </c>
      <c r="B1317" t="inlineStr">
        <is>
          <t>2:01</t>
        </is>
      </c>
      <c r="C1317" t="inlineStr">
        <is>
          <t>And habituation is common in culture and life.</t>
        </is>
      </c>
      <c r="D1317">
        <f>HYPERLINK("https://www.youtube.com/watch?v=gwmijEZ5sbM&amp;t=121s", "Go to time")</f>
        <v/>
      </c>
    </row>
    <row r="1318">
      <c r="A1318">
        <f>HYPERLINK("https://www.youtube.com/watch?v=gwmijEZ5sbM", "Video")</f>
        <v/>
      </c>
      <c r="B1318" t="inlineStr">
        <is>
          <t>2:07</t>
        </is>
      </c>
      <c r="C1318" t="inlineStr">
        <is>
          <t>But if instead at the very moment the mouse
is about to habituate from the B note he instead</t>
        </is>
      </c>
      <c r="D1318">
        <f>HYPERLINK("https://www.youtube.com/watch?v=gwmijEZ5sbM&amp;t=127s", "Go to time")</f>
        <v/>
      </c>
    </row>
    <row r="1319">
      <c r="A1319">
        <f>HYPERLINK("https://www.youtube.com/watch?v=gwmijEZ5sbM", "Video")</f>
        <v/>
      </c>
      <c r="B1319" t="inlineStr">
        <is>
          <t>2:11</t>
        </is>
      </c>
      <c r="C1319" t="inlineStr">
        <is>
          <t>plays a C note, the mouse attends to the C
note and is dishabituated from the B note.</t>
        </is>
      </c>
      <c r="D1319">
        <f>HYPERLINK("https://www.youtube.com/watch?v=gwmijEZ5sbM&amp;t=131s", "Go to time")</f>
        <v/>
      </c>
    </row>
    <row r="1320">
      <c r="A1320">
        <f>HYPERLINK("https://www.youtube.com/watch?v=gwmijEZ5sbM", "Video")</f>
        <v/>
      </c>
      <c r="B1320" t="inlineStr">
        <is>
          <t>2:31</t>
        </is>
      </c>
      <c r="C1320" t="inlineStr">
        <is>
          <t>B-B-C-B-C-D note to habituate from both from
the B and the C note.</t>
        </is>
      </c>
      <c r="D1320">
        <f>HYPERLINK("https://www.youtube.com/watch?v=gwmijEZ5sbM&amp;t=151s", "Go to time")</f>
        <v/>
      </c>
    </row>
    <row r="1321">
      <c r="A1321">
        <f>HYPERLINK("https://www.youtube.com/watch?v=18tPNgru25s", "Video")</f>
        <v/>
      </c>
      <c r="B1321" t="inlineStr">
        <is>
          <t>6:46</t>
        </is>
      </c>
      <c r="C1321" t="inlineStr">
        <is>
          <t>neuroscientists which is Benjamin libbit</t>
        </is>
      </c>
      <c r="D1321">
        <f>HYPERLINK("https://www.youtube.com/watch?v=18tPNgru25s&amp;t=406s", "Go to time")</f>
        <v/>
      </c>
    </row>
    <row r="1322">
      <c r="A1322">
        <f>HYPERLINK("https://www.youtube.com/watch?v=RyKbSXkdmP4", "Video")</f>
        <v/>
      </c>
      <c r="B1322" t="inlineStr">
        <is>
          <t>7:49</t>
        </is>
      </c>
      <c r="C1322" t="inlineStr">
        <is>
          <t>But what you are doing
is habituating yourself</t>
        </is>
      </c>
      <c r="D1322">
        <f>HYPERLINK("https://www.youtube.com/watch?v=RyKbSXkdmP4&amp;t=469s", "Go to time")</f>
        <v/>
      </c>
    </row>
    <row r="1323">
      <c r="A1323">
        <f>HYPERLINK("https://www.youtube.com/watch?v=L9qh0OnrcRk", "Video")</f>
        <v/>
      </c>
      <c r="B1323" t="inlineStr">
        <is>
          <t>1:57</t>
        </is>
      </c>
      <c r="C1323" t="inlineStr">
        <is>
          <t>little bit uh otherwise you couldn't</t>
        </is>
      </c>
      <c r="D1323">
        <f>HYPERLINK("https://www.youtube.com/watch?v=L9qh0OnrcRk&amp;t=117s", "Go to time")</f>
        <v/>
      </c>
    </row>
    <row r="1324">
      <c r="A1324">
        <f>HYPERLINK("https://www.youtube.com/watch?v=GPgxUh8Mob4", "Video")</f>
        <v/>
      </c>
      <c r="B1324" t="inlineStr">
        <is>
          <t>4:19</t>
        </is>
      </c>
      <c r="C1324" t="inlineStr">
        <is>
          <t>It's a little bit of a
pathological fear, to be honest.</t>
        </is>
      </c>
      <c r="D1324">
        <f>HYPERLINK("https://www.youtube.com/watch?v=GPgxUh8Mob4&amp;t=259s", "Go to time")</f>
        <v/>
      </c>
    </row>
    <row r="1325">
      <c r="A1325">
        <f>HYPERLINK("https://www.youtube.com/watch?v=Hog4257Z4H4", "Video")</f>
        <v/>
      </c>
      <c r="B1325" t="inlineStr">
        <is>
          <t>0:42</t>
        </is>
      </c>
      <c r="C1325" t="inlineStr">
        <is>
          <t>a bit but the computer woke up in the</t>
        </is>
      </c>
      <c r="D1325">
        <f>HYPERLINK("https://www.youtube.com/watch?v=Hog4257Z4H4&amp;t=42s", "Go to time")</f>
        <v/>
      </c>
    </row>
    <row r="1326">
      <c r="A1326">
        <f>HYPERLINK("https://www.youtube.com/watch?v=eHCOuqrZx18", "Video")</f>
        <v/>
      </c>
      <c r="B1326" t="inlineStr">
        <is>
          <t>0:12</t>
        </is>
      </c>
      <c r="C1326" t="inlineStr">
        <is>
          <t>WENCES CASARES: It's hard to have a rigorous 
discussion about Bitcoin without understanding</t>
        </is>
      </c>
      <c r="D1326">
        <f>HYPERLINK("https://www.youtube.com/watch?v=eHCOuqrZx18&amp;t=12s", "Go to time")</f>
        <v/>
      </c>
    </row>
    <row r="1327">
      <c r="A1327">
        <f>HYPERLINK("https://www.youtube.com/watch?v=eHCOuqrZx18", "Video")</f>
        <v/>
      </c>
      <c r="B1327" t="inlineStr">
        <is>
          <t>0:58</t>
        </is>
      </c>
      <c r="C1327" t="inlineStr">
        <is>
          <t>I would go up to a person and say, "Hey, can I 
have a little bit of meat?" And that person would</t>
        </is>
      </c>
      <c r="D1327">
        <f>HYPERLINK("https://www.youtube.com/watch?v=eHCOuqrZx18&amp;t=58s", "Go to time")</f>
        <v/>
      </c>
    </row>
    <row r="1328">
      <c r="A1328">
        <f>HYPERLINK("https://www.youtube.com/watch?v=eHCOuqrZx18", "Video")</f>
        <v/>
      </c>
      <c r="B1328" t="inlineStr">
        <is>
          <t>1:07</t>
        </is>
      </c>
      <c r="C1328" t="inlineStr">
        <is>
          <t>can I have a little bit of meat?" And that person 
would say "Yes, here's your meat." And basically,</t>
        </is>
      </c>
      <c r="D1328">
        <f>HYPERLINK("https://www.youtube.com/watch?v=eHCOuqrZx18&amp;t=67s", "Go to time")</f>
        <v/>
      </c>
    </row>
    <row r="1329">
      <c r="A1329">
        <f>HYPERLINK("https://www.youtube.com/watch?v=eHCOuqrZx18", "Video")</f>
        <v/>
      </c>
      <c r="B1329" t="inlineStr">
        <is>
          <t>1:18</t>
        </is>
      </c>
      <c r="C1329" t="inlineStr">
        <is>
          <t>And then someone would come to me and say, "hey, 
Wences, can I have a little bit of firewood?" And</t>
        </is>
      </c>
      <c r="D1329">
        <f>HYPERLINK("https://www.youtube.com/watch?v=eHCOuqrZx18&amp;t=78s", "Go to time")</f>
        <v/>
      </c>
    </row>
    <row r="1330">
      <c r="A1330">
        <f>HYPERLINK("https://www.youtube.com/watch?v=eHCOuqrZx18", "Video")</f>
        <v/>
      </c>
      <c r="B1330" t="inlineStr">
        <is>
          <t>1:25</t>
        </is>
      </c>
      <c r="C1330" t="inlineStr">
        <is>
          <t>little bit, that this person owes me a little. And 
we all went around about our business, with these</t>
        </is>
      </c>
      <c r="D1330">
        <f>HYPERLINK("https://www.youtube.com/watch?v=eHCOuqrZx18&amp;t=85s", "Go to time")</f>
        <v/>
      </c>
    </row>
    <row r="1331">
      <c r="A1331">
        <f>HYPERLINK("https://www.youtube.com/watch?v=eHCOuqrZx18", "Video")</f>
        <v/>
      </c>
      <c r="B1331" t="inlineStr">
        <is>
          <t>1:52</t>
        </is>
      </c>
      <c r="C1331" t="inlineStr">
        <is>
          <t>have a little bit of firewood?" And I said, "Sure, 
here's your firewood." And this person said,</t>
        </is>
      </c>
      <c r="D1331">
        <f>HYPERLINK("https://www.youtube.com/watch?v=eHCOuqrZx18&amp;t=112s", "Go to time")</f>
        <v/>
      </c>
    </row>
    <row r="1332">
      <c r="A1332">
        <f>HYPERLINK("https://www.youtube.com/watch?v=eHCOuqrZx18", "Video")</f>
        <v/>
      </c>
      <c r="B1332" t="inlineStr">
        <is>
          <t>4:23</t>
        </is>
      </c>
      <c r="C1332" t="inlineStr">
        <is>
          <t>This is why Bitcoin is so relevant. Because 
it's the first time in 5,000 years that we</t>
        </is>
      </c>
      <c r="D1332">
        <f>HYPERLINK("https://www.youtube.com/watch?v=eHCOuqrZx18&amp;t=263s", "Go to time")</f>
        <v/>
      </c>
    </row>
    <row r="1333">
      <c r="A1333">
        <f>HYPERLINK("https://www.youtube.com/watch?v=eHCOuqrZx18", "Video")</f>
        <v/>
      </c>
      <c r="B1333" t="inlineStr">
        <is>
          <t>4:33</t>
        </is>
      </c>
      <c r="C1333" t="inlineStr">
        <is>
          <t>It's much more scarce than gold. There will 
never be more than 21 million Bitcoins. It's</t>
        </is>
      </c>
      <c r="D1333">
        <f>HYPERLINK("https://www.youtube.com/watch?v=eHCOuqrZx18&amp;t=273s", "Go to time")</f>
        <v/>
      </c>
    </row>
    <row r="1334">
      <c r="A1334">
        <f>HYPERLINK("https://www.youtube.com/watch?v=eHCOuqrZx18", "Video")</f>
        <v/>
      </c>
      <c r="B1334" t="inlineStr">
        <is>
          <t>4:38</t>
        </is>
      </c>
      <c r="C1334" t="inlineStr">
        <is>
          <t>much more divisible than gold. Bitcoin is 
composed of a million pieces called Satoshis.</t>
        </is>
      </c>
      <c r="D1334">
        <f>HYPERLINK("https://www.youtube.com/watch?v=eHCOuqrZx18&amp;t=278s", "Go to time")</f>
        <v/>
      </c>
    </row>
    <row r="1335">
      <c r="A1335">
        <f>HYPERLINK("https://www.youtube.com/watch?v=eHCOuqrZx18", "Video")</f>
        <v/>
      </c>
      <c r="B1335" t="inlineStr">
        <is>
          <t>4:44</t>
        </is>
      </c>
      <c r="C1335" t="inlineStr">
        <is>
          <t>It's much more durable, divisible, transportable. 
You can attach a Bitcoin to an SMS message,</t>
        </is>
      </c>
      <c r="D1335">
        <f>HYPERLINK("https://www.youtube.com/watch?v=eHCOuqrZx18&amp;t=284s", "Go to time")</f>
        <v/>
      </c>
    </row>
    <row r="1336">
      <c r="A1336">
        <f>HYPERLINK("https://www.youtube.com/watch?v=eHCOuqrZx18", "Video")</f>
        <v/>
      </c>
      <c r="B1336" t="inlineStr">
        <is>
          <t>4:55</t>
        </is>
      </c>
      <c r="C1336" t="inlineStr">
        <is>
          <t>And it's incredibly easy to verify. The second you 
get a Bitcoin, you know that it's a good Bitcoin.</t>
        </is>
      </c>
      <c r="D1336">
        <f>HYPERLINK("https://www.youtube.com/watch?v=eHCOuqrZx18&amp;t=295s", "Go to time")</f>
        <v/>
      </c>
    </row>
    <row r="1337">
      <c r="A1337">
        <f>HYPERLINK("https://www.youtube.com/watch?v=eHCOuqrZx18", "Video")</f>
        <v/>
      </c>
      <c r="B1337" t="inlineStr">
        <is>
          <t>4:59</t>
        </is>
      </c>
      <c r="C1337" t="inlineStr">
        <is>
          <t>BILL BARHYDT: Bitcoin itself is what we call 
deflationary, which means that over time,</t>
        </is>
      </c>
      <c r="D1337">
        <f>HYPERLINK("https://www.youtube.com/watch?v=eHCOuqrZx18&amp;t=299s", "Go to time")</f>
        <v/>
      </c>
    </row>
    <row r="1338">
      <c r="A1338">
        <f>HYPERLINK("https://www.youtube.com/watch?v=eHCOuqrZx18", "Video")</f>
        <v/>
      </c>
      <c r="B1338" t="inlineStr">
        <is>
          <t>5:03</t>
        </is>
      </c>
      <c r="C1338" t="inlineStr">
        <is>
          <t>the amount of Bitcoin in circulation if you 
look at a chart, would actually approach a</t>
        </is>
      </c>
      <c r="D1338">
        <f>HYPERLINK("https://www.youtube.com/watch?v=eHCOuqrZx18&amp;t=303s", "Go to time")</f>
        <v/>
      </c>
    </row>
    <row r="1339">
      <c r="A1339">
        <f>HYPERLINK("https://www.youtube.com/watch?v=eHCOuqrZx18", "Video")</f>
        <v/>
      </c>
      <c r="B1339" t="inlineStr">
        <is>
          <t>5:13</t>
        </is>
      </c>
      <c r="C1339" t="inlineStr">
        <is>
          <t>approach that line of 21 million over time. And it 
does that, by the amount of Bitcoin being mined,</t>
        </is>
      </c>
      <c r="D1339">
        <f>HYPERLINK("https://www.youtube.com/watch?v=eHCOuqrZx18&amp;t=313s", "Go to time")</f>
        <v/>
      </c>
    </row>
    <row r="1340">
      <c r="A1340">
        <f>HYPERLINK("https://www.youtube.com/watch?v=eHCOuqrZx18", "Video")</f>
        <v/>
      </c>
      <c r="B1340" t="inlineStr">
        <is>
          <t>5:30</t>
        </is>
      </c>
      <c r="C1340" t="inlineStr">
        <is>
          <t>actually create a predictable rate at which 
Bitcoin is created. That rate, like I said,</t>
        </is>
      </c>
      <c r="D1340">
        <f>HYPERLINK("https://www.youtube.com/watch?v=eHCOuqrZx18&amp;t=330s", "Go to time")</f>
        <v/>
      </c>
    </row>
    <row r="1341">
      <c r="A1341">
        <f>HYPERLINK("https://www.youtube.com/watch?v=eHCOuqrZx18", "Video")</f>
        <v/>
      </c>
      <c r="B1341" t="inlineStr">
        <is>
          <t>5:43</t>
        </is>
      </c>
      <c r="C1341" t="inlineStr">
        <is>
          <t>if Bitcoin is being used for money transfer 
applications, there are institutional investors</t>
        </is>
      </c>
      <c r="D1341">
        <f>HYPERLINK("https://www.youtube.com/watch?v=eHCOuqrZx18&amp;t=343s", "Go to time")</f>
        <v/>
      </c>
    </row>
    <row r="1342">
      <c r="A1342">
        <f>HYPERLINK("https://www.youtube.com/watch?v=eHCOuqrZx18", "Video")</f>
        <v/>
      </c>
      <c r="B1342" t="inlineStr">
        <is>
          <t>5:58</t>
        </is>
      </c>
      <c r="C1342" t="inlineStr">
        <is>
          <t>it's still not a problem, because you can 
subdivide Bitcoin down to eight decimal places.</t>
        </is>
      </c>
      <c r="D1342">
        <f>HYPERLINK("https://www.youtube.com/watch?v=eHCOuqrZx18&amp;t=358s", "Go to time")</f>
        <v/>
      </c>
    </row>
    <row r="1343">
      <c r="A1343">
        <f>HYPERLINK("https://www.youtube.com/watch?v=eHCOuqrZx18", "Video")</f>
        <v/>
      </c>
      <c r="B1343" t="inlineStr">
        <is>
          <t>6:03</t>
        </is>
      </c>
      <c r="C1343" t="inlineStr">
        <is>
          <t>So you can get to the point where one satoshi, 
which is 0.0000001 Bitcoin, could be worth a</t>
        </is>
      </c>
      <c r="D1343">
        <f>HYPERLINK("https://www.youtube.com/watch?v=eHCOuqrZx18&amp;t=363s", "Go to time")</f>
        <v/>
      </c>
    </row>
    <row r="1344">
      <c r="A1344">
        <f>HYPERLINK("https://www.youtube.com/watch?v=eHCOuqrZx18", "Video")</f>
        <v/>
      </c>
      <c r="B1344" t="inlineStr">
        <is>
          <t>6:10</t>
        </is>
      </c>
      <c r="C1344" t="inlineStr">
        <is>
          <t>thousand dollars. So the ability to subdivide 
Bitcoin into tiny amounts called satoshis,</t>
        </is>
      </c>
      <c r="D1344">
        <f>HYPERLINK("https://www.youtube.com/watch?v=eHCOuqrZx18&amp;t=370s", "Go to time")</f>
        <v/>
      </c>
    </row>
    <row r="1345">
      <c r="A1345">
        <f>HYPERLINK("https://www.youtube.com/watch?v=eHCOuqrZx18", "Video")</f>
        <v/>
      </c>
      <c r="B1345" t="inlineStr">
        <is>
          <t>6:20</t>
        </is>
      </c>
      <c r="C1345" t="inlineStr">
        <is>
          <t>of dollars in their own right, right? So that 
gives the utility of Bitcoin a lot of legroom</t>
        </is>
      </c>
      <c r="D1345">
        <f>HYPERLINK("https://www.youtube.com/watch?v=eHCOuqrZx18&amp;t=380s", "Go to time")</f>
        <v/>
      </c>
    </row>
    <row r="1346">
      <c r="A1346">
        <f>HYPERLINK("https://www.youtube.com/watch?v=eHCOuqrZx18", "Video")</f>
        <v/>
      </c>
      <c r="B1346" t="inlineStr">
        <is>
          <t>7:10</t>
        </is>
      </c>
      <c r="C1346" t="inlineStr">
        <is>
          <t>okay? So that actually means that the 
price of Bitcoin and Ether, for example, is</t>
        </is>
      </c>
      <c r="D1346">
        <f>HYPERLINK("https://www.youtube.com/watch?v=eHCOuqrZx18&amp;t=430s", "Go to time")</f>
        <v/>
      </c>
    </row>
    <row r="1347">
      <c r="A1347">
        <f>HYPERLINK("https://www.youtube.com/watch?v=eHCOuqrZx18", "Video")</f>
        <v/>
      </c>
      <c r="B1347" t="inlineStr">
        <is>
          <t>8:22</t>
        </is>
      </c>
      <c r="C1347" t="inlineStr">
        <is>
          <t>make the cryptocurrency market more efficient 
over time, close a lot of what we call arbitrage</t>
        </is>
      </c>
      <c r="D1347">
        <f>HYPERLINK("https://www.youtube.com/watch?v=eHCOuqrZx18&amp;t=502s", "Go to time")</f>
        <v/>
      </c>
    </row>
    <row r="1348">
      <c r="A1348">
        <f>HYPERLINK("https://www.youtube.com/watch?v=eHCOuqrZx18", "Video")</f>
        <v/>
      </c>
      <c r="B1348" t="inlineStr">
        <is>
          <t>8:39</t>
        </is>
      </c>
      <c r="C1348" t="inlineStr">
        <is>
          <t>BRAD TEMPLETON: What Bitcoin creates 
is a ledger that needs no bank.</t>
        </is>
      </c>
      <c r="D1348">
        <f>HYPERLINK("https://www.youtube.com/watch?v=eHCOuqrZx18&amp;t=519s", "Go to time")</f>
        <v/>
      </c>
    </row>
    <row r="1349">
      <c r="A1349">
        <f>HYPERLINK("https://www.youtube.com/watch?v=eHCOuqrZx18", "Video")</f>
        <v/>
      </c>
      <c r="B1349" t="inlineStr">
        <is>
          <t>9:15</t>
        </is>
      </c>
      <c r="C1349" t="inlineStr">
        <is>
          <t>designers of Bitcoin created was a way to make a 
ledger that's secure, and that everyone can trust,</t>
        </is>
      </c>
      <c r="D1349">
        <f>HYPERLINK("https://www.youtube.com/watch?v=eHCOuqrZx18&amp;t=555s", "Go to time")</f>
        <v/>
      </c>
    </row>
    <row r="1350">
      <c r="A1350">
        <f>HYPERLINK("https://www.youtube.com/watch?v=eHCOuqrZx18", "Video")</f>
        <v/>
      </c>
      <c r="B1350" t="inlineStr">
        <is>
          <t>9:37</t>
        </is>
      </c>
      <c r="C1350" t="inlineStr">
        <is>
          <t>It lets the policy be set by consensus and 
software. So Bitcoin basically has found a way,</t>
        </is>
      </c>
      <c r="D1350">
        <f>HYPERLINK("https://www.youtube.com/watch?v=eHCOuqrZx18&amp;t=577s", "Go to time")</f>
        <v/>
      </c>
    </row>
    <row r="1351">
      <c r="A1351">
        <f>HYPERLINK("https://www.youtube.com/watch?v=eHCOuqrZx18", "Video")</f>
        <v/>
      </c>
      <c r="B1351" t="inlineStr">
        <is>
          <t>9:52</t>
        </is>
      </c>
      <c r="C1351" t="inlineStr">
        <is>
          <t>half of the computers in the world they could 
take over Bitcoin, but that's pretty unlikely.</t>
        </is>
      </c>
      <c r="D1351">
        <f>HYPERLINK("https://www.youtube.com/watch?v=eHCOuqrZx18&amp;t=592s", "Go to time")</f>
        <v/>
      </c>
    </row>
    <row r="1352">
      <c r="A1352">
        <f>HYPERLINK("https://www.youtube.com/watch?v=eHCOuqrZx18", "Video")</f>
        <v/>
      </c>
      <c r="B1352" t="inlineStr">
        <is>
          <t>10:01</t>
        </is>
      </c>
      <c r="C1352" t="inlineStr">
        <is>
          <t>Blockchain is the underlying programming, on 
top of which, cryptocurrency—Bitcoin—has been</t>
        </is>
      </c>
      <c r="D1352">
        <f>HYPERLINK("https://www.youtube.com/watch?v=eHCOuqrZx18&amp;t=601s", "Go to time")</f>
        <v/>
      </c>
    </row>
    <row r="1353">
      <c r="A1353">
        <f>HYPERLINK("https://www.youtube.com/watch?v=eHCOuqrZx18", "Video")</f>
        <v/>
      </c>
      <c r="B1353" t="inlineStr">
        <is>
          <t>10:09</t>
        </is>
      </c>
      <c r="C1353" t="inlineStr">
        <is>
          <t>developed. Let me distinguish the two. Bitcoin 
is just one little application of blockchain. It</t>
        </is>
      </c>
      <c r="D1353">
        <f>HYPERLINK("https://www.youtube.com/watch?v=eHCOuqrZx18&amp;t=609s", "Go to time")</f>
        <v/>
      </c>
    </row>
    <row r="1354">
      <c r="A1354">
        <f>HYPERLINK("https://www.youtube.com/watch?v=eHCOuqrZx18", "Video")</f>
        <v/>
      </c>
      <c r="B1354" t="inlineStr">
        <is>
          <t>10:24</t>
        </is>
      </c>
      <c r="C1354" t="inlineStr">
        <is>
          <t>to preach that companies go out and start trading 
using Bitcoin, that would be a mistake. Blockchain</t>
        </is>
      </c>
      <c r="D1354">
        <f>HYPERLINK("https://www.youtube.com/watch?v=eHCOuqrZx18&amp;t=624s", "Go to time")</f>
        <v/>
      </c>
    </row>
    <row r="1355">
      <c r="A1355">
        <f>HYPERLINK("https://www.youtube.com/watch?v=eHCOuqrZx18", "Video")</f>
        <v/>
      </c>
      <c r="B1355" t="inlineStr">
        <is>
          <t>13:55</t>
        </is>
      </c>
      <c r="C1355" t="inlineStr">
        <is>
          <t>a bit more automated more transparent, then 
I think we can do a lot to improve society.</t>
        </is>
      </c>
      <c r="D1355">
        <f>HYPERLINK("https://www.youtube.com/watch?v=eHCOuqrZx18&amp;t=835s", "Go to time")</f>
        <v/>
      </c>
    </row>
    <row r="1356">
      <c r="A1356">
        <f>HYPERLINK("https://www.youtube.com/watch?v=vnzNSG5HwWM", "Video")</f>
        <v/>
      </c>
      <c r="B1356" t="inlineStr">
        <is>
          <t>5:16</t>
        </is>
      </c>
      <c r="C1356" t="inlineStr">
        <is>
          <t>you say go a little bit deeper you know</t>
        </is>
      </c>
      <c r="D1356">
        <f>HYPERLINK("https://www.youtube.com/watch?v=vnzNSG5HwWM&amp;t=316s", "Go to time")</f>
        <v/>
      </c>
    </row>
    <row r="1357">
      <c r="A1357">
        <f>HYPERLINK("https://www.youtube.com/watch?v=q4n8l5n8icU", "Video")</f>
        <v/>
      </c>
      <c r="B1357" t="inlineStr">
        <is>
          <t>0:34</t>
        </is>
      </c>
      <c r="C1357" t="inlineStr">
        <is>
          <t>agent and caused quite a bit of trouble.</t>
        </is>
      </c>
      <c r="D1357">
        <f>HYPERLINK("https://www.youtube.com/watch?v=q4n8l5n8icU&amp;t=34s", "Go to time")</f>
        <v/>
      </c>
    </row>
    <row r="1358">
      <c r="A1358">
        <f>HYPERLINK("https://www.youtube.com/watch?v=MSOcFTSdREE", "Video")</f>
        <v/>
      </c>
      <c r="B1358" t="inlineStr">
        <is>
          <t>0:36</t>
        </is>
      </c>
      <c r="C1358" t="inlineStr">
        <is>
          <t>Bahrain there was a bit of a problem</t>
        </is>
      </c>
      <c r="D1358">
        <f>HYPERLINK("https://www.youtube.com/watch?v=MSOcFTSdREE&amp;t=36s", "Go to time")</f>
        <v/>
      </c>
    </row>
    <row r="1359">
      <c r="A1359">
        <f>HYPERLINK("https://www.youtube.com/watch?v=MSOcFTSdREE", "Video")</f>
        <v/>
      </c>
      <c r="B1359" t="inlineStr">
        <is>
          <t>1:46</t>
        </is>
      </c>
      <c r="C1359" t="inlineStr">
        <is>
          <t>been a little bit bumpier I would say um</t>
        </is>
      </c>
      <c r="D1359">
        <f>HYPERLINK("https://www.youtube.com/watch?v=MSOcFTSdREE&amp;t=106s", "Go to time")</f>
        <v/>
      </c>
    </row>
    <row r="1360">
      <c r="A1360">
        <f>HYPERLINK("https://www.youtube.com/watch?v=MSOcFTSdREE", "Video")</f>
        <v/>
      </c>
      <c r="B1360" t="inlineStr">
        <is>
          <t>4:05</t>
        </is>
      </c>
      <c r="C1360" t="inlineStr">
        <is>
          <t>Iran a little bit in terms of how um how</t>
        </is>
      </c>
      <c r="D1360">
        <f>HYPERLINK("https://www.youtube.com/watch?v=MSOcFTSdREE&amp;t=245s", "Go to time")</f>
        <v/>
      </c>
    </row>
    <row r="1361">
      <c r="A1361">
        <f>HYPERLINK("https://www.youtube.com/watch?v=6L9UHONpSfM", "Video")</f>
        <v/>
      </c>
      <c r="B1361" t="inlineStr">
        <is>
          <t>0:09</t>
        </is>
      </c>
      <c r="C1361" t="inlineStr">
        <is>
          <t>your little bits of
experience that you have,</t>
        </is>
      </c>
      <c r="D1361">
        <f>HYPERLINK("https://www.youtube.com/watch?v=6L9UHONpSfM&amp;t=9s", "Go to time")</f>
        <v/>
      </c>
    </row>
    <row r="1362">
      <c r="A1362">
        <f>HYPERLINK("https://www.youtube.com/watch?v=6L9UHONpSfM", "Video")</f>
        <v/>
      </c>
      <c r="B1362" t="inlineStr">
        <is>
          <t>7:09</t>
        </is>
      </c>
      <c r="C1362" t="inlineStr">
        <is>
          <t>Let me understand that
a little bit better,</t>
        </is>
      </c>
      <c r="D1362">
        <f>HYPERLINK("https://www.youtube.com/watch?v=6L9UHONpSfM&amp;t=429s", "Go to time")</f>
        <v/>
      </c>
    </row>
    <row r="1363">
      <c r="A1363">
        <f>HYPERLINK("https://www.youtube.com/watch?v=5ZENts_Ghvo", "Video")</f>
        <v/>
      </c>
      <c r="B1363" t="inlineStr">
        <is>
          <t>1:02</t>
        </is>
      </c>
      <c r="C1363" t="inlineStr">
        <is>
          <t>question to learn a little bit more.</t>
        </is>
      </c>
      <c r="D1363">
        <f>HYPERLINK("https://www.youtube.com/watch?v=5ZENts_Ghvo&amp;t=62s", "Go to time")</f>
        <v/>
      </c>
    </row>
    <row r="1364">
      <c r="A1364">
        <f>HYPERLINK("https://www.youtube.com/watch?v=l4daoKwupgI", "Video")</f>
        <v/>
      </c>
      <c r="B1364" t="inlineStr">
        <is>
          <t>1:17</t>
        </is>
      </c>
      <c r="C1364" t="inlineStr">
        <is>
          <t>again you see little bits of this but</t>
        </is>
      </c>
      <c r="D1364">
        <f>HYPERLINK("https://www.youtube.com/watch?v=l4daoKwupgI&amp;t=77s", "Go to time")</f>
        <v/>
      </c>
    </row>
    <row r="1365">
      <c r="A1365">
        <f>HYPERLINK("https://www.youtube.com/watch?v=PrpuBFkzBO4", "Video")</f>
        <v/>
      </c>
      <c r="B1365" t="inlineStr">
        <is>
          <t>4:14</t>
        </is>
      </c>
      <c r="C1365" t="inlineStr">
        <is>
          <t>as looking at the orbits
of stars around galaxies,</t>
        </is>
      </c>
      <c r="D1365">
        <f>HYPERLINK("https://www.youtube.com/watch?v=PrpuBFkzBO4&amp;t=254s", "Go to time")</f>
        <v/>
      </c>
    </row>
    <row r="1366">
      <c r="A1366">
        <f>HYPERLINK("https://www.youtube.com/watch?v=8-AHQTYz0DU", "Video")</f>
        <v/>
      </c>
      <c r="B1366" t="inlineStr">
        <is>
          <t>1:17</t>
        </is>
      </c>
      <c r="C1366" t="inlineStr">
        <is>
          <t>it a little bit and not just give us the</t>
        </is>
      </c>
      <c r="D1366">
        <f>HYPERLINK("https://www.youtube.com/watch?v=8-AHQTYz0DU&amp;t=77s", "Go to time")</f>
        <v/>
      </c>
    </row>
    <row r="1367">
      <c r="A1367">
        <f>HYPERLINK("https://www.youtube.com/watch?v=nuPBS3PUFZw", "Video")</f>
        <v/>
      </c>
      <c r="B1367" t="inlineStr">
        <is>
          <t>2:32</t>
        </is>
      </c>
      <c r="C1367" t="inlineStr">
        <is>
          <t>He made death his bitch, and we love winners.</t>
        </is>
      </c>
      <c r="D1367">
        <f>HYPERLINK("https://www.youtube.com/watch?v=nuPBS3PUFZw&amp;t=152s", "Go to time")</f>
        <v/>
      </c>
    </row>
    <row r="1368">
      <c r="A1368">
        <f>HYPERLINK("https://www.youtube.com/watch?v=WxHs5Xv9twA", "Video")</f>
        <v/>
      </c>
      <c r="B1368" t="inlineStr">
        <is>
          <t>2:05</t>
        </is>
      </c>
      <c r="C1368" t="inlineStr">
        <is>
          <t>uh separate whatever political Ambitions</t>
        </is>
      </c>
      <c r="D1368">
        <f>HYPERLINK("https://www.youtube.com/watch?v=WxHs5Xv9twA&amp;t=125s", "Go to time")</f>
        <v/>
      </c>
    </row>
    <row r="1369">
      <c r="A1369">
        <f>HYPERLINK("https://www.youtube.com/watch?v=o6g8W6BaF_I", "Video")</f>
        <v/>
      </c>
      <c r="B1369" t="inlineStr">
        <is>
          <t>14:40</t>
        </is>
      </c>
      <c r="C1369" t="inlineStr">
        <is>
          <t>they get stretched just a little bit less</t>
        </is>
      </c>
      <c r="D1369">
        <f>HYPERLINK("https://www.youtube.com/watch?v=o6g8W6BaF_I&amp;t=880s", "Go to time")</f>
        <v/>
      </c>
    </row>
    <row r="1370">
      <c r="A1370">
        <f>HYPERLINK("https://www.youtube.com/watch?v=o6g8W6BaF_I", "Video")</f>
        <v/>
      </c>
      <c r="B1370" t="inlineStr">
        <is>
          <t>16:54</t>
        </is>
      </c>
      <c r="C1370" t="inlineStr">
        <is>
          <t>and it wasn't arbitrarily high.</t>
        </is>
      </c>
      <c r="D1370">
        <f>HYPERLINK("https://www.youtube.com/watch?v=o6g8W6BaF_I&amp;t=1014s", "Go to time")</f>
        <v/>
      </c>
    </row>
    <row r="1371">
      <c r="A1371">
        <f>HYPERLINK("https://www.youtube.com/watch?v=JOiNF5a59S8", "Video")</f>
        <v/>
      </c>
      <c r="B1371" t="inlineStr">
        <is>
          <t>2:13</t>
        </is>
      </c>
      <c r="C1371" t="inlineStr">
        <is>
          <t>if you take on a little bit too much</t>
        </is>
      </c>
      <c r="D1371">
        <f>HYPERLINK("https://www.youtube.com/watch?v=JOiNF5a59S8&amp;t=133s", "Go to time")</f>
        <v/>
      </c>
    </row>
    <row r="1372">
      <c r="A1372">
        <f>HYPERLINK("https://www.youtube.com/watch?v=E_fE-y_e7Gk", "Video")</f>
        <v/>
      </c>
      <c r="B1372" t="inlineStr">
        <is>
          <t>2:24</t>
        </is>
      </c>
      <c r="C1372" t="inlineStr">
        <is>
          <t>I'm getting I guess a little bit off off</t>
        </is>
      </c>
      <c r="D1372">
        <f>HYPERLINK("https://www.youtube.com/watch?v=E_fE-y_e7Gk&amp;t=144s", "Go to time")</f>
        <v/>
      </c>
    </row>
    <row r="1373">
      <c r="A1373">
        <f>HYPERLINK("https://www.youtube.com/watch?v=mCo7F9h743o", "Video")</f>
        <v/>
      </c>
      <c r="B1373" t="inlineStr">
        <is>
          <t>0:30</t>
        </is>
      </c>
      <c r="C1373" t="inlineStr">
        <is>
          <t>and find out about animals
in their natural habitat.'</t>
        </is>
      </c>
      <c r="D1373">
        <f>HYPERLINK("https://www.youtube.com/watch?v=mCo7F9h743o&amp;t=30s", "Go to time")</f>
        <v/>
      </c>
    </row>
    <row r="1374">
      <c r="A1374">
        <f>HYPERLINK("https://www.youtube.com/watch?v=mCo7F9h743o", "Video")</f>
        <v/>
      </c>
      <c r="B1374" t="inlineStr">
        <is>
          <t>1:29</t>
        </is>
      </c>
      <c r="C1374" t="inlineStr">
        <is>
          <t>getting a little bit
nervous and apprehensive</t>
        </is>
      </c>
      <c r="D1374">
        <f>HYPERLINK("https://www.youtube.com/watch?v=mCo7F9h743o&amp;t=89s", "Go to time")</f>
        <v/>
      </c>
    </row>
    <row r="1375">
      <c r="A1375">
        <f>HYPERLINK("https://www.youtube.com/watch?v=mCo7F9h743o", "Video")</f>
        <v/>
      </c>
      <c r="B1375" t="inlineStr">
        <is>
          <t>1:33</t>
        </is>
      </c>
      <c r="C1375" t="inlineStr">
        <is>
          <t>that there's a little bit of it today.</t>
        </is>
      </c>
      <c r="D1375">
        <f>HYPERLINK("https://www.youtube.com/watch?v=mCo7F9h743o&amp;t=93s", "Go to time")</f>
        <v/>
      </c>
    </row>
    <row r="1376">
      <c r="A1376">
        <f>HYPERLINK("https://www.youtube.com/watch?v=mCo7F9h743o", "Video")</f>
        <v/>
      </c>
      <c r="B1376" t="inlineStr">
        <is>
          <t>5:05</t>
        </is>
      </c>
      <c r="C1376" t="inlineStr">
        <is>
          <t>But they're also made up a little bit.</t>
        </is>
      </c>
      <c r="D1376">
        <f>HYPERLINK("https://www.youtube.com/watch?v=mCo7F9h743o&amp;t=305s", "Go to time")</f>
        <v/>
      </c>
    </row>
    <row r="1377">
      <c r="A1377">
        <f>HYPERLINK("https://www.youtube.com/watch?v=mCo7F9h743o", "Video")</f>
        <v/>
      </c>
      <c r="B1377" t="inlineStr">
        <is>
          <t>24:29</t>
        </is>
      </c>
      <c r="C1377" t="inlineStr">
        <is>
          <t>- Could you talk a little
bit about the benefits</t>
        </is>
      </c>
      <c r="D1377">
        <f>HYPERLINK("https://www.youtube.com/watch?v=mCo7F9h743o&amp;t=1469s", "Go to time")</f>
        <v/>
      </c>
    </row>
    <row r="1378">
      <c r="A1378">
        <f>HYPERLINK("https://www.youtube.com/watch?v=cos2CBkg8kY", "Video")</f>
        <v/>
      </c>
      <c r="B1378" t="inlineStr">
        <is>
          <t>2:29</t>
        </is>
      </c>
      <c r="C1378" t="inlineStr">
        <is>
          <t>will emerge and lower the cost, especially
of taking stuff to low earth orbit.</t>
        </is>
      </c>
      <c r="D1378">
        <f>HYPERLINK("https://www.youtube.com/watch?v=cos2CBkg8kY&amp;t=149s", "Go to time")</f>
        <v/>
      </c>
    </row>
    <row r="1379">
      <c r="A1379">
        <f>HYPERLINK("https://www.youtube.com/watch?v=RhhzVfeqINY", "Video")</f>
        <v/>
      </c>
      <c r="B1379" t="inlineStr">
        <is>
          <t>6:15</t>
        </is>
      </c>
      <c r="C1379" t="inlineStr">
        <is>
          <t>This country's only 60 years old so we'll
give the Zulu bits back to the Zulus.</t>
        </is>
      </c>
      <c r="D1379">
        <f>HYPERLINK("https://www.youtube.com/watch?v=RhhzVfeqINY&amp;t=375s", "Go to time")</f>
        <v/>
      </c>
    </row>
    <row r="1380">
      <c r="A1380">
        <f>HYPERLINK("https://www.youtube.com/watch?v=RhhzVfeqINY", "Video")</f>
        <v/>
      </c>
      <c r="B1380" t="inlineStr">
        <is>
          <t>6:20</t>
        </is>
      </c>
      <c r="C1380" t="inlineStr">
        <is>
          <t>We'll give the Xhosa bits back to the Xhosas
and the other national groups.</t>
        </is>
      </c>
      <c r="D1380">
        <f>HYPERLINK("https://www.youtube.com/watch?v=RhhzVfeqINY&amp;t=380s", "Go to time")</f>
        <v/>
      </c>
    </row>
    <row r="1381">
      <c r="A1381">
        <f>HYPERLINK("https://www.youtube.com/watch?v=RhhzVfeqINY", "Video")</f>
        <v/>
      </c>
      <c r="B1381" t="inlineStr">
        <is>
          <t>18:41</t>
        </is>
      </c>
      <c r="C1381" t="inlineStr">
        <is>
          <t>even with one's bitterest enemies provided
there's a proper constitutional framework.</t>
        </is>
      </c>
      <c r="D1381">
        <f>HYPERLINK("https://www.youtube.com/watch?v=RhhzVfeqINY&amp;t=1121s", "Go to time")</f>
        <v/>
      </c>
    </row>
    <row r="1382">
      <c r="A1382">
        <f>HYPERLINK("https://www.youtube.com/watch?v=cr8sLxde1m8", "Video")</f>
        <v/>
      </c>
      <c r="B1382" t="inlineStr">
        <is>
          <t>6:10</t>
        </is>
      </c>
      <c r="C1382" t="inlineStr">
        <is>
          <t>to be better at empathy, you might say, "My habit 
is cutting people off and interrupting. I’m going</t>
        </is>
      </c>
      <c r="D1382">
        <f>HYPERLINK("https://www.youtube.com/watch?v=cr8sLxde1m8&amp;t=370s", "Go to time")</f>
        <v/>
      </c>
    </row>
    <row r="1383">
      <c r="A1383">
        <f>HYPERLINK("https://www.youtube.com/watch?v=cr8sLxde1m8", "Video")</f>
        <v/>
      </c>
      <c r="B1383" t="inlineStr">
        <is>
          <t>6:34</t>
        </is>
      </c>
      <c r="C1383" t="inlineStr">
        <is>
          <t>repeated experience, and that’s what underlies 
habit change. It’s a little like crossing your</t>
        </is>
      </c>
      <c r="D1383">
        <f>HYPERLINK("https://www.youtube.com/watch?v=cr8sLxde1m8&amp;t=394s", "Go to time")</f>
        <v/>
      </c>
    </row>
    <row r="1384">
      <c r="A1384">
        <f>HYPERLINK("https://www.youtube.com/watch?v=cr8sLxde1m8", "Video")</f>
        <v/>
      </c>
      <c r="B1384" t="inlineStr">
        <is>
          <t>6:47</t>
        </is>
      </c>
      <c r="C1384" t="inlineStr">
        <is>
          <t>on top. That feels uncomfortable. That’s what 
it’s like to change a habit. So with listening,</t>
        </is>
      </c>
      <c r="D1384">
        <f>HYPERLINK("https://www.youtube.com/watch?v=cr8sLxde1m8&amp;t=407s", "Go to time")</f>
        <v/>
      </c>
    </row>
    <row r="1385">
      <c r="A1385">
        <f>HYPERLINK("https://www.youtube.com/watch?v=cr8sLxde1m8", "Video")</f>
        <v/>
      </c>
      <c r="B1385" t="inlineStr">
        <is>
          <t>7:00</t>
        </is>
      </c>
      <c r="C1385" t="inlineStr">
        <is>
          <t>it gets more and more comfortable until 
finally, it’s an automatic habit that</t>
        </is>
      </c>
      <c r="D1385">
        <f>HYPERLINK("https://www.youtube.com/watch?v=cr8sLxde1m8&amp;t=420s", "Go to time")</f>
        <v/>
      </c>
    </row>
    <row r="1386">
      <c r="A1386">
        <f>HYPERLINK("https://www.youtube.com/watch?v=cr8sLxde1m8", "Video")</f>
        <v/>
      </c>
      <c r="B1386" t="inlineStr">
        <is>
          <t>10:04</t>
        </is>
      </c>
      <c r="C1386" t="inlineStr">
        <is>
          <t>"Did you see the exhibit in 
the museum on the left?"</t>
        </is>
      </c>
      <c r="D1386">
        <f>HYPERLINK("https://www.youtube.com/watch?v=cr8sLxde1m8&amp;t=604s", "Go to time")</f>
        <v/>
      </c>
    </row>
    <row r="1387">
      <c r="A1387">
        <f>HYPERLINK("https://www.youtube.com/watch?v=x3sPsbv3fnY", "Video")</f>
        <v/>
      </c>
      <c r="B1387" t="inlineStr">
        <is>
          <t>1:26</t>
        </is>
      </c>
      <c r="C1387" t="inlineStr">
        <is>
          <t>Yeah, we're on a planet that's orbiting a
star, and a star is an energy source and it's</t>
        </is>
      </c>
      <c r="D1387">
        <f>HYPERLINK("https://www.youtube.com/watch?v=x3sPsbv3fnY&amp;t=86s", "Go to time")</f>
        <v/>
      </c>
    </row>
    <row r="1388">
      <c r="A1388">
        <f>HYPERLINK("https://www.youtube.com/watch?v=IDPSFsXzdcg", "Video")</f>
        <v/>
      </c>
      <c r="B1388" t="inlineStr">
        <is>
          <t>2:12</t>
        </is>
      </c>
      <c r="C1388" t="inlineStr">
        <is>
          <t>Exhibition at the United Nations May of</t>
        </is>
      </c>
      <c r="D1388">
        <f>HYPERLINK("https://www.youtube.com/watch?v=IDPSFsXzdcg&amp;t=132s", "Go to time")</f>
        <v/>
      </c>
    </row>
    <row r="1389">
      <c r="A1389">
        <f>HYPERLINK("https://www.youtube.com/watch?v=LTmjrgC6ejQ", "Video")</f>
        <v/>
      </c>
      <c r="B1389" t="inlineStr">
        <is>
          <t>17:14</t>
        </is>
      </c>
      <c r="C1389" t="inlineStr">
        <is>
          <t>be a meltdown it's a little bit</t>
        </is>
      </c>
      <c r="D1389">
        <f>HYPERLINK("https://www.youtube.com/watch?v=LTmjrgC6ejQ&amp;t=1034s", "Go to time")</f>
        <v/>
      </c>
    </row>
    <row r="1390">
      <c r="A1390">
        <f>HYPERLINK("https://www.youtube.com/watch?v=GII7sZoTIDw", "Video")</f>
        <v/>
      </c>
      <c r="B1390" t="inlineStr">
        <is>
          <t>0:37</t>
        </is>
      </c>
      <c r="C1390" t="inlineStr">
        <is>
          <t>Victory um one has to look a little bit</t>
        </is>
      </c>
      <c r="D1390">
        <f>HYPERLINK("https://www.youtube.com/watch?v=GII7sZoTIDw&amp;t=37s", "Go to time")</f>
        <v/>
      </c>
    </row>
    <row r="1391">
      <c r="A1391">
        <f>HYPERLINK("https://www.youtube.com/watch?v=yS9FBB19Ws0", "Video")</f>
        <v/>
      </c>
      <c r="B1391" t="inlineStr">
        <is>
          <t>4:27</t>
        </is>
      </c>
      <c r="C1391" t="inlineStr">
        <is>
          <t>a bit more like psychotherapy</t>
        </is>
      </c>
      <c r="D1391">
        <f>HYPERLINK("https://www.youtube.com/watch?v=yS9FBB19Ws0&amp;t=267s", "Go to time")</f>
        <v/>
      </c>
    </row>
    <row r="1392">
      <c r="A1392">
        <f>HYPERLINK("https://www.youtube.com/watch?v=2-8w6j3W9jU", "Video")</f>
        <v/>
      </c>
      <c r="B1392" t="inlineStr">
        <is>
          <t>2:58</t>
        </is>
      </c>
      <c r="C1392" t="inlineStr">
        <is>
          <t>of it which is a bit bit mundane but</t>
        </is>
      </c>
      <c r="D1392">
        <f>HYPERLINK("https://www.youtube.com/watch?v=2-8w6j3W9jU&amp;t=178s", "Go to time")</f>
        <v/>
      </c>
    </row>
    <row r="1393">
      <c r="A1393">
        <f>HYPERLINK("https://www.youtube.com/watch?v=2-8w6j3W9jU", "Video")</f>
        <v/>
      </c>
      <c r="B1393" t="inlineStr">
        <is>
          <t>4:08</t>
        </is>
      </c>
      <c r="C1393" t="inlineStr">
        <is>
          <t>other kids are using it a little bit</t>
        </is>
      </c>
      <c r="D1393">
        <f>HYPERLINK("https://www.youtube.com/watch?v=2-8w6j3W9jU&amp;t=248s", "Go to time")</f>
        <v/>
      </c>
    </row>
    <row r="1394">
      <c r="A1394">
        <f>HYPERLINK("https://www.youtube.com/watch?v=2-8w6j3W9jU", "Video")</f>
        <v/>
      </c>
      <c r="B1394" t="inlineStr">
        <is>
          <t>15:21</t>
        </is>
      </c>
      <c r="C1394" t="inlineStr">
        <is>
          <t>going to happen it's a little bit like</t>
        </is>
      </c>
      <c r="D1394">
        <f>HYPERLINK("https://www.youtube.com/watch?v=2-8w6j3W9jU&amp;t=921s", "Go to time")</f>
        <v/>
      </c>
    </row>
    <row r="1395">
      <c r="A1395">
        <f>HYPERLINK("https://www.youtube.com/watch?v=kNxjfsIOE3g", "Video")</f>
        <v/>
      </c>
      <c r="B1395" t="inlineStr">
        <is>
          <t>1:00</t>
        </is>
      </c>
      <c r="C1395" t="inlineStr">
        <is>
          <t>and it was my ambition when I grew up to</t>
        </is>
      </c>
      <c r="D1395">
        <f>HYPERLINK("https://www.youtube.com/watch?v=kNxjfsIOE3g&amp;t=60s", "Go to time")</f>
        <v/>
      </c>
    </row>
    <row r="1396">
      <c r="A1396">
        <f>HYPERLINK("https://www.youtube.com/watch?v=dt8jaBgDgOY", "Video")</f>
        <v/>
      </c>
      <c r="B1396" t="inlineStr">
        <is>
          <t>4:12</t>
        </is>
      </c>
      <c r="C1396" t="inlineStr">
        <is>
          <t>that he typically exhibits President</t>
        </is>
      </c>
      <c r="D1396">
        <f>HYPERLINK("https://www.youtube.com/watch?v=dt8jaBgDgOY&amp;t=252s", "Go to time")</f>
        <v/>
      </c>
    </row>
    <row r="1397">
      <c r="A1397">
        <f>HYPERLINK("https://www.youtube.com/watch?v=dt8jaBgDgOY", "Video")</f>
        <v/>
      </c>
      <c r="B1397" t="inlineStr">
        <is>
          <t>8:20</t>
        </is>
      </c>
      <c r="C1397" t="inlineStr">
        <is>
          <t>sounds a bit</t>
        </is>
      </c>
      <c r="D1397">
        <f>HYPERLINK("https://www.youtube.com/watch?v=dt8jaBgDgOY&amp;t=500s", "Go to time")</f>
        <v/>
      </c>
    </row>
    <row r="1398">
      <c r="A1398">
        <f>HYPERLINK("https://www.youtube.com/watch?v=dt8jaBgDgOY", "Video")</f>
        <v/>
      </c>
      <c r="B1398" t="inlineStr">
        <is>
          <t>13:38</t>
        </is>
      </c>
      <c r="C1398" t="inlineStr">
        <is>
          <t>habituated attitudes of violence uh with</t>
        </is>
      </c>
      <c r="D1398">
        <f>HYPERLINK("https://www.youtube.com/watch?v=dt8jaBgDgOY&amp;t=818s", "Go to time")</f>
        <v/>
      </c>
    </row>
    <row r="1399">
      <c r="A1399">
        <f>HYPERLINK("https://www.youtube.com/watch?v=dt8jaBgDgOY", "Video")</f>
        <v/>
      </c>
      <c r="B1399" t="inlineStr">
        <is>
          <t>13:50</t>
        </is>
      </c>
      <c r="C1399" t="inlineStr">
        <is>
          <t>human being we're we're biting off a</t>
        </is>
      </c>
      <c r="D1399">
        <f>HYPERLINK("https://www.youtube.com/watch?v=dt8jaBgDgOY&amp;t=830s", "Go to time")</f>
        <v/>
      </c>
    </row>
    <row r="1400">
      <c r="A1400">
        <f>HYPERLINK("https://www.youtube.com/watch?v=dt8jaBgDgOY", "Video")</f>
        <v/>
      </c>
      <c r="B1400" t="inlineStr">
        <is>
          <t>15:09</t>
        </is>
      </c>
      <c r="C1400" t="inlineStr">
        <is>
          <t>even um flirted a little bit with you</t>
        </is>
      </c>
      <c r="D1400">
        <f>HYPERLINK("https://www.youtube.com/watch?v=dt8jaBgDgOY&amp;t=909s", "Go to time")</f>
        <v/>
      </c>
    </row>
    <row r="1401">
      <c r="A1401">
        <f>HYPERLINK("https://www.youtube.com/watch?v=dt8jaBgDgOY", "Video")</f>
        <v/>
      </c>
      <c r="B1401" t="inlineStr">
        <is>
          <t>17:19</t>
        </is>
      </c>
      <c r="C1401" t="inlineStr">
        <is>
          <t>bit as much as they would do on any</t>
        </is>
      </c>
      <c r="D1401">
        <f>HYPERLINK("https://www.youtube.com/watch?v=dt8jaBgDgOY&amp;t=1039s", "Go to time")</f>
        <v/>
      </c>
    </row>
    <row r="1402">
      <c r="A1402">
        <f>HYPERLINK("https://www.youtube.com/watch?v=dt8jaBgDgOY", "Video")</f>
        <v/>
      </c>
      <c r="B1402" t="inlineStr">
        <is>
          <t>21:22</t>
        </is>
      </c>
      <c r="C1402" t="inlineStr">
        <is>
          <t>first year with a very ambitious agenda</t>
        </is>
      </c>
      <c r="D1402">
        <f>HYPERLINK("https://www.youtube.com/watch?v=dt8jaBgDgOY&amp;t=1282s", "Go to time")</f>
        <v/>
      </c>
    </row>
    <row r="1403">
      <c r="A1403">
        <f>HYPERLINK("https://www.youtube.com/watch?v=BUjBJbDJoZQ", "Video")</f>
        <v/>
      </c>
      <c r="B1403" t="inlineStr">
        <is>
          <t>3:51</t>
        </is>
      </c>
      <c r="C1403" t="inlineStr">
        <is>
          <t>that black hole would be about the orbit of
where Jupiter is in our solar system and the</t>
        </is>
      </c>
      <c r="D1403">
        <f>HYPERLINK("https://www.youtube.com/watch?v=BUjBJbDJoZQ&amp;t=231s", "Go to time")</f>
        <v/>
      </c>
    </row>
    <row r="1404">
      <c r="A1404">
        <f>HYPERLINK("https://www.youtube.com/watch?v=u8m42Us8BAc", "Video")</f>
        <v/>
      </c>
      <c r="B1404" t="inlineStr">
        <is>
          <t>3:16</t>
        </is>
      </c>
      <c r="C1404" t="inlineStr">
        <is>
          <t>or some bit of wisdom
that's going to make me</t>
        </is>
      </c>
      <c r="D1404">
        <f>HYPERLINK("https://www.youtube.com/watch?v=u8m42Us8BAc&amp;t=196s", "Go to time")</f>
        <v/>
      </c>
    </row>
    <row r="1405">
      <c r="A1405">
        <f>HYPERLINK("https://www.youtube.com/watch?v=dE5RoxwJ_o4", "Video")</f>
        <v/>
      </c>
      <c r="B1405" t="inlineStr">
        <is>
          <t>3:11</t>
        </is>
      </c>
      <c r="C1405" t="inlineStr">
        <is>
          <t>so they may have a maybe a bit of a long</t>
        </is>
      </c>
      <c r="D1405">
        <f>HYPERLINK("https://www.youtube.com/watch?v=dE5RoxwJ_o4&amp;t=191s", "Go to time")</f>
        <v/>
      </c>
    </row>
    <row r="1406">
      <c r="A1406">
        <f>HYPERLINK("https://www.youtube.com/watch?v=dE5RoxwJ_o4", "Video")</f>
        <v/>
      </c>
      <c r="B1406" t="inlineStr">
        <is>
          <t>9:47</t>
        </is>
      </c>
      <c r="C1406" t="inlineStr">
        <is>
          <t>lots of people doing a little bit less</t>
        </is>
      </c>
      <c r="D1406">
        <f>HYPERLINK("https://www.youtube.com/watch?v=dE5RoxwJ_o4&amp;t=587s", "Go to time")</f>
        <v/>
      </c>
    </row>
    <row r="1407">
      <c r="A1407">
        <f>HYPERLINK("https://www.youtube.com/watch?v=dE5RoxwJ_o4", "Video")</f>
        <v/>
      </c>
      <c r="B1407" t="inlineStr">
        <is>
          <t>18:46</t>
        </is>
      </c>
      <c r="C1407" t="inlineStr">
        <is>
          <t>sort of on the side do a little bit of</t>
        </is>
      </c>
      <c r="D1407">
        <f>HYPERLINK("https://www.youtube.com/watch?v=dE5RoxwJ_o4&amp;t=1126s", "Go to time")</f>
        <v/>
      </c>
    </row>
    <row r="1408">
      <c r="A1408">
        <f>HYPERLINK("https://www.youtube.com/watch?v=dE5RoxwJ_o4", "Video")</f>
        <v/>
      </c>
      <c r="B1408" t="inlineStr">
        <is>
          <t>18:57</t>
        </is>
      </c>
      <c r="C1408" t="inlineStr">
        <is>
          <t>that you'll be there'll be a little bit</t>
        </is>
      </c>
      <c r="D1408">
        <f>HYPERLINK("https://www.youtube.com/watch?v=dE5RoxwJ_o4&amp;t=1137s", "Go to time")</f>
        <v/>
      </c>
    </row>
    <row r="1409">
      <c r="A1409">
        <f>HYPERLINK("https://www.youtube.com/watch?v=WIvMP7Tw0ac", "Video")</f>
        <v/>
      </c>
      <c r="B1409" t="inlineStr">
        <is>
          <t>6:58</t>
        </is>
      </c>
      <c r="C1409" t="inlineStr">
        <is>
          <t>gigabit access perhaps</t>
        </is>
      </c>
      <c r="D1409">
        <f>HYPERLINK("https://www.youtube.com/watch?v=WIvMP7Tw0ac&amp;t=418s", "Go to time")</f>
        <v/>
      </c>
    </row>
    <row r="1410">
      <c r="A1410">
        <f>HYPERLINK("https://www.youtube.com/watch?v=GaUoIBTGXzo", "Video")</f>
        <v/>
      </c>
      <c r="B1410" t="inlineStr">
        <is>
          <t>3:13</t>
        </is>
      </c>
      <c r="C1410" t="inlineStr">
        <is>
          <t>with a little bit of agreement.</t>
        </is>
      </c>
      <c r="D1410">
        <f>HYPERLINK("https://www.youtube.com/watch?v=GaUoIBTGXzo&amp;t=193s", "Go to time")</f>
        <v/>
      </c>
    </row>
    <row r="1411">
      <c r="A1411">
        <f>HYPERLINK("https://www.youtube.com/watch?v=WPY4CklJbzY", "Video")</f>
        <v/>
      </c>
      <c r="B1411" t="inlineStr">
        <is>
          <t>0:59</t>
        </is>
      </c>
      <c r="C1411" t="inlineStr">
        <is>
          <t>Well, that's a little bit mystical.</t>
        </is>
      </c>
      <c r="D1411">
        <f>HYPERLINK("https://www.youtube.com/watch?v=WPY4CklJbzY&amp;t=59s", "Go to time")</f>
        <v/>
      </c>
    </row>
    <row r="1412">
      <c r="A1412">
        <f>HYPERLINK("https://www.youtube.com/watch?v=k7ejtzkcl54", "Video")</f>
        <v/>
      </c>
      <c r="B1412" t="inlineStr">
        <is>
          <t>3:16</t>
        </is>
      </c>
      <c r="C1412" t="inlineStr">
        <is>
          <t>even if it’s at a bacterial level, even
if it’s just a tiny little bit of life,</t>
        </is>
      </c>
      <c r="D1412">
        <f>HYPERLINK("https://www.youtube.com/watch?v=k7ejtzkcl54&amp;t=196s", "Go to time")</f>
        <v/>
      </c>
    </row>
    <row r="1413">
      <c r="A1413">
        <f>HYPERLINK("https://www.youtube.com/watch?v=4i5kd8SEmPE", "Video")</f>
        <v/>
      </c>
      <c r="B1413" t="inlineStr">
        <is>
          <t>1:27</t>
        </is>
      </c>
      <c r="C1413" t="inlineStr">
        <is>
          <t>A string of bits is information, and it doesn't
matter whether those string of bits represent</t>
        </is>
      </c>
      <c r="D1413">
        <f>HYPERLINK("https://www.youtube.com/watch?v=4i5kd8SEmPE&amp;t=87s", "Go to time")</f>
        <v/>
      </c>
    </row>
    <row r="1414">
      <c r="A1414">
        <f>HYPERLINK("https://www.youtube.com/watch?v=4i5kd8SEmPE", "Video")</f>
        <v/>
      </c>
      <c r="B1414" t="inlineStr">
        <is>
          <t>1:32</t>
        </is>
      </c>
      <c r="C1414" t="inlineStr">
        <is>
          <t>something true or false, and for that matter
it doesn't matter whether the string of bits</t>
        </is>
      </c>
      <c r="D1414">
        <f>HYPERLINK("https://www.youtube.com/watch?v=4i5kd8SEmPE&amp;t=92s", "Go to time")</f>
        <v/>
      </c>
    </row>
    <row r="1415">
      <c r="A1415">
        <f>HYPERLINK("https://www.youtube.com/watch?v=4i5kd8SEmPE", "Video")</f>
        <v/>
      </c>
      <c r="B1415" t="inlineStr">
        <is>
          <t>1:47</t>
        </is>
      </c>
      <c r="C1415" t="inlineStr">
        <is>
          <t>a string of random bits carries more information
than an orderly string of bits, because the</t>
        </is>
      </c>
      <c r="D1415">
        <f>HYPERLINK("https://www.youtube.com/watch?v=4i5kd8SEmPE&amp;t=107s", "Go to time")</f>
        <v/>
      </c>
    </row>
    <row r="1416">
      <c r="A1416">
        <f>HYPERLINK("https://www.youtube.com/watch?v=4i5kd8SEmPE", "Video")</f>
        <v/>
      </c>
      <c r="B1416" t="inlineStr">
        <is>
          <t>1:53</t>
        </is>
      </c>
      <c r="C1416" t="inlineStr">
        <is>
          <t>orderly string of bits, let's say alternating
ones and zeroes, or let's say not quite as</t>
        </is>
      </c>
      <c r="D1416">
        <f>HYPERLINK("https://www.youtube.com/watch?v=4i5kd8SEmPE&amp;t=113s", "Go to time")</f>
        <v/>
      </c>
    </row>
    <row r="1417">
      <c r="A1417">
        <f>HYPERLINK("https://www.youtube.com/watch?v=4i5kd8SEmPE", "Video")</f>
        <v/>
      </c>
      <c r="B1417" t="inlineStr">
        <is>
          <t>2:10</t>
        </is>
      </c>
      <c r="C1417" t="inlineStr">
        <is>
          <t>what the next bit in a given message is going
to be.</t>
        </is>
      </c>
      <c r="D1417">
        <f>HYPERLINK("https://www.youtube.com/watch?v=4i5kd8SEmPE&amp;t=130s", "Go to time")</f>
        <v/>
      </c>
    </row>
    <row r="1418">
      <c r="A1418">
        <f>HYPERLINK("https://www.youtube.com/watch?v=RFE2V1dSaE8", "Video")</f>
        <v/>
      </c>
      <c r="B1418" t="inlineStr">
        <is>
          <t>2:39</t>
        </is>
      </c>
      <c r="C1418" t="inlineStr">
        <is>
          <t>part to the tech boom but with a bit of</t>
        </is>
      </c>
      <c r="D1418">
        <f>HYPERLINK("https://www.youtube.com/watch?v=RFE2V1dSaE8&amp;t=159s", "Go to time")</f>
        <v/>
      </c>
    </row>
    <row r="1419">
      <c r="A1419">
        <f>HYPERLINK("https://www.youtube.com/watch?v=RFE2V1dSaE8", "Video")</f>
        <v/>
      </c>
      <c r="B1419" t="inlineStr">
        <is>
          <t>2:44</t>
        </is>
      </c>
      <c r="C1419" t="inlineStr">
        <is>
          <t>California and Oregon lags a little bit</t>
        </is>
      </c>
      <c r="D1419">
        <f>HYPERLINK("https://www.youtube.com/watch?v=RFE2V1dSaE8&amp;t=164s", "Go to time")</f>
        <v/>
      </c>
    </row>
    <row r="1420">
      <c r="A1420">
        <f>HYPERLINK("https://www.youtube.com/watch?v=RFE2V1dSaE8", "Video")</f>
        <v/>
      </c>
      <c r="B1420" t="inlineStr">
        <is>
          <t>2:53</t>
        </is>
      </c>
      <c r="C1420" t="inlineStr">
        <is>
          <t>contrast have been falling behind a bit</t>
        </is>
      </c>
      <c r="D1420">
        <f>HYPERLINK("https://www.youtube.com/watch?v=RFE2V1dSaE8&amp;t=173s", "Go to time")</f>
        <v/>
      </c>
    </row>
    <row r="1421">
      <c r="A1421">
        <f>HYPERLINK("https://www.youtube.com/watch?v=RFE2V1dSaE8", "Video")</f>
        <v/>
      </c>
      <c r="B1421" t="inlineStr">
        <is>
          <t>3:17</t>
        </is>
      </c>
      <c r="C1421" t="inlineStr">
        <is>
          <t>bit I'm trying to think is there a big</t>
        </is>
      </c>
      <c r="D1421">
        <f>HYPERLINK("https://www.youtube.com/watch?v=RFE2V1dSaE8&amp;t=197s", "Go to time")</f>
        <v/>
      </c>
    </row>
    <row r="1422">
      <c r="A1422">
        <f>HYPERLINK("https://www.youtube.com/watch?v=4eES-2A3jeI", "Video")</f>
        <v/>
      </c>
      <c r="B1422" t="inlineStr">
        <is>
          <t>0:28</t>
        </is>
      </c>
      <c r="C1422" t="inlineStr">
        <is>
          <t>little bit different but everybody has</t>
        </is>
      </c>
      <c r="D1422">
        <f>HYPERLINK("https://www.youtube.com/watch?v=4eES-2A3jeI&amp;t=28s", "Go to time")</f>
        <v/>
      </c>
    </row>
    <row r="1423">
      <c r="A1423">
        <f>HYPERLINK("https://www.youtube.com/watch?v=_WjUFuW2J0A", "Video")</f>
        <v/>
      </c>
      <c r="B1423" t="inlineStr">
        <is>
          <t>4:55</t>
        </is>
      </c>
      <c r="C1423" t="inlineStr">
        <is>
          <t>a little bit of agreement,</t>
        </is>
      </c>
      <c r="D1423">
        <f>HYPERLINK("https://www.youtube.com/watch?v=_WjUFuW2J0A&amp;t=295s", "Go to time")</f>
        <v/>
      </c>
    </row>
    <row r="1424">
      <c r="A1424">
        <f>HYPERLINK("https://www.youtube.com/watch?v=_WjUFuW2J0A", "Video")</f>
        <v/>
      </c>
      <c r="B1424" t="inlineStr">
        <is>
          <t>5:35</t>
        </is>
      </c>
      <c r="C1424" t="inlineStr">
        <is>
          <t>That bit of negotiation</t>
        </is>
      </c>
      <c r="D1424">
        <f>HYPERLINK("https://www.youtube.com/watch?v=_WjUFuW2J0A&amp;t=335s", "Go to time")</f>
        <v/>
      </c>
    </row>
    <row r="1425">
      <c r="A1425">
        <f>HYPERLINK("https://www.youtube.com/watch?v=_WjUFuW2J0A", "Video")</f>
        <v/>
      </c>
      <c r="B1425" t="inlineStr">
        <is>
          <t>7:34</t>
        </is>
      </c>
      <c r="C1425" t="inlineStr">
        <is>
          <t>you can be a little bit more judicious</t>
        </is>
      </c>
      <c r="D1425">
        <f>HYPERLINK("https://www.youtube.com/watch?v=_WjUFuW2J0A&amp;t=454s", "Go to time")</f>
        <v/>
      </c>
    </row>
    <row r="1426">
      <c r="A1426">
        <f>HYPERLINK("https://www.youtube.com/watch?v=FDevyCsGQbQ", "Video")</f>
        <v/>
      </c>
      <c r="B1426" t="inlineStr">
        <is>
          <t>0:59</t>
        </is>
      </c>
      <c r="C1426" t="inlineStr">
        <is>
          <t>little bit different than</t>
        </is>
      </c>
      <c r="D1426">
        <f>HYPERLINK("https://www.youtube.com/watch?v=FDevyCsGQbQ&amp;t=59s", "Go to time")</f>
        <v/>
      </c>
    </row>
    <row r="1427">
      <c r="A1427">
        <f>HYPERLINK("https://www.youtube.com/watch?v=nm0c-Sy6wGI", "Video")</f>
        <v/>
      </c>
      <c r="B1427" t="inlineStr">
        <is>
          <t>0:59</t>
        </is>
      </c>
      <c r="C1427" t="inlineStr">
        <is>
          <t>probably a little bit idealistic. Um, I</t>
        </is>
      </c>
      <c r="D1427">
        <f>HYPERLINK("https://www.youtube.com/watch?v=nm0c-Sy6wGI&amp;t=59s", "Go to time")</f>
        <v/>
      </c>
    </row>
    <row r="1428">
      <c r="A1428">
        <f>HYPERLINK("https://www.youtube.com/watch?v=6PIgW7kkGik", "Video")</f>
        <v/>
      </c>
      <c r="B1428" t="inlineStr">
        <is>
          <t>2:45</t>
        </is>
      </c>
      <c r="C1428" t="inlineStr">
        <is>
          <t>you have to be careful of and that can kind
of get you into a little bit of trouble that</t>
        </is>
      </c>
      <c r="D1428">
        <f>HYPERLINK("https://www.youtube.com/watch?v=6PIgW7kkGik&amp;t=165s", "Go to time")</f>
        <v/>
      </c>
    </row>
    <row r="1429">
      <c r="A1429">
        <f>HYPERLINK("https://www.youtube.com/watch?v=6PIgW7kkGik", "Video")</f>
        <v/>
      </c>
      <c r="B1429" t="inlineStr">
        <is>
          <t>3:14</t>
        </is>
      </c>
      <c r="C1429" t="inlineStr">
        <is>
          <t>You were mesmerized, the person writing, but
you're kind of making a little bit of a leap</t>
        </is>
      </c>
      <c r="D1429">
        <f>HYPERLINK("https://www.youtube.com/watch?v=6PIgW7kkGik&amp;t=194s", "Go to time")</f>
        <v/>
      </c>
    </row>
    <row r="1430">
      <c r="A1430">
        <f>HYPERLINK("https://www.youtube.com/watch?v=6PIgW7kkGik", "Video")</f>
        <v/>
      </c>
      <c r="B1430" t="inlineStr">
        <is>
          <t>3:25</t>
        </is>
      </c>
      <c r="C1430" t="inlineStr">
        <is>
          <t>And I have to say in all honesty I've had
a little bit of an adjective crisis myself</t>
        </is>
      </c>
      <c r="D1430">
        <f>HYPERLINK("https://www.youtube.com/watch?v=6PIgW7kkGik&amp;t=205s", "Go to time")</f>
        <v/>
      </c>
    </row>
    <row r="1431">
      <c r="A1431">
        <f>HYPERLINK("https://www.youtube.com/watch?v=IPeh4Ioh854", "Video")</f>
        <v/>
      </c>
      <c r="B1431" t="inlineStr">
        <is>
          <t>0:09</t>
        </is>
      </c>
      <c r="C1431" t="inlineStr">
        <is>
          <t>let me start with a uh just a little bit</t>
        </is>
      </c>
      <c r="D1431">
        <f>HYPERLINK("https://www.youtube.com/watch?v=IPeh4Ioh854&amp;t=9s", "Go to time")</f>
        <v/>
      </c>
    </row>
    <row r="1432">
      <c r="A1432">
        <f>HYPERLINK("https://www.youtube.com/watch?v=IPeh4Ioh854", "Video")</f>
        <v/>
      </c>
      <c r="B1432" t="inlineStr">
        <is>
          <t>1:19</t>
        </is>
      </c>
      <c r="C1432" t="inlineStr">
        <is>
          <t>ambitious uh women who are committed to</t>
        </is>
      </c>
      <c r="D1432">
        <f>HYPERLINK("https://www.youtube.com/watch?v=IPeh4Ioh854&amp;t=79s", "Go to time")</f>
        <v/>
      </c>
    </row>
    <row r="1433">
      <c r="A1433">
        <f>HYPERLINK("https://www.youtube.com/watch?v=IPeh4Ioh854", "Video")</f>
        <v/>
      </c>
      <c r="B1433" t="inlineStr">
        <is>
          <t>4:04</t>
        </is>
      </c>
      <c r="C1433" t="inlineStr">
        <is>
          <t>shot at ambition because you know this</t>
        </is>
      </c>
      <c r="D1433">
        <f>HYPERLINK("https://www.youtube.com/watch?v=IPeh4Ioh854&amp;t=244s", "Go to time")</f>
        <v/>
      </c>
    </row>
    <row r="1434">
      <c r="A1434">
        <f>HYPERLINK("https://www.youtube.com/watch?v=P-H23uHMlPk", "Video")</f>
        <v/>
      </c>
      <c r="B1434" t="inlineStr">
        <is>
          <t>0:08</t>
        </is>
      </c>
      <c r="C1434" t="inlineStr">
        <is>
          <t>I think I have like I would say like a ten
year market study of my kids’ eating habits</t>
        </is>
      </c>
      <c r="D1434">
        <f>HYPERLINK("https://www.youtube.com/watch?v=P-H23uHMlPk&amp;t=8s", "Go to time")</f>
        <v/>
      </c>
    </row>
    <row r="1435">
      <c r="A1435">
        <f>HYPERLINK("https://www.youtube.com/watch?v=UD9IOllUR4k", "Video")</f>
        <v/>
      </c>
      <c r="B1435" t="inlineStr">
        <is>
          <t>9:40</t>
        </is>
      </c>
      <c r="C1435" t="inlineStr">
        <is>
          <t>Maybe we had to adjust our habits.</t>
        </is>
      </c>
      <c r="D1435">
        <f>HYPERLINK("https://www.youtube.com/watch?v=UD9IOllUR4k&amp;t=580s", "Go to time")</f>
        <v/>
      </c>
    </row>
    <row r="1436">
      <c r="A1436">
        <f>HYPERLINK("https://www.youtube.com/watch?v=wpMLYh-UIsA", "Video")</f>
        <v/>
      </c>
      <c r="B1436" t="inlineStr">
        <is>
          <t>0:54</t>
        </is>
      </c>
      <c r="C1436" t="inlineStr">
        <is>
          <t>we exhibit lots of those a good way to</t>
        </is>
      </c>
      <c r="D1436">
        <f>HYPERLINK("https://www.youtube.com/watch?v=wpMLYh-UIsA&amp;t=54s", "Go to time")</f>
        <v/>
      </c>
    </row>
    <row r="1437">
      <c r="A1437">
        <f>HYPERLINK("https://www.youtube.com/watch?v=wpMLYh-UIsA", "Video")</f>
        <v/>
      </c>
      <c r="B1437" t="inlineStr">
        <is>
          <t>2:58</t>
        </is>
      </c>
      <c r="C1437" t="inlineStr">
        <is>
          <t>are exhibiting and of course it's always</t>
        </is>
      </c>
      <c r="D1437">
        <f>HYPERLINK("https://www.youtube.com/watch?v=wpMLYh-UIsA&amp;t=178s", "Go to time")</f>
        <v/>
      </c>
    </row>
    <row r="1438">
      <c r="A1438">
        <f>HYPERLINK("https://www.youtube.com/watch?v=wpMLYh-UIsA", "Video")</f>
        <v/>
      </c>
      <c r="B1438" t="inlineStr">
        <is>
          <t>3:02</t>
        </is>
      </c>
      <c r="C1438" t="inlineStr">
        <is>
          <t>exhibiting irrationalities and then use</t>
        </is>
      </c>
      <c r="D1438">
        <f>HYPERLINK("https://www.youtube.com/watch?v=wpMLYh-UIsA&amp;t=182s", "Go to time")</f>
        <v/>
      </c>
    </row>
    <row r="1439">
      <c r="A1439">
        <f>HYPERLINK("https://www.youtube.com/watch?v=IorzVH9FTWw", "Video")</f>
        <v/>
      </c>
      <c r="B1439" t="inlineStr">
        <is>
          <t>1:01</t>
        </is>
      </c>
      <c r="C1439" t="inlineStr">
        <is>
          <t>um I just wish it was a little bit</t>
        </is>
      </c>
      <c r="D1439">
        <f>HYPERLINK("https://www.youtube.com/watch?v=IorzVH9FTWw&amp;t=61s", "Go to time")</f>
        <v/>
      </c>
    </row>
    <row r="1440">
      <c r="A1440">
        <f>HYPERLINK("https://www.youtube.com/watch?v=IorzVH9FTWw", "Video")</f>
        <v/>
      </c>
      <c r="B1440" t="inlineStr">
        <is>
          <t>1:06</t>
        </is>
      </c>
      <c r="C1440" t="inlineStr">
        <is>
          <t>things a little bit easier cuz I had to</t>
        </is>
      </c>
      <c r="D1440">
        <f>HYPERLINK("https://www.youtube.com/watch?v=IorzVH9FTWw&amp;t=66s", "Go to time")</f>
        <v/>
      </c>
    </row>
    <row r="1441">
      <c r="A1441">
        <f>HYPERLINK("https://www.youtube.com/watch?v=IorzVH9FTWw", "Video")</f>
        <v/>
      </c>
      <c r="B1441" t="inlineStr">
        <is>
          <t>1:11</t>
        </is>
      </c>
      <c r="C1441" t="inlineStr">
        <is>
          <t>little bit more difficult and I wouldn't</t>
        </is>
      </c>
      <c r="D1441">
        <f>HYPERLINK("https://www.youtube.com/watch?v=IorzVH9FTWw&amp;t=71s", "Go to time")</f>
        <v/>
      </c>
    </row>
    <row r="1442">
      <c r="A1442">
        <f>HYPERLINK("https://www.youtube.com/watch?v=XovfK-IGbtw", "Video")</f>
        <v/>
      </c>
      <c r="B1442" t="inlineStr">
        <is>
          <t>0:42</t>
        </is>
      </c>
      <c r="C1442" t="inlineStr">
        <is>
          <t>a little bit uncomfortable with this.</t>
        </is>
      </c>
      <c r="D1442">
        <f>HYPERLINK("https://www.youtube.com/watch?v=XovfK-IGbtw&amp;t=42s", "Go to time")</f>
        <v/>
      </c>
    </row>
    <row r="1443">
      <c r="A1443">
        <f>HYPERLINK("https://www.youtube.com/watch?v=XovfK-IGbtw", "Video")</f>
        <v/>
      </c>
      <c r="B1443" t="inlineStr">
        <is>
          <t>0:47</t>
        </is>
      </c>
      <c r="C1443" t="inlineStr">
        <is>
          <t>Am I not a little bit more</t>
        </is>
      </c>
      <c r="D1443">
        <f>HYPERLINK("https://www.youtube.com/watch?v=XovfK-IGbtw&amp;t=47s", "Go to time")</f>
        <v/>
      </c>
    </row>
    <row r="1444">
      <c r="A1444">
        <f>HYPERLINK("https://www.youtube.com/watch?v=JBjjnqG0BP8", "Video")</f>
        <v/>
      </c>
      <c r="B1444" t="inlineStr">
        <is>
          <t>0:13</t>
        </is>
      </c>
      <c r="C1444" t="inlineStr">
        <is>
          <t>about with bits and bytes and stuff.</t>
        </is>
      </c>
      <c r="D1444">
        <f>HYPERLINK("https://www.youtube.com/watch?v=JBjjnqG0BP8&amp;t=13s", "Go to time")</f>
        <v/>
      </c>
    </row>
    <row r="1445">
      <c r="A1445">
        <f>HYPERLINK("https://www.youtube.com/watch?v=JBjjnqG0BP8", "Video")</f>
        <v/>
      </c>
      <c r="B1445" t="inlineStr">
        <is>
          <t>1:20</t>
        </is>
      </c>
      <c r="C1445" t="inlineStr">
        <is>
          <t>And they went a little bit further and represented
relationships between classes; any hierarchical</t>
        </is>
      </c>
      <c r="D1445">
        <f>HYPERLINK("https://www.youtube.com/watch?v=JBjjnqG0BP8&amp;t=80s", "Go to time")</f>
        <v/>
      </c>
    </row>
    <row r="1446">
      <c r="A1446">
        <f>HYPERLINK("https://www.youtube.com/watch?v=fypkPgeQxBQ", "Video")</f>
        <v/>
      </c>
      <c r="B1446" t="inlineStr">
        <is>
          <t>0:00</t>
        </is>
      </c>
      <c r="C1446" t="inlineStr">
        <is>
          <t>One argument that we make is that we could
all benefit a little bit from thinking more</t>
        </is>
      </c>
      <c r="D1446">
        <f>HYPERLINK("https://www.youtube.com/watch?v=fypkPgeQxBQ&amp;t=0s", "Go to time")</f>
        <v/>
      </c>
    </row>
    <row r="1447">
      <c r="A1447">
        <f>HYPERLINK("https://www.youtube.com/watch?v=HjJYvLH_FGw", "Video")</f>
        <v/>
      </c>
      <c r="B1447" t="inlineStr">
        <is>
          <t>2:45</t>
        </is>
      </c>
      <c r="C1447" t="inlineStr">
        <is>
          <t>of messages lots of bits of information</t>
        </is>
      </c>
      <c r="D1447">
        <f>HYPERLINK("https://www.youtube.com/watch?v=HjJYvLH_FGw&amp;t=165s", "Go to time")</f>
        <v/>
      </c>
    </row>
    <row r="1448">
      <c r="A1448">
        <f>HYPERLINK("https://www.youtube.com/watch?v=XhpdWDyB0UY", "Video")</f>
        <v/>
      </c>
      <c r="B1448" t="inlineStr">
        <is>
          <t>1:41</t>
        </is>
      </c>
      <c r="C1448" t="inlineStr">
        <is>
          <t>It requires someone to say, even though that
person looks a bit, it could be anything boring,</t>
        </is>
      </c>
      <c r="D1448">
        <f>HYPERLINK("https://www.youtube.com/watch?v=XhpdWDyB0UY&amp;t=101s", "Go to time")</f>
        <v/>
      </c>
    </row>
    <row r="1449">
      <c r="A1449">
        <f>HYPERLINK("https://www.youtube.com/watch?v=1BbF-7p0bFo", "Video")</f>
        <v/>
      </c>
      <c r="B1449" t="inlineStr">
        <is>
          <t>1:08</t>
        </is>
      </c>
      <c r="C1449" t="inlineStr">
        <is>
          <t>well weren't you a bit concerned about</t>
        </is>
      </c>
      <c r="D1449">
        <f>HYPERLINK("https://www.youtube.com/watch?v=1BbF-7p0bFo&amp;t=68s", "Go to time")</f>
        <v/>
      </c>
    </row>
    <row r="1450">
      <c r="A1450">
        <f>HYPERLINK("https://www.youtube.com/watch?v=aq1wlRtMGhA", "Video")</f>
        <v/>
      </c>
      <c r="B1450" t="inlineStr">
        <is>
          <t>2:01</t>
        </is>
      </c>
      <c r="C1450" t="inlineStr">
        <is>
          <t>bit.</t>
        </is>
      </c>
      <c r="D1450">
        <f>HYPERLINK("https://www.youtube.com/watch?v=aq1wlRtMGhA&amp;t=121s", "Go to time")</f>
        <v/>
      </c>
    </row>
    <row r="1451">
      <c r="A1451">
        <f>HYPERLINK("https://www.youtube.com/watch?v=NfejJVwy2p8", "Video")</f>
        <v/>
      </c>
      <c r="B1451" t="inlineStr">
        <is>
          <t>1:52</t>
        </is>
      </c>
      <c r="C1451" t="inlineStr">
        <is>
          <t>a bit of a surprise that with just a few</t>
        </is>
      </c>
      <c r="D1451">
        <f>HYPERLINK("https://www.youtube.com/watch?v=NfejJVwy2p8&amp;t=112s", "Go to time")</f>
        <v/>
      </c>
    </row>
    <row r="1452">
      <c r="A1452">
        <f>HYPERLINK("https://www.youtube.com/watch?v=NfejJVwy2p8", "Video")</f>
        <v/>
      </c>
      <c r="B1452" t="inlineStr">
        <is>
          <t>6:34</t>
        </is>
      </c>
      <c r="C1452" t="inlineStr">
        <is>
          <t>together you get a little bit of a</t>
        </is>
      </c>
      <c r="D1452">
        <f>HYPERLINK("https://www.youtube.com/watch?v=NfejJVwy2p8&amp;t=394s", "Go to time")</f>
        <v/>
      </c>
    </row>
    <row r="1453">
      <c r="A1453">
        <f>HYPERLINK("https://www.youtube.com/watch?v=iV_4YLMIleg", "Video")</f>
        <v/>
      </c>
      <c r="B1453" t="inlineStr">
        <is>
          <t>7:13</t>
        </is>
      </c>
      <c r="C1453" t="inlineStr">
        <is>
          <t>terrible decision it's a little bit like</t>
        </is>
      </c>
      <c r="D1453">
        <f>HYPERLINK("https://www.youtube.com/watch?v=iV_4YLMIleg&amp;t=433s", "Go to time")</f>
        <v/>
      </c>
    </row>
    <row r="1454">
      <c r="A1454">
        <f>HYPERLINK("https://www.youtube.com/watch?v=JQWoQ27W71M", "Video")</f>
        <v/>
      </c>
      <c r="B1454" t="inlineStr">
        <is>
          <t>1:42</t>
        </is>
      </c>
      <c r="C1454" t="inlineStr">
        <is>
          <t>major killer but it's a bit of a silent</t>
        </is>
      </c>
      <c r="D1454">
        <f>HYPERLINK("https://www.youtube.com/watch?v=JQWoQ27W71M&amp;t=102s", "Go to time")</f>
        <v/>
      </c>
    </row>
    <row r="1455">
      <c r="A1455">
        <f>HYPERLINK("https://www.youtube.com/watch?v=JQWoQ27W71M", "Video")</f>
        <v/>
      </c>
      <c r="B1455" t="inlineStr">
        <is>
          <t>2:11</t>
        </is>
      </c>
      <c r="C1455" t="inlineStr">
        <is>
          <t>rich country habits people are going to</t>
        </is>
      </c>
      <c r="D1455">
        <f>HYPERLINK("https://www.youtube.com/watch?v=JQWoQ27W71M&amp;t=131s", "Go to time")</f>
        <v/>
      </c>
    </row>
    <row r="1456">
      <c r="A1456">
        <f>HYPERLINK("https://www.youtube.com/watch?v=_FShQcFCiM4", "Video")</f>
        <v/>
      </c>
      <c r="B1456" t="inlineStr">
        <is>
          <t>3:23</t>
        </is>
      </c>
      <c r="C1456" t="inlineStr">
        <is>
          <t>They live longer, not just a little bit, an
average of seven and a half years longer.</t>
        </is>
      </c>
      <c r="D1456">
        <f>HYPERLINK("https://www.youtube.com/watch?v=_FShQcFCiM4&amp;t=203s", "Go to time")</f>
        <v/>
      </c>
    </row>
    <row r="1457">
      <c r="A1457">
        <f>HYPERLINK("https://www.youtube.com/watch?v=mOY1y2SpD4o", "Video")</f>
        <v/>
      </c>
      <c r="B1457" t="inlineStr">
        <is>
          <t>0:40</t>
        </is>
      </c>
      <c r="C1457" t="inlineStr">
        <is>
          <t>And I feel a little bit disingenuous with
that answer because I don't think I any longer</t>
        </is>
      </c>
      <c r="D1457">
        <f>HYPERLINK("https://www.youtube.com/watch?v=mOY1y2SpD4o&amp;t=40s", "Go to time")</f>
        <v/>
      </c>
    </row>
    <row r="1458">
      <c r="A1458">
        <f>HYPERLINK("https://www.youtube.com/watch?v=XOET9n8wnmo", "Video")</f>
        <v/>
      </c>
      <c r="B1458" t="inlineStr">
        <is>
          <t>5:25</t>
        </is>
      </c>
      <c r="C1458" t="inlineStr">
        <is>
          <t>18 or 19 and I was not in the habit of, you
know, thinking about how much I loved the</t>
        </is>
      </c>
      <c r="D1458">
        <f>HYPERLINK("https://www.youtube.com/watch?v=XOET9n8wnmo&amp;t=325s", "Go to time")</f>
        <v/>
      </c>
    </row>
    <row r="1459">
      <c r="A1459">
        <f>HYPERLINK("https://www.youtube.com/watch?v=zvJfBdC9y0g", "Video")</f>
        <v/>
      </c>
      <c r="B1459" t="inlineStr">
        <is>
          <t>0:25</t>
        </is>
      </c>
      <c r="C1459" t="inlineStr">
        <is>
          <t>if you want to be a little bit more</t>
        </is>
      </c>
      <c r="D1459">
        <f>HYPERLINK("https://www.youtube.com/watch?v=zvJfBdC9y0g&amp;t=25s", "Go to time")</f>
        <v/>
      </c>
    </row>
    <row r="1460">
      <c r="A1460">
        <f>HYPERLINK("https://www.youtube.com/watch?v=l1a-2t3xUmc", "Video")</f>
        <v/>
      </c>
      <c r="B1460" t="inlineStr">
        <is>
          <t>1:04</t>
        </is>
      </c>
      <c r="C1460" t="inlineStr">
        <is>
          <t>are um engaged in quite a bit of</t>
        </is>
      </c>
      <c r="D1460">
        <f>HYPERLINK("https://www.youtube.com/watch?v=l1a-2t3xUmc&amp;t=64s", "Go to time")</f>
        <v/>
      </c>
    </row>
    <row r="1461">
      <c r="A1461">
        <f>HYPERLINK("https://www.youtube.com/watch?v=zSHld8GLw7I", "Video")</f>
        <v/>
      </c>
      <c r="B1461" t="inlineStr">
        <is>
          <t>1:14</t>
        </is>
      </c>
      <c r="C1461" t="inlineStr">
        <is>
          <t>so people kind of know a little bit you</t>
        </is>
      </c>
      <c r="D1461">
        <f>HYPERLINK("https://www.youtube.com/watch?v=zSHld8GLw7I&amp;t=74s", "Go to time")</f>
        <v/>
      </c>
    </row>
    <row r="1462">
      <c r="A1462">
        <f>HYPERLINK("https://www.youtube.com/watch?v=KTYACQh6C1w", "Video")</f>
        <v/>
      </c>
      <c r="B1462" t="inlineStr">
        <is>
          <t>1:17</t>
        </is>
      </c>
      <c r="C1462" t="inlineStr">
        <is>
          <t>failing to rise up to the
challenge of being ambitious,</t>
        </is>
      </c>
      <c r="D1462">
        <f>HYPERLINK("https://www.youtube.com/watch?v=KTYACQh6C1w&amp;t=77s", "Go to time")</f>
        <v/>
      </c>
    </row>
    <row r="1463">
      <c r="A1463">
        <f>HYPERLINK("https://www.youtube.com/watch?v=KTYACQh6C1w", "Video")</f>
        <v/>
      </c>
      <c r="B1463" t="inlineStr">
        <is>
          <t>1:45</t>
        </is>
      </c>
      <c r="C1463" t="inlineStr">
        <is>
          <t>and in other ambitious women I knew,</t>
        </is>
      </c>
      <c r="D1463">
        <f>HYPERLINK("https://www.youtube.com/watch?v=KTYACQh6C1w&amp;t=105s", "Go to time")</f>
        <v/>
      </c>
    </row>
    <row r="1464">
      <c r="A1464">
        <f>HYPERLINK("https://www.youtube.com/watch?v=KTYACQh6C1w", "Video")</f>
        <v/>
      </c>
      <c r="B1464" t="inlineStr">
        <is>
          <t>2:00</t>
        </is>
      </c>
      <c r="C1464" t="inlineStr">
        <is>
          <t>among, especially, ambitious
women of color around me.</t>
        </is>
      </c>
      <c r="D1464">
        <f>HYPERLINK("https://www.youtube.com/watch?v=KTYACQh6C1w&amp;t=120s", "Go to time")</f>
        <v/>
      </c>
    </row>
    <row r="1465">
      <c r="A1465">
        <f>HYPERLINK("https://www.youtube.com/watch?v=c187YTgXP9Q", "Video")</f>
        <v/>
      </c>
      <c r="B1465" t="inlineStr">
        <is>
          <t>1:14</t>
        </is>
      </c>
      <c r="C1465" t="inlineStr">
        <is>
          <t>know like my age or maybe a little bit</t>
        </is>
      </c>
      <c r="D1465">
        <f>HYPERLINK("https://www.youtube.com/watch?v=c187YTgXP9Q&amp;t=74s", "Go to time")</f>
        <v/>
      </c>
    </row>
    <row r="1466">
      <c r="A1466">
        <f>HYPERLINK("https://www.youtube.com/watch?v=mwseorQuNqU", "Video")</f>
        <v/>
      </c>
      <c r="B1466" t="inlineStr">
        <is>
          <t>0:56</t>
        </is>
      </c>
      <c r="C1466" t="inlineStr">
        <is>
          <t>biases um we had a bit of a challenge</t>
        </is>
      </c>
      <c r="D1466">
        <f>HYPERLINK("https://www.youtube.com/watch?v=mwseorQuNqU&amp;t=56s", "Go to time")</f>
        <v/>
      </c>
    </row>
    <row r="1467">
      <c r="A1467">
        <f>HYPERLINK("https://www.youtube.com/watch?v=AJnKG9GkZ-8", "Video")</f>
        <v/>
      </c>
      <c r="B1467" t="inlineStr">
        <is>
          <t>17:59</t>
        </is>
      </c>
      <c r="C1467" t="inlineStr">
        <is>
          <t>train myself out of my habits in order</t>
        </is>
      </c>
      <c r="D1467">
        <f>HYPERLINK("https://www.youtube.com/watch?v=AJnKG9GkZ-8&amp;t=1079s", "Go to time")</f>
        <v/>
      </c>
    </row>
    <row r="1468">
      <c r="A1468">
        <f>HYPERLINK("https://www.youtube.com/watch?v=AJnKG9GkZ-8", "Video")</f>
        <v/>
      </c>
      <c r="B1468" t="inlineStr">
        <is>
          <t>18:03</t>
        </is>
      </c>
      <c r="C1468" t="inlineStr">
        <is>
          <t>to inhabit them and take on on their</t>
        </is>
      </c>
      <c r="D1468">
        <f>HYPERLINK("https://www.youtube.com/watch?v=AJnKG9GkZ-8&amp;t=1083s", "Go to time")</f>
        <v/>
      </c>
    </row>
    <row r="1469">
      <c r="A1469">
        <f>HYPERLINK("https://www.youtube.com/watch?v=AJnKG9GkZ-8", "Video")</f>
        <v/>
      </c>
      <c r="B1469" t="inlineStr">
        <is>
          <t>18:07</t>
        </is>
      </c>
      <c r="C1469" t="inlineStr">
        <is>
          <t>habits and that's hard and that comes</t>
        </is>
      </c>
      <c r="D1469">
        <f>HYPERLINK("https://www.youtube.com/watch?v=AJnKG9GkZ-8&amp;t=1087s", "Go to time")</f>
        <v/>
      </c>
    </row>
    <row r="1470">
      <c r="A1470">
        <f>HYPERLINK("https://www.youtube.com/watch?v=543MY0zvDv8", "Video")</f>
        <v/>
      </c>
      <c r="B1470" t="inlineStr">
        <is>
          <t>2:43</t>
        </is>
      </c>
      <c r="C1470" t="inlineStr">
        <is>
          <t>know a little bit of I'm upset to hear</t>
        </is>
      </c>
      <c r="D1470">
        <f>HYPERLINK("https://www.youtube.com/watch?v=543MY0zvDv8&amp;t=163s", "Go to time")</f>
        <v/>
      </c>
    </row>
    <row r="1471">
      <c r="A1471">
        <f>HYPERLINK("https://www.youtube.com/watch?v=rcNvFxk_gcs", "Video")</f>
        <v/>
      </c>
      <c r="B1471" t="inlineStr">
        <is>
          <t>3:33</t>
        </is>
      </c>
      <c r="C1471" t="inlineStr">
        <is>
          <t>With funding from Co-Impact as well as from
other funders, the ambition for Teaching at</t>
        </is>
      </c>
      <c r="D1471">
        <f>HYPERLINK("https://www.youtube.com/watch?v=rcNvFxk_gcs&amp;t=213s", "Go to time")</f>
        <v/>
      </c>
    </row>
    <row r="1472">
      <c r="A1472">
        <f>HYPERLINK("https://www.youtube.com/watch?v=laqVpplmRWo", "Video")</f>
        <v/>
      </c>
      <c r="B1472" t="inlineStr">
        <is>
          <t>2:14</t>
        </is>
      </c>
      <c r="C1472" t="inlineStr">
        <is>
          <t>biases and then teaching them simple and easy
mental habits like looking at a problem as</t>
        </is>
      </c>
      <c r="D1472">
        <f>HYPERLINK("https://www.youtube.com/watch?v=laqVpplmRWo&amp;t=134s", "Go to time")</f>
        <v/>
      </c>
    </row>
    <row r="1473">
      <c r="A1473">
        <f>HYPERLINK("https://www.youtube.com/watch?v=AAw_ZfGV9T4", "Video")</f>
        <v/>
      </c>
      <c r="B1473" t="inlineStr">
        <is>
          <t>2:30</t>
        </is>
      </c>
      <c r="C1473" t="inlineStr">
        <is>
          <t>theater with you uh uh art exhibits with</t>
        </is>
      </c>
      <c r="D1473">
        <f>HYPERLINK("https://www.youtube.com/watch?v=AAw_ZfGV9T4&amp;t=150s", "Go to time")</f>
        <v/>
      </c>
    </row>
    <row r="1474">
      <c r="A1474">
        <f>HYPERLINK("https://www.youtube.com/watch?v=AAw_ZfGV9T4", "Video")</f>
        <v/>
      </c>
      <c r="B1474" t="inlineStr">
        <is>
          <t>3:43</t>
        </is>
      </c>
      <c r="C1474" t="inlineStr">
        <is>
          <t>tough-minded uh certainly very ambitious</t>
        </is>
      </c>
      <c r="D1474">
        <f>HYPERLINK("https://www.youtube.com/watch?v=AAw_ZfGV9T4&amp;t=223s", "Go to time")</f>
        <v/>
      </c>
    </row>
    <row r="1475">
      <c r="A1475">
        <f>HYPERLINK("https://www.youtube.com/watch?v=AAw_ZfGV9T4", "Video")</f>
        <v/>
      </c>
      <c r="B1475" t="inlineStr">
        <is>
          <t>4:44</t>
        </is>
      </c>
      <c r="C1475" t="inlineStr">
        <is>
          <t>uh directness the ambitiousness of the</t>
        </is>
      </c>
      <c r="D1475">
        <f>HYPERLINK("https://www.youtube.com/watch?v=AAw_ZfGV9T4&amp;t=284s", "Go to time")</f>
        <v/>
      </c>
    </row>
    <row r="1476">
      <c r="A1476">
        <f>HYPERLINK("https://www.youtube.com/watch?v=rd8VHbIYqRs", "Video")</f>
        <v/>
      </c>
      <c r="B1476" t="inlineStr">
        <is>
          <t>2:00</t>
        </is>
      </c>
      <c r="C1476" t="inlineStr">
        <is>
          <t>a lot of norms are just
entirely arbitrary,</t>
        </is>
      </c>
      <c r="D1476">
        <f>HYPERLINK("https://www.youtube.com/watch?v=rd8VHbIYqRs&amp;t=120s", "Go to time")</f>
        <v/>
      </c>
    </row>
    <row r="1477">
      <c r="A1477">
        <f>HYPERLINK("https://www.youtube.com/watch?v=AbMHB20WEJw", "Video")</f>
        <v/>
      </c>
      <c r="B1477" t="inlineStr">
        <is>
          <t>1:10</t>
        </is>
      </c>
      <c r="C1477" t="inlineStr">
        <is>
          <t>tiny bit of movement and this is for me</t>
        </is>
      </c>
      <c r="D1477">
        <f>HYPERLINK("https://www.youtube.com/watch?v=AbMHB20WEJw&amp;t=70s", "Go to time")</f>
        <v/>
      </c>
    </row>
    <row r="1478">
      <c r="A1478">
        <f>HYPERLINK("https://www.youtube.com/watch?v=2bZi3Xm9tJE", "Video")</f>
        <v/>
      </c>
      <c r="B1478" t="inlineStr">
        <is>
          <t>0:44</t>
        </is>
      </c>
      <c r="C1478" t="inlineStr">
        <is>
          <t>if they were a little bit different:</t>
        </is>
      </c>
      <c r="D1478">
        <f>HYPERLINK("https://www.youtube.com/watch?v=2bZi3Xm9tJE&amp;t=44s", "Go to time")</f>
        <v/>
      </c>
    </row>
    <row r="1479">
      <c r="A1479">
        <f>HYPERLINK("https://www.youtube.com/watch?v=2bZi3Xm9tJE", "Video")</f>
        <v/>
      </c>
      <c r="B1479" t="inlineStr">
        <is>
          <t>5:00</t>
        </is>
      </c>
      <c r="C1479" t="inlineStr">
        <is>
          <t>The quantum mechanics
multiverse is a little bit</t>
        </is>
      </c>
      <c r="D1479">
        <f>HYPERLINK("https://www.youtube.com/watch?v=2bZi3Xm9tJE&amp;t=300s", "Go to time")</f>
        <v/>
      </c>
    </row>
    <row r="1480">
      <c r="A1480">
        <f>HYPERLINK("https://www.youtube.com/watch?v=axhywHUXZVs", "Video")</f>
        <v/>
      </c>
      <c r="B1480" t="inlineStr">
        <is>
          <t>0:05</t>
        </is>
      </c>
      <c r="C1480" t="inlineStr">
        <is>
          <t>thousand words a day a little bit more</t>
        </is>
      </c>
      <c r="D1480">
        <f>HYPERLINK("https://www.youtube.com/watch?v=axhywHUXZVs&amp;t=5s", "Go to time")</f>
        <v/>
      </c>
    </row>
    <row r="1481">
      <c r="A1481">
        <f>HYPERLINK("https://www.youtube.com/watch?v=MHQSfA2JQwU", "Video")</f>
        <v/>
      </c>
      <c r="B1481" t="inlineStr">
        <is>
          <t>1:42</t>
        </is>
      </c>
      <c r="C1481" t="inlineStr">
        <is>
          <t>it's a a little bit funny to think about</t>
        </is>
      </c>
      <c r="D1481">
        <f>HYPERLINK("https://www.youtube.com/watch?v=MHQSfA2JQwU&amp;t=102s", "Go to time")</f>
        <v/>
      </c>
    </row>
    <row r="1482">
      <c r="A1482">
        <f>HYPERLINK("https://www.youtube.com/watch?v=MHQSfA2JQwU", "Video")</f>
        <v/>
      </c>
      <c r="B1482" t="inlineStr">
        <is>
          <t>2:57</t>
        </is>
      </c>
      <c r="C1482" t="inlineStr">
        <is>
          <t>today we're a little bit guarded in the</t>
        </is>
      </c>
      <c r="D1482">
        <f>HYPERLINK("https://www.youtube.com/watch?v=MHQSfA2JQwU&amp;t=177s", "Go to time")</f>
        <v/>
      </c>
    </row>
    <row r="1483">
      <c r="A1483">
        <f>HYPERLINK("https://www.youtube.com/watch?v=MHQSfA2JQwU", "Video")</f>
        <v/>
      </c>
      <c r="B1483" t="inlineStr">
        <is>
          <t>3:10</t>
        </is>
      </c>
      <c r="C1483" t="inlineStr">
        <is>
          <t>little bit more risky because it becomes</t>
        </is>
      </c>
      <c r="D1483">
        <f>HYPERLINK("https://www.youtube.com/watch?v=MHQSfA2JQwU&amp;t=190s", "Go to time")</f>
        <v/>
      </c>
    </row>
    <row r="1484">
      <c r="A1484">
        <f>HYPERLINK("https://www.youtube.com/watch?v=MHQSfA2JQwU", "Video")</f>
        <v/>
      </c>
      <c r="B1484" t="inlineStr">
        <is>
          <t>3:11</t>
        </is>
      </c>
      <c r="C1484" t="inlineStr">
        <is>
          <t>a little bit more attractive as a Target</t>
        </is>
      </c>
      <c r="D1484">
        <f>HYPERLINK("https://www.youtube.com/watch?v=MHQSfA2JQwU&amp;t=191s", "Go to time")</f>
        <v/>
      </c>
    </row>
    <row r="1485">
      <c r="A1485">
        <f>HYPERLINK("https://www.youtube.com/watch?v=Oa1rmttD4DU", "Video")</f>
        <v/>
      </c>
      <c r="B1485" t="inlineStr">
        <is>
          <t>2:14</t>
        </is>
      </c>
      <c r="C1485" t="inlineStr">
        <is>
          <t>Of course it’s changing a little bit.</t>
        </is>
      </c>
      <c r="D1485">
        <f>HYPERLINK("https://www.youtube.com/watch?v=Oa1rmttD4DU&amp;t=134s", "Go to time")</f>
        <v/>
      </c>
    </row>
    <row r="1486">
      <c r="A1486">
        <f>HYPERLINK("https://www.youtube.com/watch?v=sSMhtjCuEv8", "Video")</f>
        <v/>
      </c>
      <c r="B1486" t="inlineStr">
        <is>
          <t>3:55</t>
        </is>
      </c>
      <c r="C1486" t="inlineStr">
        <is>
          <t>Arabic. My father spoke a good bit of</t>
        </is>
      </c>
      <c r="D1486">
        <f>HYPERLINK("https://www.youtube.com/watch?v=sSMhtjCuEv8&amp;t=235s", "Go to time")</f>
        <v/>
      </c>
    </row>
    <row r="1487">
      <c r="A1487">
        <f>HYPERLINK("https://www.youtube.com/watch?v=sSMhtjCuEv8", "Video")</f>
        <v/>
      </c>
      <c r="B1487" t="inlineStr">
        <is>
          <t>6:01</t>
        </is>
      </c>
      <c r="C1487" t="inlineStr">
        <is>
          <t>a bit of uncertainty about whether or</t>
        </is>
      </c>
      <c r="D1487">
        <f>HYPERLINK("https://www.youtube.com/watch?v=sSMhtjCuEv8&amp;t=361s", "Go to time")</f>
        <v/>
      </c>
    </row>
    <row r="1488">
      <c r="A1488">
        <f>HYPERLINK("https://www.youtube.com/watch?v=sSMhtjCuEv8", "Video")</f>
        <v/>
      </c>
      <c r="B1488" t="inlineStr">
        <is>
          <t>6:34</t>
        </is>
      </c>
      <c r="C1488" t="inlineStr">
        <is>
          <t>quite a bit later in my life.</t>
        </is>
      </c>
      <c r="D1488">
        <f>HYPERLINK("https://www.youtube.com/watch?v=sSMhtjCuEv8&amp;t=394s", "Go to time")</f>
        <v/>
      </c>
    </row>
    <row r="1489">
      <c r="A1489">
        <f>HYPERLINK("https://www.youtube.com/watch?v=t8efcxvKPAQ", "Video")</f>
        <v/>
      </c>
      <c r="B1489" t="inlineStr">
        <is>
          <t>0:52</t>
        </is>
      </c>
      <c r="C1489" t="inlineStr">
        <is>
          <t>That's kind of like getting off carbs for
a little bit and, you know, feeling more energized.</t>
        </is>
      </c>
      <c r="D1489">
        <f>HYPERLINK("https://www.youtube.com/watch?v=t8efcxvKPAQ&amp;t=52s", "Go to time")</f>
        <v/>
      </c>
    </row>
    <row r="1490">
      <c r="A1490">
        <f>HYPERLINK("https://www.youtube.com/watch?v=i57ktcP4FaE", "Video")</f>
        <v/>
      </c>
      <c r="B1490" t="inlineStr">
        <is>
          <t>1:49</t>
        </is>
      </c>
      <c r="C1490" t="inlineStr">
        <is>
          <t>and prohibitive at a big level but</t>
        </is>
      </c>
      <c r="D1490">
        <f>HYPERLINK("https://www.youtube.com/watch?v=i57ktcP4FaE&amp;t=109s", "Go to time")</f>
        <v/>
      </c>
    </row>
    <row r="1491">
      <c r="A1491">
        <f>HYPERLINK("https://www.youtube.com/watch?v=i57ktcP4FaE", "Video")</f>
        <v/>
      </c>
      <c r="B1491" t="inlineStr">
        <is>
          <t>5:18</t>
        </is>
      </c>
      <c r="C1491" t="inlineStr">
        <is>
          <t>little bit there whatever all of that</t>
        </is>
      </c>
      <c r="D1491">
        <f>HYPERLINK("https://www.youtube.com/watch?v=i57ktcP4FaE&amp;t=318s", "Go to time")</f>
        <v/>
      </c>
    </row>
    <row r="1492">
      <c r="A1492">
        <f>HYPERLINK("https://www.youtube.com/watch?v=IGC5oX_Cu_0", "Video")</f>
        <v/>
      </c>
      <c r="B1492" t="inlineStr">
        <is>
          <t>2:02</t>
        </is>
      </c>
      <c r="C1492" t="inlineStr">
        <is>
          <t>It's very centered around food, a little bit
of, you know, reproduction.</t>
        </is>
      </c>
      <c r="D1492">
        <f>HYPERLINK("https://www.youtube.com/watch?v=IGC5oX_Cu_0&amp;t=122s", "Go to time")</f>
        <v/>
      </c>
    </row>
    <row r="1493">
      <c r="A1493">
        <f>HYPERLINK("https://www.youtube.com/watch?v=IGC5oX_Cu_0", "Video")</f>
        <v/>
      </c>
      <c r="B1493" t="inlineStr">
        <is>
          <t>2:25</t>
        </is>
      </c>
      <c r="C1493" t="inlineStr">
        <is>
          <t>Oh no, a little bit of the breezes.</t>
        </is>
      </c>
      <c r="D1493">
        <f>HYPERLINK("https://www.youtube.com/watch?v=IGC5oX_Cu_0&amp;t=145s", "Go to time")</f>
        <v/>
      </c>
    </row>
    <row r="1494">
      <c r="A1494">
        <f>HYPERLINK("https://www.youtube.com/watch?v=-dwCPwVWBUA", "Video")</f>
        <v/>
      </c>
      <c r="B1494" t="inlineStr">
        <is>
          <t>4:54</t>
        </is>
      </c>
      <c r="C1494" t="inlineStr">
        <is>
          <t>So, if traditional cults was a little bit</t>
        </is>
      </c>
      <c r="D1494">
        <f>HYPERLINK("https://www.youtube.com/watch?v=-dwCPwVWBUA&amp;t=294s", "Go to time")</f>
        <v/>
      </c>
    </row>
    <row r="1495">
      <c r="A1495">
        <f>HYPERLINK("https://www.youtube.com/watch?v=-dwCPwVWBUA", "Video")</f>
        <v/>
      </c>
      <c r="B1495" t="inlineStr">
        <is>
          <t>5:04</t>
        </is>
      </c>
      <c r="C1495" t="inlineStr">
        <is>
          <t>And culty cults were a little
bit more like a marching band,</t>
        </is>
      </c>
      <c r="D1495">
        <f>HYPERLINK("https://www.youtube.com/watch?v=-dwCPwVWBUA&amp;t=304s", "Go to time")</f>
        <v/>
      </c>
    </row>
    <row r="1496">
      <c r="A1496">
        <f>HYPERLINK("https://www.youtube.com/watch?v=BTYvOCbt5FI", "Video")</f>
        <v/>
      </c>
      <c r="B1496" t="inlineStr">
        <is>
          <t>2:14</t>
        </is>
      </c>
      <c r="C1496" t="inlineStr">
        <is>
          <t>bit every every dancer takes a class</t>
        </is>
      </c>
      <c r="D1496">
        <f>HYPERLINK("https://www.youtube.com/watch?v=BTYvOCbt5FI&amp;t=134s", "Go to time")</f>
        <v/>
      </c>
    </row>
    <row r="1497">
      <c r="A1497">
        <f>HYPERLINK("https://www.youtube.com/watch?v=IgUsE6eGMh4", "Video")</f>
        <v/>
      </c>
      <c r="B1497" t="inlineStr">
        <is>
          <t>1:43</t>
        </is>
      </c>
      <c r="C1497" t="inlineStr">
        <is>
          <t>So giving birth is a bit like squeezing a
melon out of a hose pipe, and a large percentage</t>
        </is>
      </c>
      <c r="D1497">
        <f>HYPERLINK("https://www.youtube.com/watch?v=IgUsE6eGMh4&amp;t=103s", "Go to time")</f>
        <v/>
      </c>
    </row>
    <row r="1498">
      <c r="A1498">
        <f>HYPERLINK("https://www.youtube.com/watch?v=4VUcyqQIomU", "Video")</f>
        <v/>
      </c>
      <c r="B1498" t="inlineStr">
        <is>
          <t>5:49</t>
        </is>
      </c>
      <c r="C1498" t="inlineStr">
        <is>
          <t>bit of it he has served on a number of</t>
        </is>
      </c>
      <c r="D1498">
        <f>HYPERLINK("https://www.youtube.com/watch?v=4VUcyqQIomU&amp;t=349s", "Go to time")</f>
        <v/>
      </c>
    </row>
    <row r="1499">
      <c r="A1499">
        <f>HYPERLINK("https://www.youtube.com/watch?v=pwlKPFdi4AY", "Video")</f>
        <v/>
      </c>
      <c r="B1499" t="inlineStr">
        <is>
          <t>1:51</t>
        </is>
      </c>
      <c r="C1499" t="inlineStr">
        <is>
          <t>you didn't just have little sound bites,</t>
        </is>
      </c>
      <c r="D1499">
        <f>HYPERLINK("https://www.youtube.com/watch?v=pwlKPFdi4AY&amp;t=111s", "Go to time")</f>
        <v/>
      </c>
    </row>
    <row r="1500">
      <c r="A1500">
        <f>HYPERLINK("https://www.youtube.com/watch?v=gjIC7BA0wRg", "Video")</f>
        <v/>
      </c>
      <c r="B1500" t="inlineStr">
        <is>
          <t>2:56</t>
        </is>
      </c>
      <c r="C1500" t="inlineStr">
        <is>
          <t>little bit right Geniuses are people who</t>
        </is>
      </c>
      <c r="D1500">
        <f>HYPERLINK("https://www.youtube.com/watch?v=gjIC7BA0wRg&amp;t=176s", "Go to time")</f>
        <v/>
      </c>
    </row>
    <row r="1501">
      <c r="A1501">
        <f>HYPERLINK("https://www.youtube.com/watch?v=4jyo6-3Zr5w", "Video")</f>
        <v/>
      </c>
      <c r="B1501" t="inlineStr">
        <is>
          <t>3:58</t>
        </is>
      </c>
      <c r="C1501" t="inlineStr">
        <is>
          <t>down a little bit I think it's a sign of</t>
        </is>
      </c>
      <c r="D1501">
        <f>HYPERLINK("https://www.youtube.com/watch?v=4jyo6-3Zr5w&amp;t=238s", "Go to time")</f>
        <v/>
      </c>
    </row>
    <row r="1502">
      <c r="A1502">
        <f>HYPERLINK("https://www.youtube.com/watch?v=GfZSr9ihbZs", "Video")</f>
        <v/>
      </c>
      <c r="B1502" t="inlineStr">
        <is>
          <t>0:20</t>
        </is>
      </c>
      <c r="C1502" t="inlineStr">
        <is>
          <t>My character in this film, Frank, is a little
bit obsessed with playing music and creating</t>
        </is>
      </c>
      <c r="D1502">
        <f>HYPERLINK("https://www.youtube.com/watch?v=GfZSr9ihbZs&amp;t=20s", "Go to time")</f>
        <v/>
      </c>
    </row>
    <row r="1503">
      <c r="A1503">
        <f>HYPERLINK("https://www.youtube.com/watch?v=hjDcuWTu5qs", "Video")</f>
        <v/>
      </c>
      <c r="B1503" t="inlineStr">
        <is>
          <t>2:43</t>
        </is>
      </c>
      <c r="C1503" t="inlineStr">
        <is>
          <t>of the human genome, has come from ambition
to learn more about health issues.</t>
        </is>
      </c>
      <c r="D1503">
        <f>HYPERLINK("https://www.youtube.com/watch?v=hjDcuWTu5qs&amp;t=163s", "Go to time")</f>
        <v/>
      </c>
    </row>
    <row r="1504">
      <c r="A1504">
        <f>HYPERLINK("https://www.youtube.com/watch?v=xBDGgovA1LI", "Video")</f>
        <v/>
      </c>
      <c r="B1504" t="inlineStr">
        <is>
          <t>6:41</t>
        </is>
      </c>
      <c r="C1504" t="inlineStr">
        <is>
          <t>of your hippocampus by
inhibiting 'neurogenesis'-</t>
        </is>
      </c>
      <c r="D1504">
        <f>HYPERLINK("https://www.youtube.com/watch?v=xBDGgovA1LI&amp;t=401s", "Go to time")</f>
        <v/>
      </c>
    </row>
    <row r="1505">
      <c r="A1505">
        <f>HYPERLINK("https://www.youtube.com/watch?v=xBDGgovA1LI", "Video")</f>
        <v/>
      </c>
      <c r="B1505" t="inlineStr">
        <is>
          <t>6:44</t>
        </is>
      </c>
      <c r="C1505" t="inlineStr">
        <is>
          <t>it will inhibit the birth
of new neurons there.</t>
        </is>
      </c>
      <c r="D1505">
        <f>HYPERLINK("https://www.youtube.com/watch?v=xBDGgovA1LI&amp;t=404s", "Go to time")</f>
        <v/>
      </c>
    </row>
    <row r="1506">
      <c r="A1506">
        <f>HYPERLINK("https://www.youtube.com/watch?v=r4d6kI_b88o", "Video")</f>
        <v/>
      </c>
      <c r="B1506" t="inlineStr">
        <is>
          <t>2:22</t>
        </is>
      </c>
      <c r="C1506" t="inlineStr">
        <is>
          <t>and we did a little bit
of amateur demographics,</t>
        </is>
      </c>
      <c r="D1506">
        <f>HYPERLINK("https://www.youtube.com/watch?v=r4d6kI_b88o&amp;t=142s", "Go to time")</f>
        <v/>
      </c>
    </row>
    <row r="1507">
      <c r="A1507">
        <f>HYPERLINK("https://www.youtube.com/watch?v=r4d6kI_b88o", "Video")</f>
        <v/>
      </c>
      <c r="B1507" t="inlineStr">
        <is>
          <t>4:22</t>
        </is>
      </c>
      <c r="C1507" t="inlineStr">
        <is>
          <t>'Well, with all that 
potentially habitable</t>
        </is>
      </c>
      <c r="D1507">
        <f>HYPERLINK("https://www.youtube.com/watch?v=r4d6kI_b88o&amp;t=262s", "Go to time")</f>
        <v/>
      </c>
    </row>
    <row r="1508">
      <c r="A1508">
        <f>HYPERLINK("https://www.youtube.com/watch?v=r4d6kI_b88o", "Video")</f>
        <v/>
      </c>
      <c r="B1508" t="inlineStr">
        <is>
          <t>4:25</t>
        </is>
      </c>
      <c r="C1508" t="inlineStr">
        <is>
          <t>real estate out there, is any
of it actually inhabited?'</t>
        </is>
      </c>
      <c r="D1508">
        <f>HYPERLINK("https://www.youtube.com/watch?v=r4d6kI_b88o&amp;t=265s", "Go to time")</f>
        <v/>
      </c>
    </row>
    <row r="1509">
      <c r="A1509">
        <f>HYPERLINK("https://www.youtube.com/watch?v=r4d6kI_b88o", "Video")</f>
        <v/>
      </c>
      <c r="B1509" t="inlineStr">
        <is>
          <t>6:50</t>
        </is>
      </c>
      <c r="C1509" t="inlineStr">
        <is>
          <t>as there are more 
satellites orbiting.</t>
        </is>
      </c>
      <c r="D1509">
        <f>HYPERLINK("https://www.youtube.com/watch?v=r4d6kI_b88o&amp;t=410s", "Go to time")</f>
        <v/>
      </c>
    </row>
    <row r="1510">
      <c r="A1510">
        <f>HYPERLINK("https://www.youtube.com/watch?v=Y7m9eNoB3NU", "Video")</f>
        <v/>
      </c>
      <c r="B1510" t="inlineStr">
        <is>
          <t>2:30</t>
        </is>
      </c>
      <c r="C1510" t="inlineStr">
        <is>
          <t>who were sons of a bitch were actually defeating
the company’s own mission.</t>
        </is>
      </c>
      <c r="D1510">
        <f>HYPERLINK("https://www.youtube.com/watch?v=Y7m9eNoB3NU&amp;t=150s", "Go to time")</f>
        <v/>
      </c>
    </row>
    <row r="1511">
      <c r="A1511">
        <f>HYPERLINK("https://www.youtube.com/watch?v=W-YMRAhH7qE", "Video")</f>
        <v/>
      </c>
      <c r="B1511" t="inlineStr">
        <is>
          <t>3:38</t>
        </is>
      </c>
      <c r="C1511" t="inlineStr">
        <is>
          <t>inhibits prosecutors sometimes and</t>
        </is>
      </c>
      <c r="D1511">
        <f>HYPERLINK("https://www.youtube.com/watch?v=W-YMRAhH7qE&amp;t=218s", "Go to time")</f>
        <v/>
      </c>
    </row>
    <row r="1512">
      <c r="A1512">
        <f>HYPERLINK("https://www.youtube.com/watch?v=bcQJIQmasdo", "Video")</f>
        <v/>
      </c>
      <c r="B1512" t="inlineStr">
        <is>
          <t>0:20</t>
        </is>
      </c>
      <c r="C1512" t="inlineStr">
        <is>
          <t>bit hard for people to understand</t>
        </is>
      </c>
      <c r="D1512">
        <f>HYPERLINK("https://www.youtube.com/watch?v=bcQJIQmasdo&amp;t=20s", "Go to time")</f>
        <v/>
      </c>
    </row>
    <row r="1513">
      <c r="A1513">
        <f>HYPERLINK("https://www.youtube.com/watch?v=4VORyiW4qmo", "Video")</f>
        <v/>
      </c>
      <c r="B1513" t="inlineStr">
        <is>
          <t>0:37</t>
        </is>
      </c>
      <c r="C1513" t="inlineStr">
        <is>
          <t>rabbits or the alligator go klunk where</t>
        </is>
      </c>
      <c r="D1513">
        <f>HYPERLINK("https://www.youtube.com/watch?v=4VORyiW4qmo&amp;t=37s", "Go to time")</f>
        <v/>
      </c>
    </row>
    <row r="1514">
      <c r="A1514">
        <f>HYPERLINK("https://www.youtube.com/watch?v=4VORyiW4qmo", "Video")</f>
        <v/>
      </c>
      <c r="B1514" t="inlineStr">
        <is>
          <t>6:49</t>
        </is>
      </c>
      <c r="C1514" t="inlineStr">
        <is>
          <t>bit I think it in uh in science um it's</t>
        </is>
      </c>
      <c r="D1514">
        <f>HYPERLINK("https://www.youtube.com/watch?v=4VORyiW4qmo&amp;t=409s", "Go to time")</f>
        <v/>
      </c>
    </row>
    <row r="1515">
      <c r="A1515">
        <f>HYPERLINK("https://www.youtube.com/watch?v=4VORyiW4qmo", "Video")</f>
        <v/>
      </c>
      <c r="B1515" t="inlineStr">
        <is>
          <t>6:53</t>
        </is>
      </c>
      <c r="C1515" t="inlineStr">
        <is>
          <t>it's not reasonable to have an ambition</t>
        </is>
      </c>
      <c r="D1515">
        <f>HYPERLINK("https://www.youtube.com/watch?v=4VORyiW4qmo&amp;t=413s", "Go to time")</f>
        <v/>
      </c>
    </row>
    <row r="1516">
      <c r="A1516">
        <f>HYPERLINK("https://www.youtube.com/watch?v=Ra5ZRQmDEPI", "Video")</f>
        <v/>
      </c>
      <c r="B1516" t="inlineStr">
        <is>
          <t>4:30</t>
        </is>
      </c>
      <c r="C1516" t="inlineStr">
        <is>
          <t>bit farther I mean you're not going to</t>
        </is>
      </c>
      <c r="D1516">
        <f>HYPERLINK("https://www.youtube.com/watch?v=Ra5ZRQmDEPI&amp;t=270s", "Go to time")</f>
        <v/>
      </c>
    </row>
    <row r="1517">
      <c r="A1517">
        <f>HYPERLINK("https://www.youtube.com/watch?v=8JTRyltugMQ", "Video")</f>
        <v/>
      </c>
      <c r="B1517" t="inlineStr">
        <is>
          <t>2:34</t>
        </is>
      </c>
      <c r="C1517" t="inlineStr">
        <is>
          <t>obituaries began to appear in the Press</t>
        </is>
      </c>
      <c r="D1517">
        <f>HYPERLINK("https://www.youtube.com/watch?v=8JTRyltugMQ&amp;t=154s", "Go to time")</f>
        <v/>
      </c>
    </row>
    <row r="1518">
      <c r="A1518">
        <f>HYPERLINK("https://www.youtube.com/watch?v=oE4c3iCAjX8", "Video")</f>
        <v/>
      </c>
      <c r="B1518" t="inlineStr">
        <is>
          <t>1:37</t>
        </is>
      </c>
      <c r="C1518" t="inlineStr">
        <is>
          <t>that those social cues inhibit our</t>
        </is>
      </c>
      <c r="D1518">
        <f>HYPERLINK("https://www.youtube.com/watch?v=oE4c3iCAjX8&amp;t=97s", "Go to time")</f>
        <v/>
      </c>
    </row>
    <row r="1519">
      <c r="A1519">
        <f>HYPERLINK("https://www.youtube.com/watch?v=oE4c3iCAjX8", "Video")</f>
        <v/>
      </c>
      <c r="B1519" t="inlineStr">
        <is>
          <t>1:43</t>
        </is>
      </c>
      <c r="C1519" t="inlineStr">
        <is>
          <t>they're disinhibited there's no</t>
        </is>
      </c>
      <c r="D1519">
        <f>HYPERLINK("https://www.youtube.com/watch?v=oE4c3iCAjX8&amp;t=103s", "Go to time")</f>
        <v/>
      </c>
    </row>
    <row r="1520">
      <c r="A1520">
        <f>HYPERLINK("https://www.youtube.com/watch?v=PMmHln9JkGM", "Video")</f>
        <v/>
      </c>
      <c r="B1520" t="inlineStr">
        <is>
          <t>0:59</t>
        </is>
      </c>
      <c r="C1520" t="inlineStr">
        <is>
          <t>They were invented by a
man named William Cubitt</t>
        </is>
      </c>
      <c r="D1520">
        <f>HYPERLINK("https://www.youtube.com/watch?v=PMmHln9JkGM&amp;t=59s", "Go to time")</f>
        <v/>
      </c>
    </row>
    <row r="1521">
      <c r="A1521">
        <f>HYPERLINK("https://www.youtube.com/watch?v=PMmHln9JkGM", "Video")</f>
        <v/>
      </c>
      <c r="B1521" t="inlineStr">
        <is>
          <t>4:05</t>
        </is>
      </c>
      <c r="C1521" t="inlineStr">
        <is>
          <t>But 10,000 steps is kind of arbitrary.</t>
        </is>
      </c>
      <c r="D1521">
        <f>HYPERLINK("https://www.youtube.com/watch?v=PMmHln9JkGM&amp;t=245s", "Go to time")</f>
        <v/>
      </c>
    </row>
    <row r="1522">
      <c r="A1522">
        <f>HYPERLINK("https://www.youtube.com/watch?v=PMmHln9JkGM", "Video")</f>
        <v/>
      </c>
      <c r="B1522" t="inlineStr">
        <is>
          <t>4:50</t>
        </is>
      </c>
      <c r="C1522" t="inlineStr">
        <is>
          <t>and a little bit more tends
to be better than that.</t>
        </is>
      </c>
      <c r="D1522">
        <f>HYPERLINK("https://www.youtube.com/watch?v=PMmHln9JkGM&amp;t=290s", "Go to time")</f>
        <v/>
      </c>
    </row>
    <row r="1523">
      <c r="A1523">
        <f>HYPERLINK("https://www.youtube.com/watch?v=bD7OSXcvGDI", "Video")</f>
        <v/>
      </c>
      <c r="B1523" t="inlineStr">
        <is>
          <t>0:52</t>
        </is>
      </c>
      <c r="C1523" t="inlineStr">
        <is>
          <t>while I do a little bit about rock music</t>
        </is>
      </c>
      <c r="D1523">
        <f>HYPERLINK("https://www.youtube.com/watch?v=bD7OSXcvGDI&amp;t=52s", "Go to time")</f>
        <v/>
      </c>
    </row>
    <row r="1524">
      <c r="A1524">
        <f>HYPERLINK("https://www.youtube.com/watch?v=bD7OSXcvGDI", "Video")</f>
        <v/>
      </c>
      <c r="B1524" t="inlineStr">
        <is>
          <t>4:29</t>
        </is>
      </c>
      <c r="C1524" t="inlineStr">
        <is>
          <t>and I think there's a little bit of</t>
        </is>
      </c>
      <c r="D1524">
        <f>HYPERLINK("https://www.youtube.com/watch?v=bD7OSXcvGDI&amp;t=269s", "Go to time")</f>
        <v/>
      </c>
    </row>
    <row r="1525">
      <c r="A1525">
        <f>HYPERLINK("https://www.youtube.com/watch?v=M66_s4NjmMs", "Video")</f>
        <v/>
      </c>
      <c r="B1525" t="inlineStr">
        <is>
          <t>5:17</t>
        </is>
      </c>
      <c r="C1525" t="inlineStr">
        <is>
          <t>little bit more of a better grasp to</t>
        </is>
      </c>
      <c r="D1525">
        <f>HYPERLINK("https://www.youtube.com/watch?v=M66_s4NjmMs&amp;t=317s", "Go to time")</f>
        <v/>
      </c>
    </row>
    <row r="1526">
      <c r="A1526">
        <f>HYPERLINK("https://www.youtube.com/watch?v=e3Wh9iCnmIw", "Video")</f>
        <v/>
      </c>
      <c r="B1526" t="inlineStr">
        <is>
          <t>4:57</t>
        </is>
      </c>
      <c r="C1526" t="inlineStr">
        <is>
          <t>If you want to convert just a little bit of my mass into pure energy</t>
        </is>
      </c>
      <c r="D1526">
        <f>HYPERLINK("https://www.youtube.com/watch?v=e3Wh9iCnmIw&amp;t=297s", "Go to time")</f>
        <v/>
      </c>
    </row>
    <row r="1527">
      <c r="A1527">
        <f>HYPERLINK("https://www.youtube.com/watch?v=e3Wh9iCnmIw", "Video")</f>
        <v/>
      </c>
      <c r="B1527" t="inlineStr">
        <is>
          <t>6:52</t>
        </is>
      </c>
      <c r="C1527" t="inlineStr">
        <is>
          <t>very very close to what was like a little bit after the Big Bang when the temperature of the universe was measured in</t>
        </is>
      </c>
      <c r="D1527">
        <f>HYPERLINK("https://www.youtube.com/watch?v=e3Wh9iCnmIw&amp;t=412s", "Go to time")</f>
        <v/>
      </c>
    </row>
    <row r="1528">
      <c r="A1528">
        <f>HYPERLINK("https://www.youtube.com/watch?v=GHKyDYtKGEg", "Video")</f>
        <v/>
      </c>
      <c r="B1528" t="inlineStr">
        <is>
          <t>6:15</t>
        </is>
      </c>
      <c r="C1528" t="inlineStr">
        <is>
          <t>Well, there's a little bit</t>
        </is>
      </c>
      <c r="D1528">
        <f>HYPERLINK("https://www.youtube.com/watch?v=GHKyDYtKGEg&amp;t=375s", "Go to time")</f>
        <v/>
      </c>
    </row>
    <row r="1529">
      <c r="A1529">
        <f>HYPERLINK("https://www.youtube.com/watch?v=OKXzfNQDjqo", "Video")</f>
        <v/>
      </c>
      <c r="B1529" t="inlineStr">
        <is>
          <t>2:00</t>
        </is>
      </c>
      <c r="C1529" t="inlineStr">
        <is>
          <t>did a bit of writing</t>
        </is>
      </c>
      <c r="D1529">
        <f>HYPERLINK("https://www.youtube.com/watch?v=OKXzfNQDjqo&amp;t=120s", "Go to time")</f>
        <v/>
      </c>
    </row>
    <row r="1530">
      <c r="A1530">
        <f>HYPERLINK("https://www.youtube.com/watch?v=OKXzfNQDjqo", "Video")</f>
        <v/>
      </c>
      <c r="B1530" t="inlineStr">
        <is>
          <t>4:43</t>
        </is>
      </c>
      <c r="C1530" t="inlineStr">
        <is>
          <t>up bits and pieces of of family history</t>
        </is>
      </c>
      <c r="D1530">
        <f>HYPERLINK("https://www.youtube.com/watch?v=OKXzfNQDjqo&amp;t=283s", "Go to time")</f>
        <v/>
      </c>
    </row>
    <row r="1531">
      <c r="A1531">
        <f>HYPERLINK("https://www.youtube.com/watch?v=OKXzfNQDjqo", "Video")</f>
        <v/>
      </c>
      <c r="B1531" t="inlineStr">
        <is>
          <t>5:16</t>
        </is>
      </c>
      <c r="C1531" t="inlineStr">
        <is>
          <t>an Irish Ambiance a little bit of Irish</t>
        </is>
      </c>
      <c r="D1531">
        <f>HYPERLINK("https://www.youtube.com/watch?v=OKXzfNQDjqo&amp;t=316s", "Go to time")</f>
        <v/>
      </c>
    </row>
    <row r="1532">
      <c r="A1532">
        <f>HYPERLINK("https://www.youtube.com/watch?v=O-Ith3X1x9k", "Video")</f>
        <v/>
      </c>
      <c r="B1532" t="inlineStr">
        <is>
          <t>5:50</t>
        </is>
      </c>
      <c r="C1532" t="inlineStr">
        <is>
          <t>We think it's more effective to find a way
to back up from that a little bit; notice</t>
        </is>
      </c>
      <c r="D1532">
        <f>HYPERLINK("https://www.youtube.com/watch?v=O-Ith3X1x9k&amp;t=350s", "Go to time")</f>
        <v/>
      </c>
    </row>
    <row r="1533">
      <c r="A1533">
        <f>HYPERLINK("https://www.youtube.com/watch?v=O-Ith3X1x9k", "Video")</f>
        <v/>
      </c>
      <c r="B1533" t="inlineStr">
        <is>
          <t>9:50</t>
        </is>
      </c>
      <c r="C1533" t="inlineStr">
        <is>
          <t>Steven Hayes: It might be a little bit, because
this psychology is a psychology of the normal.</t>
        </is>
      </c>
      <c r="D1533">
        <f>HYPERLINK("https://www.youtube.com/watch?v=O-Ith3X1x9k&amp;t=590s", "Go to time")</f>
        <v/>
      </c>
    </row>
    <row r="1534">
      <c r="A1534">
        <f>HYPERLINK("https://www.youtube.com/watch?v=O-Ith3X1x9k", "Video")</f>
        <v/>
      </c>
      <c r="B1534" t="inlineStr">
        <is>
          <t>37:36</t>
        </is>
      </c>
      <c r="C1534" t="inlineStr">
        <is>
          <t>And I think psychotherapy actually tells us
a little bit about what we might need to do</t>
        </is>
      </c>
      <c r="D1534">
        <f>HYPERLINK("https://www.youtube.com/watch?v=O-Ith3X1x9k&amp;t=2256s", "Go to time")</f>
        <v/>
      </c>
    </row>
    <row r="1535">
      <c r="A1535">
        <f>HYPERLINK("https://www.youtube.com/watch?v=kEsc6Cc6mu8", "Video")</f>
        <v/>
      </c>
      <c r="B1535" t="inlineStr">
        <is>
          <t>1:05</t>
        </is>
      </c>
      <c r="C1535" t="inlineStr">
        <is>
          <t>takes a little bit of a hit and people</t>
        </is>
      </c>
      <c r="D1535">
        <f>HYPERLINK("https://www.youtube.com/watch?v=kEsc6Cc6mu8&amp;t=65s", "Go to time")</f>
        <v/>
      </c>
    </row>
    <row r="1536">
      <c r="A1536">
        <f>HYPERLINK("https://www.youtube.com/watch?v=kEsc6Cc6mu8", "Video")</f>
        <v/>
      </c>
      <c r="B1536" t="inlineStr">
        <is>
          <t>1:10</t>
        </is>
      </c>
      <c r="C1536" t="inlineStr">
        <is>
          <t>little bit lazy in analyzing situations</t>
        </is>
      </c>
      <c r="D1536">
        <f>HYPERLINK("https://www.youtube.com/watch?v=kEsc6Cc6mu8&amp;t=70s", "Go to time")</f>
        <v/>
      </c>
    </row>
    <row r="1537">
      <c r="A1537">
        <f>HYPERLINK("https://www.youtube.com/watch?v=x2zCvyJZgNs", "Video")</f>
        <v/>
      </c>
      <c r="B1537" t="inlineStr">
        <is>
          <t>0:08</t>
        </is>
      </c>
      <c r="C1537" t="inlineStr">
        <is>
          <t>it's a it's a bit complicated um in the</t>
        </is>
      </c>
      <c r="D1537">
        <f>HYPERLINK("https://www.youtube.com/watch?v=x2zCvyJZgNs&amp;t=8s", "Go to time")</f>
        <v/>
      </c>
    </row>
    <row r="1538">
      <c r="A1538">
        <f>HYPERLINK("https://www.youtube.com/watch?v=x2zCvyJZgNs", "Video")</f>
        <v/>
      </c>
      <c r="B1538" t="inlineStr">
        <is>
          <t>0:50</t>
        </is>
      </c>
      <c r="C1538" t="inlineStr">
        <is>
          <t>the convention that would prohibit that</t>
        </is>
      </c>
      <c r="D1538">
        <f>HYPERLINK("https://www.youtube.com/watch?v=x2zCvyJZgNs&amp;t=50s", "Go to time")</f>
        <v/>
      </c>
    </row>
    <row r="1539">
      <c r="A1539">
        <f>HYPERLINK("https://www.youtube.com/watch?v=Iwac6Uk-zyk", "Video")</f>
        <v/>
      </c>
      <c r="B1539" t="inlineStr">
        <is>
          <t>0:22</t>
        </is>
      </c>
      <c r="C1539" t="inlineStr">
        <is>
          <t>Actually having focus and having your mind
in the present moment is a little bit of a</t>
        </is>
      </c>
      <c r="D1539">
        <f>HYPERLINK("https://www.youtube.com/watch?v=Iwac6Uk-zyk&amp;t=22s", "Go to time")</f>
        <v/>
      </c>
    </row>
    <row r="1540">
      <c r="A1540">
        <f>HYPERLINK("https://www.youtube.com/watch?v=bq6wuRZ4fYI", "Video")</f>
        <v/>
      </c>
      <c r="B1540" t="inlineStr">
        <is>
          <t>1:18</t>
        </is>
      </c>
      <c r="C1540" t="inlineStr">
        <is>
          <t>actually faced my first um bit of um</t>
        </is>
      </c>
      <c r="D1540">
        <f>HYPERLINK("https://www.youtube.com/watch?v=bq6wuRZ4fYI&amp;t=78s", "Go to time")</f>
        <v/>
      </c>
    </row>
    <row r="1541">
      <c r="A1541">
        <f>HYPERLINK("https://www.youtube.com/watch?v=kyow7KAHDks", "Video")</f>
        <v/>
      </c>
      <c r="B1541" t="inlineStr">
        <is>
          <t>5:50</t>
        </is>
      </c>
      <c r="C1541" t="inlineStr">
        <is>
          <t>And third is being
disinhibited or impulsive.</t>
        </is>
      </c>
      <c r="D1541">
        <f>HYPERLINK("https://www.youtube.com/watch?v=kyow7KAHDks&amp;t=350s", "Go to time")</f>
        <v/>
      </c>
    </row>
    <row r="1542">
      <c r="A1542">
        <f>HYPERLINK("https://www.youtube.com/watch?v=4Pn-f6Z-qj0", "Video")</f>
        <v/>
      </c>
      <c r="B1542" t="inlineStr">
        <is>
          <t>3:25</t>
        </is>
      </c>
      <c r="C1542" t="inlineStr">
        <is>
          <t>little bit of a a pipe dream to think</t>
        </is>
      </c>
      <c r="D1542">
        <f>HYPERLINK("https://www.youtube.com/watch?v=4Pn-f6Z-qj0&amp;t=205s", "Go to time")</f>
        <v/>
      </c>
    </row>
    <row r="1543">
      <c r="A1543">
        <f>HYPERLINK("https://www.youtube.com/watch?v=lwfOiqEkuek", "Video")</f>
        <v/>
      </c>
      <c r="B1543" t="inlineStr">
        <is>
          <t>5:11</t>
        </is>
      </c>
      <c r="C1543" t="inlineStr">
        <is>
          <t>happened when to tweak it a little bit</t>
        </is>
      </c>
      <c r="D1543">
        <f>HYPERLINK("https://www.youtube.com/watch?v=lwfOiqEkuek&amp;t=311s", "Go to time")</f>
        <v/>
      </c>
    </row>
    <row r="1544">
      <c r="A1544">
        <f>HYPERLINK("https://www.youtube.com/watch?v=lwfOiqEkuek", "Video")</f>
        <v/>
      </c>
      <c r="B1544" t="inlineStr">
        <is>
          <t>8:22</t>
        </is>
      </c>
      <c r="C1544" t="inlineStr">
        <is>
          <t>casting but this is a bit strange and so</t>
        </is>
      </c>
      <c r="D1544">
        <f>HYPERLINK("https://www.youtube.com/watch?v=lwfOiqEkuek&amp;t=502s", "Go to time")</f>
        <v/>
      </c>
    </row>
    <row r="1545">
      <c r="A1545">
        <f>HYPERLINK("https://www.youtube.com/watch?v=vpnxd31y0Fo", "Video")</f>
        <v/>
      </c>
      <c r="B1545" t="inlineStr">
        <is>
          <t>0:30</t>
        </is>
      </c>
      <c r="C1545" t="inlineStr">
        <is>
          <t>But this pattern of thinking is actually surprisingly
common in scenarios that are a little bit</t>
        </is>
      </c>
      <c r="D1545">
        <f>HYPERLINK("https://www.youtube.com/watch?v=vpnxd31y0Fo&amp;t=30s", "Go to time")</f>
        <v/>
      </c>
    </row>
    <row r="1546">
      <c r="A1546">
        <f>HYPERLINK("https://www.youtube.com/watch?v=S0xvS0Nsj6s", "Video")</f>
        <v/>
      </c>
      <c r="B1546" t="inlineStr">
        <is>
          <t>1:36</t>
        </is>
      </c>
      <c r="C1546" t="inlineStr">
        <is>
          <t>a little bit of motion, as
gravity brings it together</t>
        </is>
      </c>
      <c r="D1546">
        <f>HYPERLINK("https://www.youtube.com/watch?v=S0xvS0Nsj6s&amp;t=96s", "Go to time")</f>
        <v/>
      </c>
    </row>
    <row r="1547">
      <c r="A1547">
        <f>HYPERLINK("https://www.youtube.com/watch?v=S0xvS0Nsj6s", "Video")</f>
        <v/>
      </c>
      <c r="B1547" t="inlineStr">
        <is>
          <t>2:25</t>
        </is>
      </c>
      <c r="C1547" t="inlineStr">
        <is>
          <t>has just a tiny little
bit of a drift velocity.</t>
        </is>
      </c>
      <c r="D1547">
        <f>HYPERLINK("https://www.youtube.com/watch?v=S0xvS0Nsj6s&amp;t=145s", "Go to time")</f>
        <v/>
      </c>
    </row>
    <row r="1548">
      <c r="A1548">
        <f>HYPERLINK("https://www.youtube.com/watch?v=S0xvS0Nsj6s", "Video")</f>
        <v/>
      </c>
      <c r="B1548" t="inlineStr">
        <is>
          <t>2:33</t>
        </is>
      </c>
      <c r="C1548" t="inlineStr">
        <is>
          <t>The cloud itself has a little bit
of velocity as a cloud, as a whole.</t>
        </is>
      </c>
      <c r="D1548">
        <f>HYPERLINK("https://www.youtube.com/watch?v=S0xvS0Nsj6s&amp;t=153s", "Go to time")</f>
        <v/>
      </c>
    </row>
    <row r="1549">
      <c r="A1549">
        <f>HYPERLINK("https://www.youtube.com/watch?v=S0xvS0Nsj6s", "Video")</f>
        <v/>
      </c>
      <c r="B1549" t="inlineStr">
        <is>
          <t>2:41</t>
        </is>
      </c>
      <c r="C1549" t="inlineStr">
        <is>
          <t>But as the cloud begins to come together
under gravity, any little bit of spin</t>
        </is>
      </c>
      <c r="D1549">
        <f>HYPERLINK("https://www.youtube.com/watch?v=S0xvS0Nsj6s&amp;t=161s", "Go to time")</f>
        <v/>
      </c>
    </row>
    <row r="1550">
      <c r="A1550">
        <f>HYPERLINK("https://www.youtube.com/watch?v=S0xvS0Nsj6s", "Video")</f>
        <v/>
      </c>
      <c r="B1550" t="inlineStr">
        <is>
          <t>3:03</t>
        </is>
      </c>
      <c r="C1550" t="inlineStr">
        <is>
          <t>And this is an interesting
bit of physics that</t>
        </is>
      </c>
      <c r="D1550">
        <f>HYPERLINK("https://www.youtube.com/watch?v=S0xvS0Nsj6s&amp;t=183s", "Go to time")</f>
        <v/>
      </c>
    </row>
    <row r="1551">
      <c r="A1551">
        <f>HYPERLINK("https://www.youtube.com/watch?v=upRqAaCEEhw", "Video")</f>
        <v/>
      </c>
      <c r="B1551" t="inlineStr">
        <is>
          <t>1:49</t>
        </is>
      </c>
      <c r="C1551" t="inlineStr">
        <is>
          <t>the gravitational or what we call tidal action
of Europa's orbit with this massive Jupiter.</t>
        </is>
      </c>
      <c r="D1551">
        <f>HYPERLINK("https://www.youtube.com/watch?v=upRqAaCEEhw&amp;t=109s", "Go to time")</f>
        <v/>
      </c>
    </row>
    <row r="1552">
      <c r="A1552">
        <f>HYPERLINK("https://www.youtube.com/watch?v=upRqAaCEEhw", "Video")</f>
        <v/>
      </c>
      <c r="B1552" t="inlineStr">
        <is>
          <t>1:56</t>
        </is>
      </c>
      <c r="C1552" t="inlineStr">
        <is>
          <t>Europa's orbital period is 85 hours.</t>
        </is>
      </c>
      <c r="D1552">
        <f>HYPERLINK("https://www.youtube.com/watch?v=upRqAaCEEhw&amp;t=116s", "Go to time")</f>
        <v/>
      </c>
    </row>
    <row r="1553">
      <c r="A1553">
        <f>HYPERLINK("https://www.youtube.com/watch?v=upRqAaCEEhw", "Video")</f>
        <v/>
      </c>
      <c r="B1553" t="inlineStr">
        <is>
          <t>3:09</t>
        </is>
      </c>
      <c r="C1553" t="inlineStr">
        <is>
          <t>that would have to go the extraordinary distance
out to Jupiter and get an orbit out there</t>
        </is>
      </c>
      <c r="D1553">
        <f>HYPERLINK("https://www.youtube.com/watch?v=upRqAaCEEhw&amp;t=189s", "Go to time")</f>
        <v/>
      </c>
    </row>
    <row r="1554">
      <c r="A1554">
        <f>HYPERLINK("https://www.youtube.com/watch?v=upRqAaCEEhw", "Video")</f>
        <v/>
      </c>
      <c r="B1554" t="inlineStr">
        <is>
          <t>3:14</t>
        </is>
      </c>
      <c r="C1554" t="inlineStr">
        <is>
          <t>around Europa, but, you would have it fly
through the geysers, actually the orbit would</t>
        </is>
      </c>
      <c r="D1554">
        <f>HYPERLINK("https://www.youtube.com/watch?v=upRqAaCEEhw&amp;t=194s", "Go to time")</f>
        <v/>
      </c>
    </row>
    <row r="1555">
      <c r="A1555">
        <f>HYPERLINK("https://www.youtube.com/watch?v=upRqAaCEEhw", "Video")</f>
        <v/>
      </c>
      <c r="B1555" t="inlineStr">
        <is>
          <t>4:00</t>
        </is>
      </c>
      <c r="C1555" t="inlineStr">
        <is>
          <t>which has been in orbit out there for a long
time.</t>
        </is>
      </c>
      <c r="D1555">
        <f>HYPERLINK("https://www.youtube.com/watch?v=upRqAaCEEhw&amp;t=240s", "Go to time")</f>
        <v/>
      </c>
    </row>
    <row r="1556">
      <c r="A1556">
        <f>HYPERLINK("https://www.youtube.com/watch?v=upRqAaCEEhw", "Video")</f>
        <v/>
      </c>
      <c r="B1556" t="inlineStr">
        <is>
          <t>4:37</t>
        </is>
      </c>
      <c r="C1556" t="inlineStr">
        <is>
          <t>Let's say if we could launch, we could get
in the orbit of Jupiter and Europa by 2022,</t>
        </is>
      </c>
      <c r="D1556">
        <f>HYPERLINK("https://www.youtube.com/watch?v=upRqAaCEEhw&amp;t=277s", "Go to time")</f>
        <v/>
      </c>
    </row>
    <row r="1557">
      <c r="A1557">
        <f>HYPERLINK("https://www.youtube.com/watch?v=VcClS8kGq-o", "Video")</f>
        <v/>
      </c>
      <c r="B1557" t="inlineStr">
        <is>
          <t>3:56</t>
        </is>
      </c>
      <c r="C1557" t="inlineStr">
        <is>
          <t>has bite-sized summaries of best-selling</t>
        </is>
      </c>
      <c r="D1557">
        <f>HYPERLINK("https://www.youtube.com/watch?v=VcClS8kGq-o&amp;t=236s", "Go to time")</f>
        <v/>
      </c>
    </row>
    <row r="1558">
      <c r="A1558">
        <f>HYPERLINK("https://www.youtube.com/watch?v=qdzNKQwkp-Y", "Video")</f>
        <v/>
      </c>
      <c r="B1558" t="inlineStr">
        <is>
          <t>4:02</t>
        </is>
      </c>
      <c r="C1558" t="inlineStr">
        <is>
          <t>But we do have a habit to
fall back on narratives,</t>
        </is>
      </c>
      <c r="D1558">
        <f>HYPERLINK("https://www.youtube.com/watch?v=qdzNKQwkp-Y&amp;t=242s", "Go to time")</f>
        <v/>
      </c>
    </row>
    <row r="1559">
      <c r="A1559">
        <f>HYPERLINK("https://www.youtube.com/watch?v=T6-xYFBnsx4", "Video")</f>
        <v/>
      </c>
      <c r="B1559" t="inlineStr">
        <is>
          <t>1:42</t>
        </is>
      </c>
      <c r="C1559" t="inlineStr">
        <is>
          <t>a little bit like chili you're eating</t>
        </is>
      </c>
      <c r="D1559">
        <f>HYPERLINK("https://www.youtube.com/watch?v=T6-xYFBnsx4&amp;t=102s", "Go to time")</f>
        <v/>
      </c>
    </row>
    <row r="1560">
      <c r="A1560">
        <f>HYPERLINK("https://www.youtube.com/watch?v=5U4S4ki4YZs", "Video")</f>
        <v/>
      </c>
      <c r="B1560" t="inlineStr">
        <is>
          <t>1:14</t>
        </is>
      </c>
      <c r="C1560" t="inlineStr">
        <is>
          <t>Tell us a little bit about the space.</t>
        </is>
      </c>
      <c r="D1560">
        <f>HYPERLINK("https://www.youtube.com/watch?v=5U4S4ki4YZs&amp;t=74s", "Go to time")</f>
        <v/>
      </c>
    </row>
    <row r="1561">
      <c r="A1561">
        <f>HYPERLINK("https://www.youtube.com/watch?v=5U4S4ki4YZs", "Video")</f>
        <v/>
      </c>
      <c r="B1561" t="inlineStr">
        <is>
          <t>3:03</t>
        </is>
      </c>
      <c r="C1561" t="inlineStr">
        <is>
          <t>but his studio is a bit overwhelming.</t>
        </is>
      </c>
      <c r="D1561">
        <f>HYPERLINK("https://www.youtube.com/watch?v=5U4S4ki4YZs&amp;t=183s", "Go to time")</f>
        <v/>
      </c>
    </row>
    <row r="1562">
      <c r="A1562">
        <f>HYPERLINK("https://www.youtube.com/watch?v=5U4S4ki4YZs", "Video")</f>
        <v/>
      </c>
      <c r="B1562" t="inlineStr">
        <is>
          <t>8:22</t>
        </is>
      </c>
      <c r="C1562" t="inlineStr">
        <is>
          <t>to interrogating our
habits and intentions.</t>
        </is>
      </c>
      <c r="D1562">
        <f>HYPERLINK("https://www.youtube.com/watch?v=5U4S4ki4YZs&amp;t=502s", "Go to time")</f>
        <v/>
      </c>
    </row>
    <row r="1563">
      <c r="A1563">
        <f>HYPERLINK("https://www.youtube.com/watch?v=5U4S4ki4YZs", "Video")</f>
        <v/>
      </c>
      <c r="B1563" t="inlineStr">
        <is>
          <t>8:25</t>
        </is>
      </c>
      <c r="C1563" t="inlineStr">
        <is>
          <t>Because while some habits can lock us</t>
        </is>
      </c>
      <c r="D1563">
        <f>HYPERLINK("https://www.youtube.com/watch?v=5U4S4ki4YZs&amp;t=505s", "Go to time")</f>
        <v/>
      </c>
    </row>
    <row r="1564">
      <c r="A1564">
        <f>HYPERLINK("https://www.youtube.com/watch?v=5U4S4ki4YZs", "Video")</f>
        <v/>
      </c>
      <c r="B1564" t="inlineStr">
        <is>
          <t>18:51</t>
        </is>
      </c>
      <c r="C1564" t="inlineStr">
        <is>
          <t>The comedian, Fred
Armisen used to do a bit</t>
        </is>
      </c>
      <c r="D1564">
        <f>HYPERLINK("https://www.youtube.com/watch?v=5U4S4ki4YZs&amp;t=1131s", "Go to time")</f>
        <v/>
      </c>
    </row>
    <row r="1565">
      <c r="A1565">
        <f>HYPERLINK("https://www.youtube.com/watch?v=5U4S4ki4YZs", "Video")</f>
        <v/>
      </c>
      <c r="B1565" t="inlineStr">
        <is>
          <t>19:40</t>
        </is>
      </c>
      <c r="C1565" t="inlineStr">
        <is>
          <t>and they both seem to embody a bit</t>
        </is>
      </c>
      <c r="D1565">
        <f>HYPERLINK("https://www.youtube.com/watch?v=5U4S4ki4YZs&amp;t=1180s", "Go to time")</f>
        <v/>
      </c>
    </row>
    <row r="1566">
      <c r="A1566">
        <f>HYPERLINK("https://www.youtube.com/watch?v=5U4S4ki4YZs", "Video")</f>
        <v/>
      </c>
      <c r="B1566" t="inlineStr">
        <is>
          <t>21:03</t>
        </is>
      </c>
      <c r="C1566" t="inlineStr">
        <is>
          <t>Because I think of it a
little bit of like a dream.</t>
        </is>
      </c>
      <c r="D1566">
        <f>HYPERLINK("https://www.youtube.com/watch?v=5U4S4ki4YZs&amp;t=1263s", "Go to time")</f>
        <v/>
      </c>
    </row>
    <row r="1567">
      <c r="A1567">
        <f>HYPERLINK("https://www.youtube.com/watch?v=5U4S4ki4YZs", "Video")</f>
        <v/>
      </c>
      <c r="B1567" t="inlineStr">
        <is>
          <t>21:43</t>
        </is>
      </c>
      <c r="C1567" t="inlineStr">
        <is>
          <t>Everything is so arbitrary
and abstract anyway</t>
        </is>
      </c>
      <c r="D1567">
        <f>HYPERLINK("https://www.youtube.com/watch?v=5U4S4ki4YZs&amp;t=1303s", "Go to time")</f>
        <v/>
      </c>
    </row>
    <row r="1568">
      <c r="A1568">
        <f>HYPERLINK("https://www.youtube.com/watch?v=5U4S4ki4YZs", "Video")</f>
        <v/>
      </c>
      <c r="B1568" t="inlineStr">
        <is>
          <t>29:11</t>
        </is>
      </c>
      <c r="C1568" t="inlineStr">
        <is>
          <t>or sometimes to become a bit obsessed</t>
        </is>
      </c>
      <c r="D1568">
        <f>HYPERLINK("https://www.youtube.com/watch?v=5U4S4ki4YZs&amp;t=1751s", "Go to time")</f>
        <v/>
      </c>
    </row>
    <row r="1569">
      <c r="A1569">
        <f>HYPERLINK("https://www.youtube.com/watch?v=yxRzX3MZr2U", "Video")</f>
        <v/>
      </c>
      <c r="B1569" t="inlineStr">
        <is>
          <t>2:56</t>
        </is>
      </c>
      <c r="C1569" t="inlineStr">
        <is>
          <t>I always thought that was a bit glib</t>
        </is>
      </c>
      <c r="D1569">
        <f>HYPERLINK("https://www.youtube.com/watch?v=yxRzX3MZr2U&amp;t=176s", "Go to time")</f>
        <v/>
      </c>
    </row>
    <row r="1570">
      <c r="A1570">
        <f>HYPERLINK("https://www.youtube.com/watch?v=yxRzX3MZr2U", "Video")</f>
        <v/>
      </c>
      <c r="B1570" t="inlineStr">
        <is>
          <t>5:15</t>
        </is>
      </c>
      <c r="C1570" t="inlineStr">
        <is>
          <t>So the black hole does
get a little bit smaller</t>
        </is>
      </c>
      <c r="D1570">
        <f>HYPERLINK("https://www.youtube.com/watch?v=yxRzX3MZr2U&amp;t=315s", "Go to time")</f>
        <v/>
      </c>
    </row>
    <row r="1571">
      <c r="A1571">
        <f>HYPERLINK("https://www.youtube.com/watch?v=yxRzX3MZr2U", "Video")</f>
        <v/>
      </c>
      <c r="B1571" t="inlineStr">
        <is>
          <t>8:27</t>
        </is>
      </c>
      <c r="C1571" t="inlineStr">
        <is>
          <t>and your quantum bits are
obliterated at the event horizon;</t>
        </is>
      </c>
      <c r="D1571">
        <f>HYPERLINK("https://www.youtube.com/watch?v=yxRzX3MZr2U&amp;t=507s", "Go to time")</f>
        <v/>
      </c>
    </row>
    <row r="1572">
      <c r="A1572">
        <f>HYPERLINK("https://www.youtube.com/watch?v=011JUVL7gYY", "Video")</f>
        <v/>
      </c>
      <c r="B1572" t="inlineStr">
        <is>
          <t>1:23</t>
        </is>
      </c>
      <c r="C1572" t="inlineStr">
        <is>
          <t>Community they got out a little bit</t>
        </is>
      </c>
      <c r="D1572">
        <f>HYPERLINK("https://www.youtube.com/watch?v=011JUVL7gYY&amp;t=83s", "Go to time")</f>
        <v/>
      </c>
    </row>
    <row r="1573">
      <c r="A1573">
        <f>HYPERLINK("https://www.youtube.com/watch?v=011JUVL7gYY", "Video")</f>
        <v/>
      </c>
      <c r="B1573" t="inlineStr">
        <is>
          <t>1:43</t>
        </is>
      </c>
      <c r="C1573" t="inlineStr">
        <is>
          <t>community that was certainly um bitter</t>
        </is>
      </c>
      <c r="D1573">
        <f>HYPERLINK("https://www.youtube.com/watch?v=011JUVL7gYY&amp;t=103s", "Go to time")</f>
        <v/>
      </c>
    </row>
    <row r="1574">
      <c r="A1574">
        <f>HYPERLINK("https://www.youtube.com/watch?v=011JUVL7gYY", "Video")</f>
        <v/>
      </c>
      <c r="B1574" t="inlineStr">
        <is>
          <t>1:54</t>
        </is>
      </c>
      <c r="C1574" t="inlineStr">
        <is>
          <t>nevertheless were I think a little bit</t>
        </is>
      </c>
      <c r="D1574">
        <f>HYPERLINK("https://www.youtube.com/watch?v=011JUVL7gYY&amp;t=114s", "Go to time")</f>
        <v/>
      </c>
    </row>
    <row r="1575">
      <c r="A1575">
        <f>HYPERLINK("https://www.youtube.com/watch?v=r3yj1Fd981c", "Video")</f>
        <v/>
      </c>
      <c r="B1575" t="inlineStr">
        <is>
          <t>5:20</t>
        </is>
      </c>
      <c r="C1575" t="inlineStr">
        <is>
          <t>is also a bit of a Raymond Chandler uh</t>
        </is>
      </c>
      <c r="D1575">
        <f>HYPERLINK("https://www.youtube.com/watch?v=r3yj1Fd981c&amp;t=320s", "Go to time")</f>
        <v/>
      </c>
    </row>
    <row r="1576">
      <c r="A1576">
        <f>HYPERLINK("https://www.youtube.com/watch?v=icuRP74BPd4", "Video")</f>
        <v/>
      </c>
      <c r="B1576" t="inlineStr">
        <is>
          <t>4:43</t>
        </is>
      </c>
      <c r="C1576" t="inlineStr">
        <is>
          <t>a little bit</t>
        </is>
      </c>
      <c r="D1576">
        <f>HYPERLINK("https://www.youtube.com/watch?v=icuRP74BPd4&amp;t=283s", "Go to time")</f>
        <v/>
      </c>
    </row>
    <row r="1577">
      <c r="A1577">
        <f>HYPERLINK("https://www.youtube.com/watch?v=vhwlaeymkeU", "Video")</f>
        <v/>
      </c>
      <c r="B1577" t="inlineStr">
        <is>
          <t>9:11</t>
        </is>
      </c>
      <c r="C1577" t="inlineStr">
        <is>
          <t>We want to be a little bit – a place where
people feel like I never belonged in a synagogue.</t>
        </is>
      </c>
      <c r="D1577">
        <f>HYPERLINK("https://www.youtube.com/watch?v=vhwlaeymkeU&amp;t=551s", "Go to time")</f>
        <v/>
      </c>
    </row>
    <row r="1578">
      <c r="A1578">
        <f>HYPERLINK("https://www.youtube.com/watch?v=0CJ8g8w1huc", "Video")</f>
        <v/>
      </c>
      <c r="B1578" t="inlineStr">
        <is>
          <t>0:56</t>
        </is>
      </c>
      <c r="C1578" t="inlineStr">
        <is>
          <t>not less, three drivers that account for the
most expensive, ambitious projects humans</t>
        </is>
      </c>
      <c r="D1578">
        <f>HYPERLINK("https://www.youtube.com/watch?v=0CJ8g8w1huc&amp;t=56s", "Go to time")</f>
        <v/>
      </c>
    </row>
    <row r="1579">
      <c r="A1579">
        <f>HYPERLINK("https://www.youtube.com/watch?v=0CJ8g8w1huc", "Video")</f>
        <v/>
      </c>
      <c r="B1579" t="inlineStr">
        <is>
          <t>3:24</t>
        </is>
      </c>
      <c r="C1579" t="inlineStr">
        <is>
          <t>all the traditional sciences and engineering
frontiers are captured in any ambitious goal</t>
        </is>
      </c>
      <c r="D1579">
        <f>HYPERLINK("https://www.youtube.com/watch?v=0CJ8g8w1huc&amp;t=204s", "Go to time")</f>
        <v/>
      </c>
    </row>
    <row r="1580">
      <c r="A1580">
        <f>HYPERLINK("https://www.youtube.com/watch?v=eUlXmWWPNy4", "Video")</f>
        <v/>
      </c>
      <c r="B1580" t="inlineStr">
        <is>
          <t>4:53</t>
        </is>
      </c>
      <c r="C1580" t="inlineStr">
        <is>
          <t>little bit idyllic and hunter-gatherers went 
through intensely difficult times, periods of</t>
        </is>
      </c>
      <c r="D1580">
        <f>HYPERLINK("https://www.youtube.com/watch?v=eUlXmWWPNy4&amp;t=293s", "Go to time")</f>
        <v/>
      </c>
    </row>
    <row r="1581">
      <c r="A1581">
        <f>HYPERLINK("https://www.youtube.com/watch?v=eUlXmWWPNy4", "Video")</f>
        <v/>
      </c>
      <c r="B1581" t="inlineStr">
        <is>
          <t>6:27</t>
        </is>
      </c>
      <c r="C1581" t="inlineStr">
        <is>
          <t>was very close to the amount of energy you got 
out. Everybody had to do their bit. In farming</t>
        </is>
      </c>
      <c r="D1581">
        <f>HYPERLINK("https://www.youtube.com/watch?v=eUlXmWWPNy4&amp;t=387s", "Go to time")</f>
        <v/>
      </c>
    </row>
    <row r="1582">
      <c r="A1582">
        <f>HYPERLINK("https://www.youtube.com/watch?v=eUlXmWWPNy4", "Video")</f>
        <v/>
      </c>
      <c r="B1582" t="inlineStr">
        <is>
          <t>10:43</t>
        </is>
      </c>
      <c r="C1582" t="inlineStr">
        <is>
          <t>of generating huge amounts of wealth. Now, the 
best way to generate wealth is to inherit a bit</t>
        </is>
      </c>
      <c r="D1582">
        <f>HYPERLINK("https://www.youtube.com/watch?v=eUlXmWWPNy4&amp;t=643s", "Go to time")</f>
        <v/>
      </c>
    </row>
    <row r="1583">
      <c r="A1583">
        <f>HYPERLINK("https://www.youtube.com/watch?v=eUlXmWWPNy4", "Video")</f>
        <v/>
      </c>
      <c r="B1583" t="inlineStr">
        <is>
          <t>13:59</t>
        </is>
      </c>
      <c r="C1583" t="inlineStr">
        <is>
          <t>interview processes that just make everyone a 
little bit numb. The interviewer goes through</t>
        </is>
      </c>
      <c r="D1583">
        <f>HYPERLINK("https://www.youtube.com/watch?v=eUlXmWWPNy4&amp;t=839s", "Go to time")</f>
        <v/>
      </c>
    </row>
    <row r="1584">
      <c r="A1584">
        <f>HYPERLINK("https://www.youtube.com/watch?v=eUlXmWWPNy4", "Video")</f>
        <v/>
      </c>
      <c r="B1584" t="inlineStr">
        <is>
          <t>14:10</t>
        </is>
      </c>
      <c r="C1584" t="inlineStr">
        <is>
          <t>it's a bit phony. Neither side really learns that 
much. But I think that's also just the beginning</t>
        </is>
      </c>
      <c r="D1584">
        <f>HYPERLINK("https://www.youtube.com/watch?v=eUlXmWWPNy4&amp;t=850s", "Go to time")</f>
        <v/>
      </c>
    </row>
    <row r="1585">
      <c r="A1585">
        <f>HYPERLINK("https://www.youtube.com/watch?v=7u8A0AoDRdw", "Video")</f>
        <v/>
      </c>
      <c r="B1585" t="inlineStr">
        <is>
          <t>4:43</t>
        </is>
      </c>
      <c r="C1585" t="inlineStr">
        <is>
          <t>I have to be a little bit careful</t>
        </is>
      </c>
      <c r="D1585">
        <f>HYPERLINK("https://www.youtube.com/watch?v=7u8A0AoDRdw&amp;t=283s", "Go to time")</f>
        <v/>
      </c>
    </row>
    <row r="1586">
      <c r="A1586">
        <f>HYPERLINK("https://www.youtube.com/watch?v=7u8A0AoDRdw", "Video")</f>
        <v/>
      </c>
      <c r="B1586" t="inlineStr">
        <is>
          <t>6:50</t>
        </is>
      </c>
      <c r="C1586" t="inlineStr">
        <is>
          <t>It requires changing your habits.</t>
        </is>
      </c>
      <c r="D1586">
        <f>HYPERLINK("https://www.youtube.com/watch?v=7u8A0AoDRdw&amp;t=410s", "Go to time")</f>
        <v/>
      </c>
    </row>
    <row r="1587">
      <c r="A1587">
        <f>HYPERLINK("https://www.youtube.com/watch?v=FW8Rsil0lqk", "Video")</f>
        <v/>
      </c>
      <c r="B1587" t="inlineStr">
        <is>
          <t>1:31</t>
        </is>
      </c>
      <c r="C1587" t="inlineStr">
        <is>
          <t>light years away from us and we simply orbit 
in a stable orbit around the black hole.</t>
        </is>
      </c>
      <c r="D1587">
        <f>HYPERLINK("https://www.youtube.com/watch?v=FW8Rsil0lqk&amp;t=91s", "Go to time")</f>
        <v/>
      </c>
    </row>
    <row r="1588">
      <c r="A1588">
        <f>HYPERLINK("https://www.youtube.com/watch?v=FW8Rsil0lqk", "Video")</f>
        <v/>
      </c>
      <c r="B1588" t="inlineStr">
        <is>
          <t>2:39</t>
        </is>
      </c>
      <c r="C1588" t="inlineStr">
        <is>
          <t>Well, I'm a physicist. We can then use these 
bits of information to go backwards and</t>
        </is>
      </c>
      <c r="D1588">
        <f>HYPERLINK("https://www.youtube.com/watch?v=FW8Rsil0lqk&amp;t=159s", "Go to time")</f>
        <v/>
      </c>
    </row>
    <row r="1589">
      <c r="A1589">
        <f>HYPERLINK("https://www.youtube.com/watch?v=8T4dr_YQxrQ", "Video")</f>
        <v/>
      </c>
      <c r="B1589" t="inlineStr">
        <is>
          <t>20:58</t>
        </is>
      </c>
      <c r="C1589" t="inlineStr">
        <is>
          <t>and tolerant society, the inhabitants of</t>
        </is>
      </c>
      <c r="D1589">
        <f>HYPERLINK("https://www.youtube.com/watch?v=8T4dr_YQxrQ&amp;t=1258s", "Go to time")</f>
        <v/>
      </c>
    </row>
    <row r="1590">
      <c r="A1590">
        <f>HYPERLINK("https://www.youtube.com/watch?v=8T4dr_YQxrQ", "Video")</f>
        <v/>
      </c>
      <c r="B1590" t="inlineStr">
        <is>
          <t>51:41</t>
        </is>
      </c>
      <c r="C1590" t="inlineStr">
        <is>
          <t>understanding your habitual
entanglement with thought</t>
        </is>
      </c>
      <c r="D1590">
        <f>HYPERLINK("https://www.youtube.com/watch?v=8T4dr_YQxrQ&amp;t=3101s", "Go to time")</f>
        <v/>
      </c>
    </row>
    <row r="1591">
      <c r="A1591">
        <f>HYPERLINK("https://www.youtube.com/watch?v=8T4dr_YQxrQ", "Video")</f>
        <v/>
      </c>
      <c r="B1591" t="inlineStr">
        <is>
          <t>87:29</t>
        </is>
      </c>
      <c r="C1591" t="inlineStr">
        <is>
          <t>and bad habits here
that we have to be more</t>
        </is>
      </c>
      <c r="D1591">
        <f>HYPERLINK("https://www.youtube.com/watch?v=8T4dr_YQxrQ&amp;t=5249s", "Go to time")</f>
        <v/>
      </c>
    </row>
    <row r="1592">
      <c r="A1592">
        <f>HYPERLINK("https://www.youtube.com/watch?v=8T4dr_YQxrQ", "Video")</f>
        <v/>
      </c>
      <c r="B1592" t="inlineStr">
        <is>
          <t>98:23</t>
        </is>
      </c>
      <c r="C1592" t="inlineStr">
        <is>
          <t>And this is the space I inhabit.</t>
        </is>
      </c>
      <c r="D1592">
        <f>HYPERLINK("https://www.youtube.com/watch?v=8T4dr_YQxrQ&amp;t=5903s", "Go to time")</f>
        <v/>
      </c>
    </row>
    <row r="1593">
      <c r="A1593">
        <f>HYPERLINK("https://www.youtube.com/watch?v=-WVpFr3raKo", "Video")</f>
        <v/>
      </c>
      <c r="B1593" t="inlineStr">
        <is>
          <t>0:51</t>
        </is>
      </c>
      <c r="C1593" t="inlineStr">
        <is>
          <t>person who was a little bit separate in</t>
        </is>
      </c>
      <c r="D1593">
        <f>HYPERLINK("https://www.youtube.com/watch?v=-WVpFr3raKo&amp;t=51s", "Go to time")</f>
        <v/>
      </c>
    </row>
    <row r="1594">
      <c r="A1594">
        <f>HYPERLINK("https://www.youtube.com/watch?v=-WVpFr3raKo", "Video")</f>
        <v/>
      </c>
      <c r="B1594" t="inlineStr">
        <is>
          <t>5:45</t>
        </is>
      </c>
      <c r="C1594" t="inlineStr">
        <is>
          <t>uh Gore a little bit more so that's how</t>
        </is>
      </c>
      <c r="D1594">
        <f>HYPERLINK("https://www.youtube.com/watch?v=-WVpFr3raKo&amp;t=345s", "Go to time")</f>
        <v/>
      </c>
    </row>
    <row r="1595">
      <c r="A1595">
        <f>HYPERLINK("https://www.youtube.com/watch?v=-WVpFr3raKo", "Video")</f>
        <v/>
      </c>
      <c r="B1595" t="inlineStr">
        <is>
          <t>8:58</t>
        </is>
      </c>
      <c r="C1595" t="inlineStr">
        <is>
          <t>again this is a little bit of the look</t>
        </is>
      </c>
      <c r="D1595">
        <f>HYPERLINK("https://www.youtube.com/watch?v=-WVpFr3raKo&amp;t=538s", "Go to time")</f>
        <v/>
      </c>
    </row>
    <row r="1596">
      <c r="A1596">
        <f>HYPERLINK("https://www.youtube.com/watch?v=xvIZjGEBvI8", "Video")</f>
        <v/>
      </c>
      <c r="B1596" t="inlineStr">
        <is>
          <t>5:42</t>
        </is>
      </c>
      <c r="C1596" t="inlineStr">
        <is>
          <t>two to develop a richer, deeper relationship,
and there you need to be a bit selective in</t>
        </is>
      </c>
      <c r="D1596">
        <f>HYPERLINK("https://www.youtube.com/watch?v=xvIZjGEBvI8&amp;t=342s", "Go to time")</f>
        <v/>
      </c>
    </row>
    <row r="1597">
      <c r="A1597">
        <f>HYPERLINK("https://www.youtube.com/watch?v=W2Ea3gtbEyI", "Video")</f>
        <v/>
      </c>
      <c r="B1597" t="inlineStr">
        <is>
          <t>0:27</t>
        </is>
      </c>
      <c r="C1597" t="inlineStr">
        <is>
          <t>helps you just develop a habit that</t>
        </is>
      </c>
      <c r="D1597">
        <f>HYPERLINK("https://www.youtube.com/watch?v=W2Ea3gtbEyI&amp;t=27s", "Go to time")</f>
        <v/>
      </c>
    </row>
    <row r="1598">
      <c r="A1598">
        <f>HYPERLINK("https://www.youtube.com/watch?v=W2Ea3gtbEyI", "Video")</f>
        <v/>
      </c>
      <c r="B1598" t="inlineStr">
        <is>
          <t>1:35</t>
        </is>
      </c>
      <c r="C1598" t="inlineStr">
        <is>
          <t>transactional costs are a little bit</t>
        </is>
      </c>
      <c r="D1598">
        <f>HYPERLINK("https://www.youtube.com/watch?v=W2Ea3gtbEyI&amp;t=95s", "Go to time")</f>
        <v/>
      </c>
    </row>
    <row r="1599">
      <c r="A1599">
        <f>HYPERLINK("https://www.youtube.com/watch?v=dZIw9WKP13k", "Video")</f>
        <v/>
      </c>
      <c r="B1599" t="inlineStr">
        <is>
          <t>1:27</t>
        </is>
      </c>
      <c r="C1599" t="inlineStr">
        <is>
          <t>you in your space un to orbit you know</t>
        </is>
      </c>
      <c r="D1599">
        <f>HYPERLINK("https://www.youtube.com/watch?v=dZIw9WKP13k&amp;t=87s", "Go to time")</f>
        <v/>
      </c>
    </row>
    <row r="1600">
      <c r="A1600">
        <f>HYPERLINK("https://www.youtube.com/watch?v=dZIw9WKP13k", "Video")</f>
        <v/>
      </c>
      <c r="B1600" t="inlineStr">
        <is>
          <t>1:56</t>
        </is>
      </c>
      <c r="C1600" t="inlineStr">
        <is>
          <t>orbit is about 120 bucks so the price</t>
        </is>
      </c>
      <c r="D1600">
        <f>HYPERLINK("https://www.youtube.com/watch?v=dZIw9WKP13k&amp;t=116s", "Go to time")</f>
        <v/>
      </c>
    </row>
    <row r="1601">
      <c r="A1601">
        <f>HYPERLINK("https://www.youtube.com/watch?v=Vvp1WrhXlCU", "Video")</f>
        <v/>
      </c>
      <c r="B1601" t="inlineStr">
        <is>
          <t>1:05</t>
        </is>
      </c>
      <c r="C1601" t="inlineStr">
        <is>
          <t>profession take the slightest bit of</t>
        </is>
      </c>
      <c r="D1601">
        <f>HYPERLINK("https://www.youtube.com/watch?v=Vvp1WrhXlCU&amp;t=65s", "Go to time")</f>
        <v/>
      </c>
    </row>
    <row r="1602">
      <c r="A1602">
        <f>HYPERLINK("https://www.youtube.com/watch?v=Vvp1WrhXlCU", "Video")</f>
        <v/>
      </c>
      <c r="B1602" t="inlineStr">
        <is>
          <t>4:18</t>
        </is>
      </c>
      <c r="C1602" t="inlineStr">
        <is>
          <t>understand and it's a bit of a care you</t>
        </is>
      </c>
      <c r="D1602">
        <f>HYPERLINK("https://www.youtube.com/watch?v=Vvp1WrhXlCU&amp;t=258s", "Go to time")</f>
        <v/>
      </c>
    </row>
    <row r="1603">
      <c r="A1603">
        <f>HYPERLINK("https://www.youtube.com/watch?v=Vvp1WrhXlCU", "Video")</f>
        <v/>
      </c>
      <c r="B1603" t="inlineStr">
        <is>
          <t>5:56</t>
        </is>
      </c>
      <c r="C1603" t="inlineStr">
        <is>
          <t>diagnosis and I've talked a little bit</t>
        </is>
      </c>
      <c r="D1603">
        <f>HYPERLINK("https://www.youtube.com/watch?v=Vvp1WrhXlCU&amp;t=356s", "Go to time")</f>
        <v/>
      </c>
    </row>
    <row r="1604">
      <c r="A1604">
        <f>HYPERLINK("https://www.youtube.com/watch?v=BzphqTn1wPc", "Video")</f>
        <v/>
      </c>
      <c r="B1604" t="inlineStr">
        <is>
          <t>0:59</t>
        </is>
      </c>
      <c r="C1604" t="inlineStr">
        <is>
          <t>little bit about look at what has been</t>
        </is>
      </c>
      <c r="D1604">
        <f>HYPERLINK("https://www.youtube.com/watch?v=BzphqTn1wPc&amp;t=59s", "Go to time")</f>
        <v/>
      </c>
    </row>
    <row r="1605">
      <c r="A1605">
        <f>HYPERLINK("https://www.youtube.com/watch?v=FEKrobOkGXU", "Video")</f>
        <v/>
      </c>
      <c r="B1605" t="inlineStr">
        <is>
          <t>3:36</t>
        </is>
      </c>
      <c r="C1605" t="inlineStr">
        <is>
          <t>China a little bit and you should be</t>
        </is>
      </c>
      <c r="D1605">
        <f>HYPERLINK("https://www.youtube.com/watch?v=FEKrobOkGXU&amp;t=216s", "Go to time")</f>
        <v/>
      </c>
    </row>
    <row r="1606">
      <c r="A1606">
        <f>HYPERLINK("https://www.youtube.com/watch?v=iMjjlPXtDWM", "Video")</f>
        <v/>
      </c>
      <c r="B1606" t="inlineStr">
        <is>
          <t>0:09</t>
        </is>
      </c>
      <c r="C1606" t="inlineStr">
        <is>
          <t>be at least the Arbiter of good taste</t>
        </is>
      </c>
      <c r="D1606">
        <f>HYPERLINK("https://www.youtube.com/watch?v=iMjjlPXtDWM&amp;t=9s", "Go to time")</f>
        <v/>
      </c>
    </row>
    <row r="1607">
      <c r="A1607">
        <f>HYPERLINK("https://www.youtube.com/watch?v=qhGL4APNou4", "Video")</f>
        <v/>
      </c>
      <c r="B1607" t="inlineStr">
        <is>
          <t>11:10</t>
        </is>
      </c>
      <c r="C1607" t="inlineStr">
        <is>
          <t>drink a little bit of coffee. So, so I'm</t>
        </is>
      </c>
      <c r="D1607">
        <f>HYPERLINK("https://www.youtube.com/watch?v=qhGL4APNou4&amp;t=670s", "Go to time")</f>
        <v/>
      </c>
    </row>
    <row r="1608">
      <c r="A1608">
        <f>HYPERLINK("https://www.youtube.com/watch?v=6czDc73RPp4", "Video")</f>
        <v/>
      </c>
      <c r="B1608" t="inlineStr">
        <is>
          <t>1:03</t>
        </is>
      </c>
      <c r="C1608" t="inlineStr">
        <is>
          <t>know ballet I fear for a little bit</t>
        </is>
      </c>
      <c r="D1608">
        <f>HYPERLINK("https://www.youtube.com/watch?v=6czDc73RPp4&amp;t=63s", "Go to time")</f>
        <v/>
      </c>
    </row>
    <row r="1609">
      <c r="A1609">
        <f>HYPERLINK("https://www.youtube.com/watch?v=6czDc73RPp4", "Video")</f>
        <v/>
      </c>
      <c r="B1609" t="inlineStr">
        <is>
          <t>2:44</t>
        </is>
      </c>
      <c r="C1609" t="inlineStr">
        <is>
          <t>bit I mean in some ways I guess I am</t>
        </is>
      </c>
      <c r="D1609">
        <f>HYPERLINK("https://www.youtube.com/watch?v=6czDc73RPp4&amp;t=164s", "Go to time")</f>
        <v/>
      </c>
    </row>
    <row r="1610">
      <c r="A1610">
        <f>HYPERLINK("https://www.youtube.com/watch?v=QYdYpKc9icQ", "Video")</f>
        <v/>
      </c>
      <c r="B1610" t="inlineStr">
        <is>
          <t>2:27</t>
        </is>
      </c>
      <c r="C1610" t="inlineStr">
        <is>
          <t>but there's actually
quite a bit of variation</t>
        </is>
      </c>
      <c r="D1610">
        <f>HYPERLINK("https://www.youtube.com/watch?v=QYdYpKc9icQ&amp;t=147s", "Go to time")</f>
        <v/>
      </c>
    </row>
    <row r="1611">
      <c r="A1611">
        <f>HYPERLINK("https://www.youtube.com/watch?v=Y1IMCrDbYCo", "Video")</f>
        <v/>
      </c>
      <c r="B1611" t="inlineStr">
        <is>
          <t>1:48</t>
        </is>
      </c>
      <c r="C1611" t="inlineStr">
        <is>
          <t>so fragmented we have pit bits and</t>
        </is>
      </c>
      <c r="D1611">
        <f>HYPERLINK("https://www.youtube.com/watch?v=Y1IMCrDbYCo&amp;t=108s", "Go to time")</f>
        <v/>
      </c>
    </row>
    <row r="1612">
      <c r="A1612">
        <f>HYPERLINK("https://www.youtube.com/watch?v=U3qHaiqwkLY", "Video")</f>
        <v/>
      </c>
      <c r="B1612" t="inlineStr">
        <is>
          <t>5:05</t>
        </is>
      </c>
      <c r="C1612" t="inlineStr">
        <is>
          <t>of race a little bit more.</t>
        </is>
      </c>
      <c r="D1612">
        <f>HYPERLINK("https://www.youtube.com/watch?v=U3qHaiqwkLY&amp;t=305s", "Go to time")</f>
        <v/>
      </c>
    </row>
    <row r="1613">
      <c r="A1613">
        <f>HYPERLINK("https://www.youtube.com/watch?v=U3qHaiqwkLY", "Video")</f>
        <v/>
      </c>
      <c r="B1613" t="inlineStr">
        <is>
          <t>5:06</t>
        </is>
      </c>
      <c r="C1613" t="inlineStr">
        <is>
          <t>You know, it's a bit of a sticky concept</t>
        </is>
      </c>
      <c r="D1613">
        <f>HYPERLINK("https://www.youtube.com/watch?v=U3qHaiqwkLY&amp;t=306s", "Go to time")</f>
        <v/>
      </c>
    </row>
    <row r="1614">
      <c r="A1614">
        <f>HYPERLINK("https://www.youtube.com/watch?v=U3qHaiqwkLY", "Video")</f>
        <v/>
      </c>
      <c r="B1614" t="inlineStr">
        <is>
          <t>9:00</t>
        </is>
      </c>
      <c r="C1614" t="inlineStr">
        <is>
          <t>I'm curious to dig into
that a little bit more.</t>
        </is>
      </c>
      <c r="D1614">
        <f>HYPERLINK("https://www.youtube.com/watch?v=U3qHaiqwkLY&amp;t=540s", "Go to time")</f>
        <v/>
      </c>
    </row>
    <row r="1615">
      <c r="A1615">
        <f>HYPERLINK("https://www.youtube.com/watch?v=U3qHaiqwkLY", "Video")</f>
        <v/>
      </c>
      <c r="B1615" t="inlineStr">
        <is>
          <t>12:59</t>
        </is>
      </c>
      <c r="C1615" t="inlineStr">
        <is>
          <t>and I think we should all take
them a bit less seriously.</t>
        </is>
      </c>
      <c r="D1615">
        <f>HYPERLINK("https://www.youtube.com/watch?v=U3qHaiqwkLY&amp;t=779s", "Go to time")</f>
        <v/>
      </c>
    </row>
    <row r="1616">
      <c r="A1616">
        <f>HYPERLINK("https://www.youtube.com/watch?v=U3qHaiqwkLY", "Video")</f>
        <v/>
      </c>
      <c r="B1616" t="inlineStr">
        <is>
          <t>24:46</t>
        </is>
      </c>
      <c r="C1616" t="inlineStr">
        <is>
          <t>and so I think it matters quite a bit.</t>
        </is>
      </c>
      <c r="D1616">
        <f>HYPERLINK("https://www.youtube.com/watch?v=U3qHaiqwkLY&amp;t=1486s", "Go to time")</f>
        <v/>
      </c>
    </row>
    <row r="1617">
      <c r="A1617">
        <f>HYPERLINK("https://www.youtube.com/watch?v=U3qHaiqwkLY", "Video")</f>
        <v/>
      </c>
      <c r="B1617" t="inlineStr">
        <is>
          <t>35:19</t>
        </is>
      </c>
      <c r="C1617" t="inlineStr">
        <is>
          <t>from sort of like a bit
of a philosophical sense,</t>
        </is>
      </c>
      <c r="D1617">
        <f>HYPERLINK("https://www.youtube.com/watch?v=U3qHaiqwkLY&amp;t=2119s", "Go to time")</f>
        <v/>
      </c>
    </row>
    <row r="1618">
      <c r="A1618">
        <f>HYPERLINK("https://www.youtube.com/watch?v=U3qHaiqwkLY", "Video")</f>
        <v/>
      </c>
      <c r="B1618" t="inlineStr">
        <is>
          <t>35:22</t>
        </is>
      </c>
      <c r="C1618" t="inlineStr">
        <is>
          <t>do you feel that it's in
any way somewhat sad a bit</t>
        </is>
      </c>
      <c r="D1618">
        <f>HYPERLINK("https://www.youtube.com/watch?v=U3qHaiqwkLY&amp;t=2122s", "Go to time")</f>
        <v/>
      </c>
    </row>
    <row r="1619">
      <c r="A1619">
        <f>HYPERLINK("https://www.youtube.com/watch?v=i13s7nzOLOE", "Video")</f>
        <v/>
      </c>
      <c r="B1619" t="inlineStr">
        <is>
          <t>3:06</t>
        </is>
      </c>
      <c r="C1619" t="inlineStr">
        <is>
          <t>But we make these arbitrary judgments on what's
acceptable and what isn\'92t, that have nothing</t>
        </is>
      </c>
      <c r="D1619">
        <f>HYPERLINK("https://www.youtube.com/watch?v=i13s7nzOLOE&amp;t=186s", "Go to time")</f>
        <v/>
      </c>
    </row>
    <row r="1620">
      <c r="A1620">
        <f>HYPERLINK("https://www.youtube.com/watch?v=i13s7nzOLOE", "Video")</f>
        <v/>
      </c>
      <c r="B1620" t="inlineStr">
        <is>
          <t>3:43</t>
        </is>
      </c>
      <c r="C1620" t="inlineStr">
        <is>
          <t>little bit, you don't feel trapped. 
It doesn't mean the door has to be swung</t>
        </is>
      </c>
      <c r="D1620">
        <f>HYPERLINK("https://www.youtube.com/watch?v=i13s7nzOLOE&amp;t=223s", "Go to time")</f>
        <v/>
      </c>
    </row>
    <row r="1621">
      <c r="A1621">
        <f>HYPERLINK("https://www.youtube.com/watch?v=i13s7nzOLOE", "Video")</f>
        <v/>
      </c>
      <c r="B1621" t="inlineStr">
        <is>
          <t>3:47</t>
        </is>
      </c>
      <c r="C1621" t="inlineStr">
        <is>
          <t>wide open, but, you know, the fact that it's
open a little bit doesn't mean that the</t>
        </is>
      </c>
      <c r="D1621">
        <f>HYPERLINK("https://www.youtube.com/watch?v=i13s7nzOLOE&amp;t=227s", "Go to time")</f>
        <v/>
      </c>
    </row>
    <row r="1622">
      <c r="A1622">
        <f>HYPERLINK("https://www.youtube.com/watch?v=Pyo9ctq8BMA", "Video")</f>
        <v/>
      </c>
      <c r="B1622" t="inlineStr">
        <is>
          <t>1:30</t>
        </is>
      </c>
      <c r="C1622" t="inlineStr">
        <is>
          <t>um you know it is a little bit more</t>
        </is>
      </c>
      <c r="D1622">
        <f>HYPERLINK("https://www.youtube.com/watch?v=Pyo9ctq8BMA&amp;t=90s", "Go to time")</f>
        <v/>
      </c>
    </row>
    <row r="1623">
      <c r="A1623">
        <f>HYPERLINK("https://www.youtube.com/watch?v=RCj2kPD-i4I", "Video")</f>
        <v/>
      </c>
      <c r="B1623" t="inlineStr">
        <is>
          <t>2:31</t>
        </is>
      </c>
      <c r="C1623" t="inlineStr">
        <is>
          <t>all the time or I'll be out chasing rabbits
or something.</t>
        </is>
      </c>
      <c r="D1623">
        <f>HYPERLINK("https://www.youtube.com/watch?v=RCj2kPD-i4I&amp;t=151s", "Go to time")</f>
        <v/>
      </c>
    </row>
    <row r="1624">
      <c r="A1624">
        <f>HYPERLINK("https://www.youtube.com/watch?v=V3OjpC2LR4k", "Video")</f>
        <v/>
      </c>
      <c r="B1624" t="inlineStr">
        <is>
          <t>2:47</t>
        </is>
      </c>
      <c r="C1624" t="inlineStr">
        <is>
          <t>You can try to understand
a little bit more</t>
        </is>
      </c>
      <c r="D1624">
        <f>HYPERLINK("https://www.youtube.com/watch?v=V3OjpC2LR4k&amp;t=167s", "Go to time")</f>
        <v/>
      </c>
    </row>
    <row r="1625">
      <c r="A1625">
        <f>HYPERLINK("https://www.youtube.com/watch?v=uKvRtR5twU8", "Video")</f>
        <v/>
      </c>
      <c r="B1625" t="inlineStr">
        <is>
          <t>0:33</t>
        </is>
      </c>
      <c r="C1625" t="inlineStr">
        <is>
          <t>So, in fact, skateboarding might be a little
bit dull on the moon and Mars.</t>
        </is>
      </c>
      <c r="D1625">
        <f>HYPERLINK("https://www.youtube.com/watch?v=uKvRtR5twU8&amp;t=33s", "Go to time")</f>
        <v/>
      </c>
    </row>
    <row r="1626">
      <c r="A1626">
        <f>HYPERLINK("https://www.youtube.com/watch?v=uKvRtR5twU8", "Video")</f>
        <v/>
      </c>
      <c r="B1626" t="inlineStr">
        <is>
          <t>0:41</t>
        </is>
      </c>
      <c r="C1626" t="inlineStr">
        <is>
          <t>So you'd probably be a bit safer.</t>
        </is>
      </c>
      <c r="D1626">
        <f>HYPERLINK("https://www.youtube.com/watch?v=uKvRtR5twU8&amp;t=41s", "Go to time")</f>
        <v/>
      </c>
    </row>
    <row r="1627">
      <c r="A1627">
        <f>HYPERLINK("https://www.youtube.com/watch?v=uKvRtR5twU8", "Video")</f>
        <v/>
      </c>
      <c r="B1627" t="inlineStr">
        <is>
          <t>1:00</t>
        </is>
      </c>
      <c r="C1627" t="inlineStr">
        <is>
          <t>There's a moon called Titan that orbits Saturn,
and Titan's a really big object.</t>
        </is>
      </c>
      <c r="D1627">
        <f>HYPERLINK("https://www.youtube.com/watch?v=uKvRtR5twU8&amp;t=60s", "Go to time")</f>
        <v/>
      </c>
    </row>
    <row r="1628">
      <c r="A1628">
        <f>HYPERLINK("https://www.youtube.com/watch?v=uKvRtR5twU8", "Video")</f>
        <v/>
      </c>
      <c r="B1628" t="inlineStr">
        <is>
          <t>1:18</t>
        </is>
      </c>
      <c r="C1628" t="inlineStr">
        <is>
          <t>It's actually mostly nitrogen, a little bit
of carbon dioxide.</t>
        </is>
      </c>
      <c r="D1628">
        <f>HYPERLINK("https://www.youtube.com/watch?v=uKvRtR5twU8&amp;t=78s", "Go to time")</f>
        <v/>
      </c>
    </row>
    <row r="1629">
      <c r="A1629">
        <f>HYPERLINK("https://www.youtube.com/watch?v=lDUGW6xg0Hc", "Video")</f>
        <v/>
      </c>
      <c r="B1629" t="inlineStr">
        <is>
          <t>1:31</t>
        </is>
      </c>
      <c r="C1629" t="inlineStr">
        <is>
          <t>We probably took our eye
off the ball a little bit,</t>
        </is>
      </c>
      <c r="D1629">
        <f>HYPERLINK("https://www.youtube.com/watch?v=lDUGW6xg0Hc&amp;t=91s", "Go to time")</f>
        <v/>
      </c>
    </row>
    <row r="1630">
      <c r="A1630">
        <f>HYPERLINK("https://www.youtube.com/watch?v=MntnHvTBKX0", "Video")</f>
        <v/>
      </c>
      <c r="B1630" t="inlineStr">
        <is>
          <t>1:24</t>
        </is>
      </c>
      <c r="C1630" t="inlineStr">
        <is>
          <t>bit to to look clearly at at what's</t>
        </is>
      </c>
      <c r="D1630">
        <f>HYPERLINK("https://www.youtube.com/watch?v=MntnHvTBKX0&amp;t=84s", "Go to time")</f>
        <v/>
      </c>
    </row>
    <row r="1631">
      <c r="A1631">
        <f>HYPERLINK("https://www.youtube.com/watch?v=MntnHvTBKX0", "Video")</f>
        <v/>
      </c>
      <c r="B1631" t="inlineStr">
        <is>
          <t>1:56</t>
        </is>
      </c>
      <c r="C1631" t="inlineStr">
        <is>
          <t>sad a little bit in order to have great</t>
        </is>
      </c>
      <c r="D1631">
        <f>HYPERLINK("https://www.youtube.com/watch?v=MntnHvTBKX0&amp;t=116s", "Go to time")</f>
        <v/>
      </c>
    </row>
    <row r="1632">
      <c r="A1632">
        <f>HYPERLINK("https://www.youtube.com/watch?v=TvnUZbp8lPE", "Video")</f>
        <v/>
      </c>
      <c r="B1632" t="inlineStr">
        <is>
          <t>4:23</t>
        </is>
      </c>
      <c r="C1632" t="inlineStr">
        <is>
          <t>is to send satellites
orbiting around Mars</t>
        </is>
      </c>
      <c r="D1632">
        <f>HYPERLINK("https://www.youtube.com/watch?v=TvnUZbp8lPE&amp;t=263s", "Go to time")</f>
        <v/>
      </c>
    </row>
    <row r="1633">
      <c r="A1633">
        <f>HYPERLINK("https://www.youtube.com/watch?v=n3jY3WT6b_k", "Video")</f>
        <v/>
      </c>
      <c r="B1633" t="inlineStr">
        <is>
          <t>1:42</t>
        </is>
      </c>
      <c r="C1633" t="inlineStr">
        <is>
          <t>little bit of an open mind and from a</t>
        </is>
      </c>
      <c r="D1633">
        <f>HYPERLINK("https://www.youtube.com/watch?v=n3jY3WT6b_k&amp;t=102s", "Go to time")</f>
        <v/>
      </c>
    </row>
    <row r="1634">
      <c r="A1634">
        <f>HYPERLINK("https://www.youtube.com/watch?v=zkyYpVm_YvY", "Video")</f>
        <v/>
      </c>
      <c r="B1634" t="inlineStr">
        <is>
          <t>0:09</t>
        </is>
      </c>
      <c r="C1634" t="inlineStr">
        <is>
          <t>what's the truth of your ambition</t>
        </is>
      </c>
      <c r="D1634">
        <f>HYPERLINK("https://www.youtube.com/watch?v=zkyYpVm_YvY&amp;t=9s", "Go to time")</f>
        <v/>
      </c>
    </row>
    <row r="1635">
      <c r="A1635">
        <f>HYPERLINK("https://www.youtube.com/watch?v=zkyYpVm_YvY", "Video")</f>
        <v/>
      </c>
      <c r="B1635" t="inlineStr">
        <is>
          <t>0:12</t>
        </is>
      </c>
      <c r="C1635" t="inlineStr">
        <is>
          <t>are you ambitious first and foremost for</t>
        </is>
      </c>
      <c r="D1635">
        <f>HYPERLINK("https://www.youtube.com/watch?v=zkyYpVm_YvY&amp;t=12s", "Go to time")</f>
        <v/>
      </c>
    </row>
    <row r="1636">
      <c r="A1636">
        <f>HYPERLINK("https://www.youtube.com/watch?v=zkyYpVm_YvY", "Video")</f>
        <v/>
      </c>
      <c r="B1636" t="inlineStr">
        <is>
          <t>0:25</t>
        </is>
      </c>
      <c r="C1636" t="inlineStr">
        <is>
          <t>or are you ambitious first and foremost</t>
        </is>
      </c>
      <c r="D1636">
        <f>HYPERLINK("https://www.youtube.com/watch?v=zkyYpVm_YvY&amp;t=25s", "Go to time")</f>
        <v/>
      </c>
    </row>
    <row r="1637">
      <c r="A1637">
        <f>HYPERLINK("https://www.youtube.com/watch?v=zkyYpVm_YvY", "Video")</f>
        <v/>
      </c>
      <c r="B1637" t="inlineStr">
        <is>
          <t>0:48</t>
        </is>
      </c>
      <c r="C1637" t="inlineStr">
        <is>
          <t>ambition</t>
        </is>
      </c>
      <c r="D1637">
        <f>HYPERLINK("https://www.youtube.com/watch?v=zkyYpVm_YvY&amp;t=48s", "Go to time")</f>
        <v/>
      </c>
    </row>
    <row r="1638">
      <c r="A1638">
        <f>HYPERLINK("https://www.youtube.com/watch?v=KaGqPn1A3pg", "Video")</f>
        <v/>
      </c>
      <c r="B1638" t="inlineStr">
        <is>
          <t>0:14</t>
        </is>
      </c>
      <c r="C1638" t="inlineStr">
        <is>
          <t>um changed my personal habits in a way</t>
        </is>
      </c>
      <c r="D1638">
        <f>HYPERLINK("https://www.youtube.com/watch?v=KaGqPn1A3pg&amp;t=14s", "Go to time")</f>
        <v/>
      </c>
    </row>
    <row r="1639">
      <c r="A1639">
        <f>HYPERLINK("https://www.youtube.com/watch?v=5vzymaIabWI", "Video")</f>
        <v/>
      </c>
      <c r="B1639" t="inlineStr">
        <is>
          <t>6:39</t>
        </is>
      </c>
      <c r="C1639" t="inlineStr">
        <is>
          <t>hmm, this red light is taking a bit too long
to turn.</t>
        </is>
      </c>
      <c r="D1639">
        <f>HYPERLINK("https://www.youtube.com/watch?v=5vzymaIabWI&amp;t=399s", "Go to time")</f>
        <v/>
      </c>
    </row>
    <row r="1640">
      <c r="A1640">
        <f>HYPERLINK("https://www.youtube.com/watch?v=5vzymaIabWI", "Video")</f>
        <v/>
      </c>
      <c r="B1640" t="inlineStr">
        <is>
          <t>6:42</t>
        </is>
      </c>
      <c r="C1640" t="inlineStr">
        <is>
          <t>This traffic light is taking a bit long to
turn or I think the waiter forgot my coffee.</t>
        </is>
      </c>
      <c r="D1640">
        <f>HYPERLINK("https://www.youtube.com/watch?v=5vzymaIabWI&amp;t=402s", "Go to time")</f>
        <v/>
      </c>
    </row>
    <row r="1641">
      <c r="A1641">
        <f>HYPERLINK("https://www.youtube.com/watch?v=5vzymaIabWI", "Video")</f>
        <v/>
      </c>
      <c r="B1641" t="inlineStr">
        <is>
          <t>11:26</t>
        </is>
      </c>
      <c r="C1641" t="inlineStr">
        <is>
          <t>So, that makes the present just an arbitrary
point in time or an arbitrary moment in time.</t>
        </is>
      </c>
      <c r="D1641">
        <f>HYPERLINK("https://www.youtube.com/watch?v=5vzymaIabWI&amp;t=686s", "Go to time")</f>
        <v/>
      </c>
    </row>
    <row r="1642">
      <c r="A1642">
        <f>HYPERLINK("https://www.youtube.com/watch?v=5vzymaIabWI", "Video")</f>
        <v/>
      </c>
      <c r="B1642" t="inlineStr">
        <is>
          <t>11:53</t>
        </is>
      </c>
      <c r="C1642" t="inlineStr">
        <is>
          <t>are as equally real as this moment in time
and this is just an arbitrary moment.</t>
        </is>
      </c>
      <c r="D1642">
        <f>HYPERLINK("https://www.youtube.com/watch?v=5vzymaIabWI&amp;t=713s", "Go to time")</f>
        <v/>
      </c>
    </row>
    <row r="1643">
      <c r="A1643">
        <f>HYPERLINK("https://www.youtube.com/watch?v=dVsF1T6Aw3s", "Video")</f>
        <v/>
      </c>
      <c r="B1643" t="inlineStr">
        <is>
          <t>5:05</t>
        </is>
      </c>
      <c r="C1643" t="inlineStr">
        <is>
          <t>bit brighter now than it has been since</t>
        </is>
      </c>
      <c r="D1643">
        <f>HYPERLINK("https://www.youtube.com/watch?v=dVsF1T6Aw3s&amp;t=305s", "Go to time")</f>
        <v/>
      </c>
    </row>
    <row r="1644">
      <c r="A1644">
        <f>HYPERLINK("https://www.youtube.com/watch?v=IdOb4IqhHI0", "Video")</f>
        <v/>
      </c>
      <c r="B1644" t="inlineStr">
        <is>
          <t>4:56</t>
        </is>
      </c>
      <c r="C1644" t="inlineStr">
        <is>
          <t>their life a bit more and not settle</t>
        </is>
      </c>
      <c r="D1644">
        <f>HYPERLINK("https://www.youtube.com/watch?v=IdOb4IqhHI0&amp;t=296s", "Go to time")</f>
        <v/>
      </c>
    </row>
    <row r="1645">
      <c r="A1645">
        <f>HYPERLINK("https://www.youtube.com/watch?v=dWMQvsu-NwM", "Video")</f>
        <v/>
      </c>
      <c r="B1645" t="inlineStr">
        <is>
          <t>2:03</t>
        </is>
      </c>
      <c r="C1645" t="inlineStr">
        <is>
          <t>who do a little bit of astronomy,
a little bit of physics.</t>
        </is>
      </c>
      <c r="D1645">
        <f>HYPERLINK("https://www.youtube.com/watch?v=dWMQvsu-NwM&amp;t=123s", "Go to time")</f>
        <v/>
      </c>
    </row>
    <row r="1646">
      <c r="A1646">
        <f>HYPERLINK("https://www.youtube.com/watch?v=dWMQvsu-NwM", "Video")</f>
        <v/>
      </c>
      <c r="B1646" t="inlineStr">
        <is>
          <t>6:36</t>
        </is>
      </c>
      <c r="C1646" t="inlineStr">
        <is>
          <t>whether or not Mars was habitable;</t>
        </is>
      </c>
      <c r="D1646">
        <f>HYPERLINK("https://www.youtube.com/watch?v=dWMQvsu-NwM&amp;t=396s", "Go to time")</f>
        <v/>
      </c>
    </row>
    <row r="1647">
      <c r="A1647">
        <f>HYPERLINK("https://www.youtube.com/watch?v=dWMQvsu-NwM", "Video")</f>
        <v/>
      </c>
      <c r="B1647" t="inlineStr">
        <is>
          <t>6:40</t>
        </is>
      </c>
      <c r="C1647" t="inlineStr">
        <is>
          <t>and also whether it
was actually inhabited,</t>
        </is>
      </c>
      <c r="D1647">
        <f>HYPERLINK("https://www.youtube.com/watch?v=dWMQvsu-NwM&amp;t=400s", "Go to time")</f>
        <v/>
      </c>
    </row>
    <row r="1648">
      <c r="A1648">
        <f>HYPERLINK("https://www.youtube.com/watch?v=dWMQvsu-NwM", "Video")</f>
        <v/>
      </c>
      <c r="B1648" t="inlineStr">
        <is>
          <t>7:27</t>
        </is>
      </c>
      <c r="C1648" t="inlineStr">
        <is>
          <t>- We use it to vaporize
just a little bit of rock,</t>
        </is>
      </c>
      <c r="D1648">
        <f>HYPERLINK("https://www.youtube.com/watch?v=dWMQvsu-NwM&amp;t=447s", "Go to time")</f>
        <v/>
      </c>
    </row>
    <row r="1649">
      <c r="A1649">
        <f>HYPERLINK("https://www.youtube.com/watch?v=dWMQvsu-NwM", "Video")</f>
        <v/>
      </c>
      <c r="B1649" t="inlineStr">
        <is>
          <t>9:25</t>
        </is>
      </c>
      <c r="C1649" t="inlineStr">
        <is>
          <t>and then that orbiter is
gonna shoot down a lander</t>
        </is>
      </c>
      <c r="D1649">
        <f>HYPERLINK("https://www.youtube.com/watch?v=dWMQvsu-NwM&amp;t=565s", "Go to time")</f>
        <v/>
      </c>
    </row>
    <row r="1650">
      <c r="A1650">
        <f>HYPERLINK("https://www.youtube.com/watch?v=dWMQvsu-NwM", "Video")</f>
        <v/>
      </c>
      <c r="B1650" t="inlineStr">
        <is>
          <t>9:39</t>
        </is>
      </c>
      <c r="C1650" t="inlineStr">
        <is>
          <t>It will rendezvous with
that orbiting spacecraft-</t>
        </is>
      </c>
      <c r="D1650">
        <f>HYPERLINK("https://www.youtube.com/watch?v=dWMQvsu-NwM&amp;t=579s", "Go to time")</f>
        <v/>
      </c>
    </row>
    <row r="1651">
      <c r="A1651">
        <f>HYPERLINK("https://www.youtube.com/watch?v=dWMQvsu-NwM", "Video")</f>
        <v/>
      </c>
      <c r="B1651" t="inlineStr">
        <is>
          <t>12:00</t>
        </is>
      </c>
      <c r="C1651" t="inlineStr">
        <is>
          <t>So this is a wildly ambitious project.</t>
        </is>
      </c>
      <c r="D1651">
        <f>HYPERLINK("https://www.youtube.com/watch?v=dWMQvsu-NwM&amp;t=720s", "Go to time")</f>
        <v/>
      </c>
    </row>
    <row r="1652">
      <c r="A1652">
        <f>HYPERLINK("https://www.youtube.com/watch?v=dWMQvsu-NwM", "Video")</f>
        <v/>
      </c>
      <c r="B1652" t="inlineStr">
        <is>
          <t>14:04</t>
        </is>
      </c>
      <c r="C1652" t="inlineStr">
        <is>
          <t>there are various prohibitions</t>
        </is>
      </c>
      <c r="D1652">
        <f>HYPERLINK("https://www.youtube.com/watch?v=dWMQvsu-NwM&amp;t=844s", "Go to time")</f>
        <v/>
      </c>
    </row>
    <row r="1653">
      <c r="A1653">
        <f>HYPERLINK("https://www.youtube.com/watch?v=dWMQvsu-NwM", "Video")</f>
        <v/>
      </c>
      <c r="B1653" t="inlineStr">
        <is>
          <t>14:53</t>
        </is>
      </c>
      <c r="C1653" t="inlineStr">
        <is>
          <t>expound on that idea a little bit.</t>
        </is>
      </c>
      <c r="D1653">
        <f>HYPERLINK("https://www.youtube.com/watch?v=dWMQvsu-NwM&amp;t=893s", "Go to time")</f>
        <v/>
      </c>
    </row>
    <row r="1654">
      <c r="A1654">
        <f>HYPERLINK("https://www.youtube.com/watch?v=dWMQvsu-NwM", "Video")</f>
        <v/>
      </c>
      <c r="B1654" t="inlineStr">
        <is>
          <t>22:10</t>
        </is>
      </c>
      <c r="C1654" t="inlineStr">
        <is>
          <t>than I am, like my own death,
which is a bit odd maybe</t>
        </is>
      </c>
      <c r="D1654">
        <f>HYPERLINK("https://www.youtube.com/watch?v=dWMQvsu-NwM&amp;t=1330s", "Go to time")</f>
        <v/>
      </c>
    </row>
    <row r="1655">
      <c r="A1655">
        <f>HYPERLINK("https://www.youtube.com/watch?v=dWMQvsu-NwM", "Video")</f>
        <v/>
      </c>
      <c r="B1655" t="inlineStr">
        <is>
          <t>23:45</t>
        </is>
      </c>
      <c r="C1655" t="inlineStr">
        <is>
          <t>Yeah, it's hard for that not
to bother me a little bit.</t>
        </is>
      </c>
      <c r="D1655">
        <f>HYPERLINK("https://www.youtube.com/watch?v=dWMQvsu-NwM&amp;t=1425s", "Go to time")</f>
        <v/>
      </c>
    </row>
    <row r="1656">
      <c r="A1656">
        <f>HYPERLINK("https://www.youtube.com/watch?v=dWMQvsu-NwM", "Video")</f>
        <v/>
      </c>
      <c r="B1656" t="inlineStr">
        <is>
          <t>29:02</t>
        </is>
      </c>
      <c r="C1656" t="inlineStr">
        <is>
          <t>is just being a little bit
more modest in our claims</t>
        </is>
      </c>
      <c r="D1656">
        <f>HYPERLINK("https://www.youtube.com/watch?v=dWMQvsu-NwM&amp;t=1742s", "Go to time")</f>
        <v/>
      </c>
    </row>
    <row r="1657">
      <c r="A1657">
        <f>HYPERLINK("https://www.youtube.com/watch?v=dWMQvsu-NwM", "Video")</f>
        <v/>
      </c>
      <c r="B1657" t="inlineStr">
        <is>
          <t>30:17</t>
        </is>
      </c>
      <c r="C1657" t="inlineStr">
        <is>
          <t>which is, you know, habitable for humans.</t>
        </is>
      </c>
      <c r="D1657">
        <f>HYPERLINK("https://www.youtube.com/watch?v=dWMQvsu-NwM&amp;t=1817s", "Go to time")</f>
        <v/>
      </c>
    </row>
    <row r="1658">
      <c r="A1658">
        <f>HYPERLINK("https://www.youtube.com/watch?v=7f47JKc0VKA", "Video")</f>
        <v/>
      </c>
      <c r="B1658" t="inlineStr">
        <is>
          <t>1:54</t>
        </is>
      </c>
      <c r="C1658" t="inlineStr">
        <is>
          <t>together in a short story they're a bit</t>
        </is>
      </c>
      <c r="D1658">
        <f>HYPERLINK("https://www.youtube.com/watch?v=7f47JKc0VKA&amp;t=114s", "Go to time")</f>
        <v/>
      </c>
    </row>
    <row r="1659">
      <c r="A1659">
        <f>HYPERLINK("https://www.youtube.com/watch?v=yN3XfQjHG9o", "Video")</f>
        <v/>
      </c>
      <c r="B1659" t="inlineStr">
        <is>
          <t>3:50</t>
        </is>
      </c>
      <c r="C1659" t="inlineStr">
        <is>
          <t>little bit into the future um when we</t>
        </is>
      </c>
      <c r="D1659">
        <f>HYPERLINK("https://www.youtube.com/watch?v=yN3XfQjHG9o&amp;t=230s", "Go to time")</f>
        <v/>
      </c>
    </row>
    <row r="1660">
      <c r="A1660">
        <f>HYPERLINK("https://www.youtube.com/watch?v=fMV5UcXLZjo", "Video")</f>
        <v/>
      </c>
      <c r="B1660" t="inlineStr">
        <is>
          <t>2:08</t>
        </is>
      </c>
      <c r="C1660" t="inlineStr">
        <is>
          <t>bitterly opposed by the insurance</t>
        </is>
      </c>
      <c r="D1660">
        <f>HYPERLINK("https://www.youtube.com/watch?v=fMV5UcXLZjo&amp;t=128s", "Go to time")</f>
        <v/>
      </c>
    </row>
    <row r="1661">
      <c r="A1661">
        <f>HYPERLINK("https://www.youtube.com/watch?v=fMV5UcXLZjo", "Video")</f>
        <v/>
      </c>
      <c r="B1661" t="inlineStr">
        <is>
          <t>2:09</t>
        </is>
      </c>
      <c r="C1661" t="inlineStr">
        <is>
          <t>companies that's a given be bitterly</t>
        </is>
      </c>
      <c r="D1661">
        <f>HYPERLINK("https://www.youtube.com/watch?v=fMV5UcXLZjo&amp;t=129s", "Go to time")</f>
        <v/>
      </c>
    </row>
    <row r="1662">
      <c r="A1662">
        <f>HYPERLINK("https://www.youtube.com/watch?v=u57HsQ7IHPs", "Video")</f>
        <v/>
      </c>
      <c r="B1662" t="inlineStr">
        <is>
          <t>4:00</t>
        </is>
      </c>
      <c r="C1662" t="inlineStr">
        <is>
          <t>ten hours a day is actually relatively arbitrary.</t>
        </is>
      </c>
      <c r="D1662">
        <f>HYPERLINK("https://www.youtube.com/watch?v=u57HsQ7IHPs&amp;t=240s", "Go to time")</f>
        <v/>
      </c>
    </row>
    <row r="1663">
      <c r="A1663">
        <f>HYPERLINK("https://www.youtube.com/watch?v=u57HsQ7IHPs", "Video")</f>
        <v/>
      </c>
      <c r="B1663" t="inlineStr">
        <is>
          <t>6:47</t>
        </is>
      </c>
      <c r="C1663" t="inlineStr">
        <is>
          <t>talent and just as much ambition actually
and just as much drive.</t>
        </is>
      </c>
      <c r="D1663">
        <f>HYPERLINK("https://www.youtube.com/watch?v=u57HsQ7IHPs&amp;t=407s", "Go to time")</f>
        <v/>
      </c>
    </row>
    <row r="1664">
      <c r="A1664">
        <f>HYPERLINK("https://www.youtube.com/watch?v=vW9zQuXsYjI", "Video")</f>
        <v/>
      </c>
      <c r="B1664" t="inlineStr">
        <is>
          <t>0:59</t>
        </is>
      </c>
      <c r="C1664" t="inlineStr">
        <is>
          <t>little bit difficult and um I don't know</t>
        </is>
      </c>
      <c r="D1664">
        <f>HYPERLINK("https://www.youtube.com/watch?v=vW9zQuXsYjI&amp;t=59s", "Go to time")</f>
        <v/>
      </c>
    </row>
    <row r="1665">
      <c r="A1665">
        <f>HYPERLINK("https://www.youtube.com/watch?v=tYUB3hruvDE", "Video")</f>
        <v/>
      </c>
      <c r="B1665" t="inlineStr">
        <is>
          <t>1:42</t>
        </is>
      </c>
      <c r="C1665" t="inlineStr">
        <is>
          <t>like I was a bit of a freak.</t>
        </is>
      </c>
      <c r="D1665">
        <f>HYPERLINK("https://www.youtube.com/watch?v=tYUB3hruvDE&amp;t=102s", "Go to time")</f>
        <v/>
      </c>
    </row>
    <row r="1666">
      <c r="A1666">
        <f>HYPERLINK("https://www.youtube.com/watch?v=tYUB3hruvDE", "Video")</f>
        <v/>
      </c>
      <c r="B1666" t="inlineStr">
        <is>
          <t>2:09</t>
        </is>
      </c>
      <c r="C1666" t="inlineStr">
        <is>
          <t>You know, I remember kind of
shutting down a little bit</t>
        </is>
      </c>
      <c r="D1666">
        <f>HYPERLINK("https://www.youtube.com/watch?v=tYUB3hruvDE&amp;t=129s", "Go to time")</f>
        <v/>
      </c>
    </row>
    <row r="1667">
      <c r="A1667">
        <f>HYPERLINK("https://www.youtube.com/watch?v=bMOgW3SeR1E", "Video")</f>
        <v/>
      </c>
      <c r="B1667" t="inlineStr">
        <is>
          <t>0:21</t>
        </is>
      </c>
      <c r="C1667" t="inlineStr">
        <is>
          <t>arbitrary that you should know like you</t>
        </is>
      </c>
      <c r="D1667">
        <f>HYPERLINK("https://www.youtube.com/watch?v=bMOgW3SeR1E&amp;t=21s", "Go to time")</f>
        <v/>
      </c>
    </row>
    <row r="1668">
      <c r="A1668">
        <f>HYPERLINK("https://www.youtube.com/watch?v=zNeYSjMKygY", "Video")</f>
        <v/>
      </c>
      <c r="B1668" t="inlineStr">
        <is>
          <t>3:37</t>
        </is>
      </c>
      <c r="C1668" t="inlineStr">
        <is>
          <t>is that Elizabeth Holmes
was a bit deceptive</t>
        </is>
      </c>
      <c r="D1668">
        <f>HYPERLINK("https://www.youtube.com/watch?v=zNeYSjMKygY&amp;t=217s", "Go to time")</f>
        <v/>
      </c>
    </row>
    <row r="1669">
      <c r="A1669">
        <f>HYPERLINK("https://www.youtube.com/watch?v=zNeYSjMKygY", "Video")</f>
        <v/>
      </c>
      <c r="B1669" t="inlineStr">
        <is>
          <t>4:26</t>
        </is>
      </c>
      <c r="C1669" t="inlineStr">
        <is>
          <t>I think it's a bit tricky</t>
        </is>
      </c>
      <c r="D1669">
        <f>HYPERLINK("https://www.youtube.com/watch?v=zNeYSjMKygY&amp;t=266s", "Go to time")</f>
        <v/>
      </c>
    </row>
    <row r="1670">
      <c r="A1670">
        <f>HYPERLINK("https://www.youtube.com/watch?v=mF3EVYEIPhI", "Video")</f>
        <v/>
      </c>
      <c r="B1670" t="inlineStr">
        <is>
          <t>1:24</t>
        </is>
      </c>
      <c r="C1670" t="inlineStr">
        <is>
          <t>having an exhibition in a gallery in</t>
        </is>
      </c>
      <c r="D1670">
        <f>HYPERLINK("https://www.youtube.com/watch?v=mF3EVYEIPhI&amp;t=84s", "Go to time")</f>
        <v/>
      </c>
    </row>
    <row r="1671">
      <c r="A1671">
        <f>HYPERLINK("https://www.youtube.com/watch?v=xDIOHPOlKY4", "Video")</f>
        <v/>
      </c>
      <c r="B1671" t="inlineStr">
        <is>
          <t>2:03</t>
        </is>
      </c>
      <c r="C1671" t="inlineStr">
        <is>
          <t>been a bit messy and I noticed that the</t>
        </is>
      </c>
      <c r="D1671">
        <f>HYPERLINK("https://www.youtube.com/watch?v=xDIOHPOlKY4&amp;t=123s", "Go to time")</f>
        <v/>
      </c>
    </row>
    <row r="1672">
      <c r="A1672">
        <f>HYPERLINK("https://www.youtube.com/watch?v=WAL7Pz1i1jU", "Video")</f>
        <v/>
      </c>
      <c r="B1672" t="inlineStr">
        <is>
          <t>1:57</t>
        </is>
      </c>
      <c r="C1672" t="inlineStr">
        <is>
          <t>maybe see my friends a little bit more.</t>
        </is>
      </c>
      <c r="D1672">
        <f>HYPERLINK("https://www.youtube.com/watch?v=WAL7Pz1i1jU&amp;t=117s", "Go to time")</f>
        <v/>
      </c>
    </row>
    <row r="1673">
      <c r="A1673">
        <f>HYPERLINK("https://www.youtube.com/watch?v=4CyH2mSVqpU", "Video")</f>
        <v/>
      </c>
      <c r="B1673" t="inlineStr">
        <is>
          <t>3:23</t>
        </is>
      </c>
      <c r="C1673" t="inlineStr">
        <is>
          <t>inhibit function in that area so we</t>
        </is>
      </c>
      <c r="D1673">
        <f>HYPERLINK("https://www.youtube.com/watch?v=4CyH2mSVqpU&amp;t=203s", "Go to time")</f>
        <v/>
      </c>
    </row>
    <row r="1674">
      <c r="A1674">
        <f>HYPERLINK("https://www.youtube.com/watch?v=Xmw_1wfUmFs", "Video")</f>
        <v/>
      </c>
      <c r="B1674" t="inlineStr">
        <is>
          <t>7:08</t>
        </is>
      </c>
      <c r="C1674" t="inlineStr">
        <is>
          <t>are a bit closer to 50/50 in
terms of their gender split.</t>
        </is>
      </c>
      <c r="D1674">
        <f>HYPERLINK("https://www.youtube.com/watch?v=Xmw_1wfUmFs&amp;t=428s", "Go to time")</f>
        <v/>
      </c>
    </row>
    <row r="1675">
      <c r="A1675">
        <f>HYPERLINK("https://www.youtube.com/watch?v=Xmw_1wfUmFs", "Video")</f>
        <v/>
      </c>
      <c r="B1675" t="inlineStr">
        <is>
          <t>7:11</t>
        </is>
      </c>
      <c r="C1675" t="inlineStr">
        <is>
          <t>They're all a little bit majority female,</t>
        </is>
      </c>
      <c r="D1675">
        <f>HYPERLINK("https://www.youtube.com/watch?v=Xmw_1wfUmFs&amp;t=431s", "Go to time")</f>
        <v/>
      </c>
    </row>
    <row r="1676">
      <c r="A1676">
        <f>HYPERLINK("https://www.youtube.com/watch?v=Xmw_1wfUmFs", "Video")</f>
        <v/>
      </c>
      <c r="B1676" t="inlineStr">
        <is>
          <t>7:15</t>
        </is>
      </c>
      <c r="C1676" t="inlineStr">
        <is>
          <t>where it's more 60/40 and
rising, a bit above 60/40.</t>
        </is>
      </c>
      <c r="D1676">
        <f>HYPERLINK("https://www.youtube.com/watch?v=Xmw_1wfUmFs&amp;t=435s", "Go to time")</f>
        <v/>
      </c>
    </row>
    <row r="1677">
      <c r="A1677">
        <f>HYPERLINK("https://www.youtube.com/watch?v=Xmw_1wfUmFs", "Video")</f>
        <v/>
      </c>
      <c r="B1677" t="inlineStr">
        <is>
          <t>9:20</t>
        </is>
      </c>
      <c r="C1677" t="inlineStr">
        <is>
          <t>It's the bit of your brain</t>
        </is>
      </c>
      <c r="D1677">
        <f>HYPERLINK("https://www.youtube.com/watch?v=Xmw_1wfUmFs&amp;t=560s", "Go to time")</f>
        <v/>
      </c>
    </row>
    <row r="1678">
      <c r="A1678">
        <f>HYPERLINK("https://www.youtube.com/watch?v=Xmw_1wfUmFs", "Video")</f>
        <v/>
      </c>
      <c r="B1678" t="inlineStr">
        <is>
          <t>9:26</t>
        </is>
      </c>
      <c r="C1678" t="inlineStr">
        <is>
          <t>It's the bit of your brain
that says, "It is worth</t>
        </is>
      </c>
      <c r="D1678">
        <f>HYPERLINK("https://www.youtube.com/watch?v=Xmw_1wfUmFs&amp;t=566s", "Go to time")</f>
        <v/>
      </c>
    </row>
    <row r="1679">
      <c r="A1679">
        <f>HYPERLINK("https://www.youtube.com/watch?v=Xmw_1wfUmFs", "Video")</f>
        <v/>
      </c>
      <c r="B1679" t="inlineStr">
        <is>
          <t>9:32</t>
        </is>
      </c>
      <c r="C1679" t="inlineStr">
        <is>
          <t>And that bit of the brain develops</t>
        </is>
      </c>
      <c r="D1679">
        <f>HYPERLINK("https://www.youtube.com/watch?v=Xmw_1wfUmFs&amp;t=572s", "Go to time")</f>
        <v/>
      </c>
    </row>
    <row r="1680">
      <c r="A1680">
        <f>HYPERLINK("https://www.youtube.com/watch?v=Xmw_1wfUmFs", "Video")</f>
        <v/>
      </c>
      <c r="B1680" t="inlineStr">
        <is>
          <t>9:39</t>
        </is>
      </c>
      <c r="C1680" t="inlineStr">
        <is>
          <t>go into puberty a bit earlier than boys,</t>
        </is>
      </c>
      <c r="D1680">
        <f>HYPERLINK("https://www.youtube.com/watch?v=Xmw_1wfUmFs&amp;t=579s", "Go to time")</f>
        <v/>
      </c>
    </row>
    <row r="1681">
      <c r="A1681">
        <f>HYPERLINK("https://www.youtube.com/watch?v=Xmw_1wfUmFs", "Video")</f>
        <v/>
      </c>
      <c r="B1681" t="inlineStr">
        <is>
          <t>12:24</t>
        </is>
      </c>
      <c r="C1681" t="inlineStr">
        <is>
          <t>So it's simultaneously a bit controversial</t>
        </is>
      </c>
      <c r="D1681">
        <f>HYPERLINK("https://www.youtube.com/watch?v=Xmw_1wfUmFs&amp;t=744s", "Go to time")</f>
        <v/>
      </c>
    </row>
    <row r="1682">
      <c r="A1682">
        <f>HYPERLINK("https://www.youtube.com/watch?v=Xmw_1wfUmFs", "Video")</f>
        <v/>
      </c>
      <c r="B1682" t="inlineStr">
        <is>
          <t>16:11</t>
        </is>
      </c>
      <c r="C1682" t="inlineStr">
        <is>
          <t>And boys are only a little bit more likely</t>
        </is>
      </c>
      <c r="D1682">
        <f>HYPERLINK("https://www.youtube.com/watch?v=Xmw_1wfUmFs&amp;t=971s", "Go to time")</f>
        <v/>
      </c>
    </row>
    <row r="1683">
      <c r="A1683">
        <f>HYPERLINK("https://www.youtube.com/watch?v=Xmw_1wfUmFs", "Video")</f>
        <v/>
      </c>
      <c r="B1683" t="inlineStr">
        <is>
          <t>28:07</t>
        </is>
      </c>
      <c r="C1683" t="inlineStr">
        <is>
          <t>a bit of a difference
between men and women</t>
        </is>
      </c>
      <c r="D1683">
        <f>HYPERLINK("https://www.youtube.com/watch?v=Xmw_1wfUmFs&amp;t=1687s", "Go to time")</f>
        <v/>
      </c>
    </row>
    <row r="1684">
      <c r="A1684">
        <f>HYPERLINK("https://www.youtube.com/watch?v=Xmw_1wfUmFs", "Video")</f>
        <v/>
      </c>
      <c r="B1684" t="inlineStr">
        <is>
          <t>28:36</t>
        </is>
      </c>
      <c r="C1684" t="inlineStr">
        <is>
          <t>and that has, right now, put
men in a bit of a disadvantage.</t>
        </is>
      </c>
      <c r="D1684">
        <f>HYPERLINK("https://www.youtube.com/watch?v=Xmw_1wfUmFs&amp;t=1716s", "Go to time")</f>
        <v/>
      </c>
    </row>
    <row r="1685">
      <c r="A1685">
        <f>HYPERLINK("https://www.youtube.com/watch?v=Xmw_1wfUmFs", "Video")</f>
        <v/>
      </c>
      <c r="B1685" t="inlineStr">
        <is>
          <t>33:02</t>
        </is>
      </c>
      <c r="C1685" t="inlineStr">
        <is>
          <t>there's an irony here that
actually the bits of our society</t>
        </is>
      </c>
      <c r="D1685">
        <f>HYPERLINK("https://www.youtube.com/watch?v=Xmw_1wfUmFs&amp;t=1982s", "Go to time")</f>
        <v/>
      </c>
    </row>
    <row r="1686">
      <c r="A1686">
        <f>HYPERLINK("https://www.youtube.com/watch?v=Xmw_1wfUmFs", "Video")</f>
        <v/>
      </c>
      <c r="B1686" t="inlineStr">
        <is>
          <t>41:09</t>
        </is>
      </c>
      <c r="C1686" t="inlineStr">
        <is>
          <t>And also, people, I
think, are a bit reluctant</t>
        </is>
      </c>
      <c r="D1686">
        <f>HYPERLINK("https://www.youtube.com/watch?v=Xmw_1wfUmFs&amp;t=2469s", "Go to time")</f>
        <v/>
      </c>
    </row>
    <row r="1687">
      <c r="A1687">
        <f>HYPERLINK("https://www.youtube.com/watch?v=Xmw_1wfUmFs", "Video")</f>
        <v/>
      </c>
      <c r="B1687" t="inlineStr">
        <is>
          <t>43:41</t>
        </is>
      </c>
      <c r="C1687" t="inlineStr">
        <is>
          <t>Now, they're a bit old for Minecraft,</t>
        </is>
      </c>
      <c r="D1687">
        <f>HYPERLINK("https://www.youtube.com/watch?v=Xmw_1wfUmFs&amp;t=2621s", "Go to time")</f>
        <v/>
      </c>
    </row>
    <row r="1688">
      <c r="A1688">
        <f>HYPERLINK("https://www.youtube.com/watch?v=Xmw_1wfUmFs", "Video")</f>
        <v/>
      </c>
      <c r="B1688" t="inlineStr">
        <is>
          <t>45:50</t>
        </is>
      </c>
      <c r="C1688" t="inlineStr">
        <is>
          <t>We're all hopefully going
to live quite a bit longer.</t>
        </is>
      </c>
      <c r="D1688">
        <f>HYPERLINK("https://www.youtube.com/watch?v=Xmw_1wfUmFs&amp;t=2750s", "Go to time")</f>
        <v/>
      </c>
    </row>
    <row r="1689">
      <c r="A1689">
        <f>HYPERLINK("https://www.youtube.com/watch?v=Xmw_1wfUmFs", "Video")</f>
        <v/>
      </c>
      <c r="B1689" t="inlineStr">
        <is>
          <t>47:34</t>
        </is>
      </c>
      <c r="C1689" t="inlineStr">
        <is>
          <t>And so, whilst I'm a bit
hesitant to use terms</t>
        </is>
      </c>
      <c r="D1689">
        <f>HYPERLINK("https://www.youtube.com/watch?v=Xmw_1wfUmFs&amp;t=2854s", "Go to time")</f>
        <v/>
      </c>
    </row>
    <row r="1690">
      <c r="A1690">
        <f>HYPERLINK("https://www.youtube.com/watch?v=Xmw_1wfUmFs", "Video")</f>
        <v/>
      </c>
      <c r="B1690" t="inlineStr">
        <is>
          <t>54:11</t>
        </is>
      </c>
      <c r="C1690" t="inlineStr">
        <is>
          <t>And there's probably a bit</t>
        </is>
      </c>
      <c r="D1690">
        <f>HYPERLINK("https://www.youtube.com/watch?v=Xmw_1wfUmFs&amp;t=3251s", "Go to time")</f>
        <v/>
      </c>
    </row>
    <row r="1691">
      <c r="A1691">
        <f>HYPERLINK("https://www.youtube.com/watch?v=Xmw_1wfUmFs", "Video")</f>
        <v/>
      </c>
      <c r="B1691" t="inlineStr">
        <is>
          <t>55:42</t>
        </is>
      </c>
      <c r="C1691" t="inlineStr">
        <is>
          <t>and if anything, a little bit more likely</t>
        </is>
      </c>
      <c r="D1691">
        <f>HYPERLINK("https://www.youtube.com/watch?v=Xmw_1wfUmFs&amp;t=3342s", "Go to time")</f>
        <v/>
      </c>
    </row>
    <row r="1692">
      <c r="A1692">
        <f>HYPERLINK("https://www.youtube.com/watch?v=Xmw_1wfUmFs", "Video")</f>
        <v/>
      </c>
      <c r="B1692" t="inlineStr">
        <is>
          <t>56:45</t>
        </is>
      </c>
      <c r="C1692" t="inlineStr">
        <is>
          <t>So it's a bit like the
kaleidoscope has been shaken</t>
        </is>
      </c>
      <c r="D1692">
        <f>HYPERLINK("https://www.youtube.com/watch?v=Xmw_1wfUmFs&amp;t=3405s", "Go to time")</f>
        <v/>
      </c>
    </row>
    <row r="1693">
      <c r="A1693">
        <f>HYPERLINK("https://www.youtube.com/watch?v=Xmw_1wfUmFs", "Video")</f>
        <v/>
      </c>
      <c r="B1693" t="inlineStr">
        <is>
          <t>60:24</t>
        </is>
      </c>
      <c r="C1693" t="inlineStr">
        <is>
          <t>a bit of a signifier of social status.</t>
        </is>
      </c>
      <c r="D1693">
        <f>HYPERLINK("https://www.youtube.com/watch?v=Xmw_1wfUmFs&amp;t=3624s", "Go to time")</f>
        <v/>
      </c>
    </row>
    <row r="1694">
      <c r="A1694">
        <f>HYPERLINK("https://www.youtube.com/watch?v=Xmw_1wfUmFs", "Video")</f>
        <v/>
      </c>
      <c r="B1694" t="inlineStr">
        <is>
          <t>66:44</t>
        </is>
      </c>
      <c r="C1694" t="inlineStr">
        <is>
          <t>and institutions were a bit more stable.</t>
        </is>
      </c>
      <c r="D1694">
        <f>HYPERLINK("https://www.youtube.com/watch?v=Xmw_1wfUmFs&amp;t=4004s", "Go to time")</f>
        <v/>
      </c>
    </row>
    <row r="1695">
      <c r="A1695">
        <f>HYPERLINK("https://www.youtube.com/watch?v=Xmw_1wfUmFs", "Video")</f>
        <v/>
      </c>
      <c r="B1695" t="inlineStr">
        <is>
          <t>77:14</t>
        </is>
      </c>
      <c r="C1695" t="inlineStr">
        <is>
          <t>the stay-at-home bits of raising our kids.</t>
        </is>
      </c>
      <c r="D1695">
        <f>HYPERLINK("https://www.youtube.com/watch?v=Xmw_1wfUmFs&amp;t=4634s", "Go to time")</f>
        <v/>
      </c>
    </row>
    <row r="1696">
      <c r="A1696">
        <f>HYPERLINK("https://www.youtube.com/watch?v=Xmw_1wfUmFs", "Video")</f>
        <v/>
      </c>
      <c r="B1696" t="inlineStr">
        <is>
          <t>79:29</t>
        </is>
      </c>
      <c r="C1696" t="inlineStr">
        <is>
          <t>and quite a bit less than Black men.</t>
        </is>
      </c>
      <c r="D1696">
        <f>HYPERLINK("https://www.youtube.com/watch?v=Xmw_1wfUmFs&amp;t=4769s", "Go to time")</f>
        <v/>
      </c>
    </row>
    <row r="1697">
      <c r="A1697">
        <f>HYPERLINK("https://www.youtube.com/watch?v=Xmw_1wfUmFs", "Video")</f>
        <v/>
      </c>
      <c r="B1697" t="inlineStr">
        <is>
          <t>85:04</t>
        </is>
      </c>
      <c r="C1697" t="inlineStr">
        <is>
          <t>a little bit of the stalemate</t>
        </is>
      </c>
      <c r="D1697">
        <f>HYPERLINK("https://www.youtube.com/watch?v=Xmw_1wfUmFs&amp;t=5104s", "Go to time")</f>
        <v/>
      </c>
    </row>
    <row r="1698">
      <c r="A1698">
        <f>HYPERLINK("https://www.youtube.com/watch?v=LJZIAXB_Ks4", "Video")</f>
        <v/>
      </c>
      <c r="B1698" t="inlineStr">
        <is>
          <t>0:27</t>
        </is>
      </c>
      <c r="C1698" t="inlineStr">
        <is>
          <t>uh dreams ambition using your talents</t>
        </is>
      </c>
      <c r="D1698">
        <f>HYPERLINK("https://www.youtube.com/watch?v=LJZIAXB_Ks4&amp;t=27s", "Go to time")</f>
        <v/>
      </c>
    </row>
    <row r="1699">
      <c r="A1699">
        <f>HYPERLINK("https://www.youtube.com/watch?v=thZUMaGEE-8", "Video")</f>
        <v/>
      </c>
      <c r="B1699" t="inlineStr">
        <is>
          <t>12:04</t>
        </is>
      </c>
      <c r="C1699" t="inlineStr">
        <is>
          <t>but GPT-4 accessed TaskRabbit,</t>
        </is>
      </c>
      <c r="D1699">
        <f>HYPERLINK("https://www.youtube.com/watch?v=thZUMaGEE-8&amp;t=724s", "Go to time")</f>
        <v/>
      </c>
    </row>
    <row r="1700">
      <c r="A1700">
        <f>HYPERLINK("https://www.youtube.com/watch?v=thZUMaGEE-8", "Video")</f>
        <v/>
      </c>
      <c r="B1700" t="inlineStr">
        <is>
          <t>16:46</t>
        </is>
      </c>
      <c r="C1700" t="inlineStr">
        <is>
          <t>and you play it out in the
book a little bit when it comes</t>
        </is>
      </c>
      <c r="D1700">
        <f>HYPERLINK("https://www.youtube.com/watch?v=thZUMaGEE-8&amp;t=1006s", "Go to time")</f>
        <v/>
      </c>
    </row>
    <row r="1701">
      <c r="A1701">
        <f>HYPERLINK("https://www.youtube.com/watch?v=thZUMaGEE-8", "Video")</f>
        <v/>
      </c>
      <c r="B1701" t="inlineStr">
        <is>
          <t>24:36</t>
        </is>
      </c>
      <c r="C1701" t="inlineStr">
        <is>
          <t>- Who is supposed to
be the arbiter of truth</t>
        </is>
      </c>
      <c r="D1701">
        <f>HYPERLINK("https://www.youtube.com/watch?v=thZUMaGEE-8&amp;t=1476s", "Go to time")</f>
        <v/>
      </c>
    </row>
    <row r="1702">
      <c r="A1702">
        <f>HYPERLINK("https://www.youtube.com/watch?v=thZUMaGEE-8", "Video")</f>
        <v/>
      </c>
      <c r="B1702" t="inlineStr">
        <is>
          <t>25:22</t>
        </is>
      </c>
      <c r="C1702" t="inlineStr">
        <is>
          <t>And will AI ultimately be that arbiter?</t>
        </is>
      </c>
      <c r="D1702">
        <f>HYPERLINK("https://www.youtube.com/watch?v=thZUMaGEE-8&amp;t=1522s", "Go to time")</f>
        <v/>
      </c>
    </row>
    <row r="1703">
      <c r="A1703">
        <f>HYPERLINK("https://www.youtube.com/watch?v=thZUMaGEE-8", "Video")</f>
        <v/>
      </c>
      <c r="B1703" t="inlineStr">
        <is>
          <t>53:21</t>
        </is>
      </c>
      <c r="C1703" t="inlineStr">
        <is>
          <t>We're gonna make a, it's
actually a bit of a right turn</t>
        </is>
      </c>
      <c r="D1703">
        <f>HYPERLINK("https://www.youtube.com/watch?v=thZUMaGEE-8&amp;t=3201s", "Go to time")</f>
        <v/>
      </c>
    </row>
    <row r="1704">
      <c r="A1704">
        <f>HYPERLINK("https://www.youtube.com/watch?v=thZUMaGEE-8", "Video")</f>
        <v/>
      </c>
      <c r="B1704" t="inlineStr">
        <is>
          <t>56:20</t>
        </is>
      </c>
      <c r="C1704" t="inlineStr">
        <is>
          <t>and dignity to their
citizens, to their inhabitants</t>
        </is>
      </c>
      <c r="D1704">
        <f>HYPERLINK("https://www.youtube.com/watch?v=thZUMaGEE-8&amp;t=3380s", "Go to time")</f>
        <v/>
      </c>
    </row>
    <row r="1705">
      <c r="A1705">
        <f>HYPERLINK("https://www.youtube.com/watch?v=thZUMaGEE-8", "Video")</f>
        <v/>
      </c>
      <c r="B1705" t="inlineStr">
        <is>
          <t>57:35</t>
        </is>
      </c>
      <c r="C1705" t="inlineStr">
        <is>
          <t>because they are now a bit weak.</t>
        </is>
      </c>
      <c r="D1705">
        <f>HYPERLINK("https://www.youtube.com/watch?v=thZUMaGEE-8&amp;t=3455s", "Go to time")</f>
        <v/>
      </c>
    </row>
    <row r="1706">
      <c r="A1706">
        <f>HYPERLINK("https://www.youtube.com/watch?v=thZUMaGEE-8", "Video")</f>
        <v/>
      </c>
      <c r="B1706" t="inlineStr">
        <is>
          <t>59:23</t>
        </is>
      </c>
      <c r="C1706" t="inlineStr">
        <is>
          <t>We have to compromise. We
have only to do a little bit.</t>
        </is>
      </c>
      <c r="D1706">
        <f>HYPERLINK("https://www.youtube.com/watch?v=thZUMaGEE-8&amp;t=3563s", "Go to time")</f>
        <v/>
      </c>
    </row>
    <row r="1707">
      <c r="A1707">
        <f>HYPERLINK("https://www.youtube.com/watch?v=thZUMaGEE-8", "Video")</f>
        <v/>
      </c>
      <c r="B1707" t="inlineStr">
        <is>
          <t>67:28</t>
        </is>
      </c>
      <c r="C1707" t="inlineStr">
        <is>
          <t>going on TaskRabbit</t>
        </is>
      </c>
      <c r="D1707">
        <f>HYPERLINK("https://www.youtube.com/watch?v=thZUMaGEE-8&amp;t=4048s", "Go to time")</f>
        <v/>
      </c>
    </row>
    <row r="1708">
      <c r="A1708">
        <f>HYPERLINK("https://www.youtube.com/watch?v=thZUMaGEE-8", "Video")</f>
        <v/>
      </c>
      <c r="B1708" t="inlineStr">
        <is>
          <t>73:33</t>
        </is>
      </c>
      <c r="C1708" t="inlineStr">
        <is>
          <t>it's, it's a bit like with
food. That a hundred years ago,</t>
        </is>
      </c>
      <c r="D1708">
        <f>HYPERLINK("https://www.youtube.com/watch?v=thZUMaGEE-8&amp;t=4413s", "Go to time")</f>
        <v/>
      </c>
    </row>
    <row r="1709">
      <c r="A1709">
        <f>HYPERLINK("https://www.youtube.com/watch?v=8w5MwVhRA9A", "Video")</f>
        <v/>
      </c>
      <c r="B1709" t="inlineStr">
        <is>
          <t>2:25</t>
        </is>
      </c>
      <c r="C1709" t="inlineStr">
        <is>
          <t>little bit of a um uh a fear against uh</t>
        </is>
      </c>
      <c r="D1709">
        <f>HYPERLINK("https://www.youtube.com/watch?v=8w5MwVhRA9A&amp;t=145s", "Go to time")</f>
        <v/>
      </c>
    </row>
    <row r="1710">
      <c r="A1710">
        <f>HYPERLINK("https://www.youtube.com/watch?v=u0E-B-7VWJY", "Video")</f>
        <v/>
      </c>
      <c r="B1710" t="inlineStr">
        <is>
          <t>2:48</t>
        </is>
      </c>
      <c r="C1710" t="inlineStr">
        <is>
          <t>discovered me a little bit and I get</t>
        </is>
      </c>
      <c r="D1710">
        <f>HYPERLINK("https://www.youtube.com/watch?v=u0E-B-7VWJY&amp;t=168s", "Go to time")</f>
        <v/>
      </c>
    </row>
    <row r="1711">
      <c r="A1711">
        <f>HYPERLINK("https://www.youtube.com/watch?v=EzxKO29Oe-Q", "Video")</f>
        <v/>
      </c>
      <c r="B1711" t="inlineStr">
        <is>
          <t>0:11</t>
        </is>
      </c>
      <c r="C1711" t="inlineStr">
        <is>
          <t>Dubai is a bit of a oneoff or the start</t>
        </is>
      </c>
      <c r="D1711">
        <f>HYPERLINK("https://www.youtube.com/watch?v=EzxKO29Oe-Q&amp;t=11s", "Go to time")</f>
        <v/>
      </c>
    </row>
    <row r="1712">
      <c r="A1712">
        <f>HYPERLINK("https://www.youtube.com/watch?v=nWre6hPfswQ", "Video")</f>
        <v/>
      </c>
      <c r="B1712" t="inlineStr">
        <is>
          <t>2:02</t>
        </is>
      </c>
      <c r="C1712" t="inlineStr">
        <is>
          <t>know soothe a little bit of the public</t>
        </is>
      </c>
      <c r="D1712">
        <f>HYPERLINK("https://www.youtube.com/watch?v=nWre6hPfswQ&amp;t=122s", "Go to time")</f>
        <v/>
      </c>
    </row>
    <row r="1713">
      <c r="A1713">
        <f>HYPERLINK("https://www.youtube.com/watch?v=4S-4mTvK4cI", "Video")</f>
        <v/>
      </c>
      <c r="B1713" t="inlineStr">
        <is>
          <t>0:27</t>
        </is>
      </c>
      <c r="C1713" t="inlineStr">
        <is>
          <t>of the future-it is an
ambition, it's a hypothesis.</t>
        </is>
      </c>
      <c r="D1713">
        <f>HYPERLINK("https://www.youtube.com/watch?v=4S-4mTvK4cI&amp;t=27s", "Go to time")</f>
        <v/>
      </c>
    </row>
    <row r="1714">
      <c r="A1714">
        <f>HYPERLINK("https://www.youtube.com/watch?v=oiTc587BtNE", "Video")</f>
        <v/>
      </c>
      <c r="B1714" t="inlineStr">
        <is>
          <t>0:39</t>
        </is>
      </c>
      <c r="C1714" t="inlineStr">
        <is>
          <t>a little there was a little bit of</t>
        </is>
      </c>
      <c r="D1714">
        <f>HYPERLINK("https://www.youtube.com/watch?v=oiTc587BtNE&amp;t=39s", "Go to time")</f>
        <v/>
      </c>
    </row>
    <row r="1715">
      <c r="A1715">
        <f>HYPERLINK("https://www.youtube.com/watch?v=kBU-0UGUy1o", "Video")</f>
        <v/>
      </c>
      <c r="B1715" t="inlineStr">
        <is>
          <t>11:11</t>
        </is>
      </c>
      <c r="C1715" t="inlineStr">
        <is>
          <t>are protected a bit by shock that that</t>
        </is>
      </c>
      <c r="D1715">
        <f>HYPERLINK("https://www.youtube.com/watch?v=kBU-0UGUy1o&amp;t=671s", "Go to time")</f>
        <v/>
      </c>
    </row>
    <row r="1716">
      <c r="A1716">
        <f>HYPERLINK("https://www.youtube.com/watch?v=kBU-0UGUy1o", "Video")</f>
        <v/>
      </c>
      <c r="B1716" t="inlineStr">
        <is>
          <t>30:38</t>
        </is>
      </c>
      <c r="C1716" t="inlineStr">
        <is>
          <t>may be a little bit more virulent people</t>
        </is>
      </c>
      <c r="D1716">
        <f>HYPERLINK("https://www.youtube.com/watch?v=kBU-0UGUy1o&amp;t=1838s", "Go to time")</f>
        <v/>
      </c>
    </row>
    <row r="1717">
      <c r="A1717">
        <f>HYPERLINK("https://www.youtube.com/watch?v=_d4ZDSCCcas", "Video")</f>
        <v/>
      </c>
      <c r="B1717" t="inlineStr">
        <is>
          <t>7:24</t>
        </is>
      </c>
      <c r="C1717" t="inlineStr">
        <is>
          <t>kind of have a sense of the investment habits
and patterns of millions and millions of people</t>
        </is>
      </c>
      <c r="D1717">
        <f>HYPERLINK("https://www.youtube.com/watch?v=_d4ZDSCCcas&amp;t=444s", "Go to time")</f>
        <v/>
      </c>
    </row>
    <row r="1718">
      <c r="A1718">
        <f>HYPERLINK("https://www.youtube.com/watch?v=_d4ZDSCCcas", "Video")</f>
        <v/>
      </c>
      <c r="B1718" t="inlineStr">
        <is>
          <t>7:55</t>
        </is>
      </c>
      <c r="C1718" t="inlineStr">
        <is>
          <t>habits as well again, either because they
don’t have the money or they don’t want</t>
        </is>
      </c>
      <c r="D1718">
        <f>HYPERLINK("https://www.youtube.com/watch?v=_d4ZDSCCcas&amp;t=475s", "Go to time")</f>
        <v/>
      </c>
    </row>
    <row r="1719">
      <c r="A1719">
        <f>HYPERLINK("https://www.youtube.com/watch?v=UAP5K2RNpQw", "Video")</f>
        <v/>
      </c>
      <c r="B1719" t="inlineStr">
        <is>
          <t>2:29</t>
        </is>
      </c>
      <c r="C1719" t="inlineStr">
        <is>
          <t>whenever I needed a bit of correction</t>
        </is>
      </c>
      <c r="D1719">
        <f>HYPERLINK("https://www.youtube.com/watch?v=UAP5K2RNpQw&amp;t=149s", "Go to time")</f>
        <v/>
      </c>
    </row>
    <row r="1720">
      <c r="A1720">
        <f>HYPERLINK("https://www.youtube.com/watch?v=TLm6dC34gYk", "Video")</f>
        <v/>
      </c>
      <c r="B1720" t="inlineStr">
        <is>
          <t>8:32</t>
        </is>
      </c>
      <c r="C1720" t="inlineStr">
        <is>
          <t>with a red flag that things
are a little bit unstable.</t>
        </is>
      </c>
      <c r="D1720">
        <f>HYPERLINK("https://www.youtube.com/watch?v=TLm6dC34gYk&amp;t=512s", "Go to time")</f>
        <v/>
      </c>
    </row>
    <row r="1721">
      <c r="A1721">
        <f>HYPERLINK("https://www.youtube.com/watch?v=dZbZ5OcGFXc", "Video")</f>
        <v/>
      </c>
      <c r="B1721" t="inlineStr">
        <is>
          <t>0:59</t>
        </is>
      </c>
      <c r="C1721" t="inlineStr">
        <is>
          <t>more demand for credit, then we will have
to start paying a little bit more and we'll</t>
        </is>
      </c>
      <c r="D1721">
        <f>HYPERLINK("https://www.youtube.com/watch?v=dZbZ5OcGFXc&amp;t=59s", "Go to time")</f>
        <v/>
      </c>
    </row>
    <row r="1722">
      <c r="A1722">
        <f>HYPERLINK("https://www.youtube.com/watch?v=dZbZ5OcGFXc", "Video")</f>
        <v/>
      </c>
      <c r="B1722" t="inlineStr">
        <is>
          <t>1:18</t>
        </is>
      </c>
      <c r="C1722" t="inlineStr">
        <is>
          <t>But over the long term, there's no doubt – we
need to cut spending a little bit and we need</t>
        </is>
      </c>
      <c r="D1722">
        <f>HYPERLINK("https://www.youtube.com/watch?v=dZbZ5OcGFXc&amp;t=78s", "Go to time")</f>
        <v/>
      </c>
    </row>
    <row r="1723">
      <c r="A1723">
        <f>HYPERLINK("https://www.youtube.com/watch?v=dZbZ5OcGFXc", "Video")</f>
        <v/>
      </c>
      <c r="B1723" t="inlineStr">
        <is>
          <t>1:36</t>
        </is>
      </c>
      <c r="C1723" t="inlineStr">
        <is>
          <t>extending the retirement age a little bit,
cutting benefits a little bit, and maybe we'll</t>
        </is>
      </c>
      <c r="D1723">
        <f>HYPERLINK("https://www.youtube.com/watch?v=dZbZ5OcGFXc&amp;t=96s", "Go to time")</f>
        <v/>
      </c>
    </row>
    <row r="1724">
      <c r="A1724">
        <f>HYPERLINK("https://www.youtube.com/watch?v=v32ZtHUEqYQ", "Video")</f>
        <v/>
      </c>
      <c r="B1724" t="inlineStr">
        <is>
          <t>0:33</t>
        </is>
      </c>
      <c r="C1724" t="inlineStr">
        <is>
          <t>How do habits and goals actually interact?</t>
        </is>
      </c>
      <c r="D1724">
        <f>HYPERLINK("https://www.youtube.com/watch?v=v32ZtHUEqYQ&amp;t=33s", "Go to time")</f>
        <v/>
      </c>
    </row>
    <row r="1725">
      <c r="A1725">
        <f>HYPERLINK("https://www.youtube.com/watch?v=v32ZtHUEqYQ", "Video")</f>
        <v/>
      </c>
      <c r="B1725" t="inlineStr">
        <is>
          <t>0:49</t>
        </is>
      </c>
      <c r="C1725" t="inlineStr">
        <is>
          <t>Is that a habit, a goal, willpower?</t>
        </is>
      </c>
      <c r="D1725">
        <f>HYPERLINK("https://www.youtube.com/watch?v=v32ZtHUEqYQ&amp;t=49s", "Go to time")</f>
        <v/>
      </c>
    </row>
    <row r="1726">
      <c r="A1726">
        <f>HYPERLINK("https://www.youtube.com/watch?v=v32ZtHUEqYQ", "Video")</f>
        <v/>
      </c>
      <c r="B1726" t="inlineStr">
        <is>
          <t>0:56</t>
        </is>
      </c>
      <c r="C1726" t="inlineStr">
        <is>
          <t>It's probably a little bit
of both, all of those things,</t>
        </is>
      </c>
      <c r="D1726">
        <f>HYPERLINK("https://www.youtube.com/watch?v=v32ZtHUEqYQ&amp;t=56s", "Go to time")</f>
        <v/>
      </c>
    </row>
    <row r="1727">
      <c r="A1727">
        <f>HYPERLINK("https://www.youtube.com/watch?v=v32ZtHUEqYQ", "Video")</f>
        <v/>
      </c>
      <c r="B1727" t="inlineStr">
        <is>
          <t>0:59</t>
        </is>
      </c>
      <c r="C1727" t="inlineStr">
        <is>
          <t>but it's definitely habit.</t>
        </is>
      </c>
      <c r="D1727">
        <f>HYPERLINK("https://www.youtube.com/watch?v=v32ZtHUEqYQ&amp;t=59s", "Go to time")</f>
        <v/>
      </c>
    </row>
    <row r="1728">
      <c r="A1728">
        <f>HYPERLINK("https://www.youtube.com/watch?v=v32ZtHUEqYQ", "Video")</f>
        <v/>
      </c>
      <c r="B1728" t="inlineStr">
        <is>
          <t>1:02</t>
        </is>
      </c>
      <c r="C1728" t="inlineStr">
        <is>
          <t>People act on habits,</t>
        </is>
      </c>
      <c r="D1728">
        <f>HYPERLINK("https://www.youtube.com/watch?v=v32ZtHUEqYQ&amp;t=62s", "Go to time")</f>
        <v/>
      </c>
    </row>
    <row r="1729">
      <c r="A1729">
        <f>HYPERLINK("https://www.youtube.com/watch?v=v32ZtHUEqYQ", "Video")</f>
        <v/>
      </c>
      <c r="B1729" t="inlineStr">
        <is>
          <t>1:16</t>
        </is>
      </c>
      <c r="C1729" t="inlineStr">
        <is>
          <t>after the habit happened.</t>
        </is>
      </c>
      <c r="D1729">
        <f>HYPERLINK("https://www.youtube.com/watch?v=v32ZtHUEqYQ&amp;t=76s", "Go to time")</f>
        <v/>
      </c>
    </row>
    <row r="1730">
      <c r="A1730">
        <f>HYPERLINK("https://www.youtube.com/watch?v=v32ZtHUEqYQ", "Video")</f>
        <v/>
      </c>
      <c r="B1730" t="inlineStr">
        <is>
          <t>1:20</t>
        </is>
      </c>
      <c r="C1730" t="inlineStr">
        <is>
          <t>that habits aren't important.</t>
        </is>
      </c>
      <c r="D1730">
        <f>HYPERLINK("https://www.youtube.com/watch?v=v32ZtHUEqYQ&amp;t=80s", "Go to time")</f>
        <v/>
      </c>
    </row>
    <row r="1731">
      <c r="A1731">
        <f>HYPERLINK("https://www.youtube.com/watch?v=v32ZtHUEqYQ", "Video")</f>
        <v/>
      </c>
      <c r="B1731" t="inlineStr">
        <is>
          <t>2:17</t>
        </is>
      </c>
      <c r="C1731" t="inlineStr">
        <is>
          <t>by addressing the things
that change habits.</t>
        </is>
      </c>
      <c r="D1731">
        <f>HYPERLINK("https://www.youtube.com/watch?v=v32ZtHUEqYQ&amp;t=137s", "Go to time")</f>
        <v/>
      </c>
    </row>
    <row r="1732">
      <c r="A1732">
        <f>HYPERLINK("https://www.youtube.com/watch?v=v32ZtHUEqYQ", "Video")</f>
        <v/>
      </c>
      <c r="B1732" t="inlineStr">
        <is>
          <t>3:01</t>
        </is>
      </c>
      <c r="C1732" t="inlineStr">
        <is>
          <t>that habits are not
important in human behavior.</t>
        </is>
      </c>
      <c r="D1732">
        <f>HYPERLINK("https://www.youtube.com/watch?v=v32ZtHUEqYQ&amp;t=181s", "Go to time")</f>
        <v/>
      </c>
    </row>
    <row r="1733">
      <c r="A1733">
        <f>HYPERLINK("https://www.youtube.com/watch?v=v32ZtHUEqYQ", "Video")</f>
        <v/>
      </c>
      <c r="B1733" t="inlineStr">
        <is>
          <t>3:05</t>
        </is>
      </c>
      <c r="C1733" t="inlineStr">
        <is>
          <t>Habits are always there.</t>
        </is>
      </c>
      <c r="D1733">
        <f>HYPERLINK("https://www.youtube.com/watch?v=v32ZtHUEqYQ&amp;t=185s", "Go to time")</f>
        <v/>
      </c>
    </row>
    <row r="1734">
      <c r="A1734">
        <f>HYPERLINK("https://www.youtube.com/watch?v=ZuJZQUqgA_Q", "Video")</f>
        <v/>
      </c>
      <c r="B1734" t="inlineStr">
        <is>
          <t>2:07</t>
        </is>
      </c>
      <c r="C1734" t="inlineStr">
        <is>
          <t>exhibition um for the public you know</t>
        </is>
      </c>
      <c r="D1734">
        <f>HYPERLINK("https://www.youtube.com/watch?v=ZuJZQUqgA_Q&amp;t=127s", "Go to time")</f>
        <v/>
      </c>
    </row>
    <row r="1735">
      <c r="A1735">
        <f>HYPERLINK("https://www.youtube.com/watch?v=GF-xvBXgqa4", "Video")</f>
        <v/>
      </c>
      <c r="B1735" t="inlineStr">
        <is>
          <t>3:52</t>
        </is>
      </c>
      <c r="C1735" t="inlineStr">
        <is>
          <t>All of us can engage with
rewiring our own habits</t>
        </is>
      </c>
      <c r="D1735">
        <f>HYPERLINK("https://www.youtube.com/watch?v=GF-xvBXgqa4&amp;t=232s", "Go to time")</f>
        <v/>
      </c>
    </row>
    <row r="1736">
      <c r="A1736">
        <f>HYPERLINK("https://www.youtube.com/watch?v=GF-xvBXgqa4", "Video")</f>
        <v/>
      </c>
      <c r="B1736" t="inlineStr">
        <is>
          <t>4:58</t>
        </is>
      </c>
      <c r="C1736" t="inlineStr">
        <is>
          <t>trying to become a little
bit more other-oriented.</t>
        </is>
      </c>
      <c r="D1736">
        <f>HYPERLINK("https://www.youtube.com/watch?v=GF-xvBXgqa4&amp;t=298s", "Go to time")</f>
        <v/>
      </c>
    </row>
    <row r="1737">
      <c r="A1737">
        <f>HYPERLINK("https://www.youtube.com/watch?v=GF-xvBXgqa4", "Video")</f>
        <v/>
      </c>
      <c r="B1737" t="inlineStr">
        <is>
          <t>6:19</t>
        </is>
      </c>
      <c r="C1737" t="inlineStr">
        <is>
          <t>to the good things in
life a little bit more.</t>
        </is>
      </c>
      <c r="D1737">
        <f>HYPERLINK("https://www.youtube.com/watch?v=GF-xvBXgqa4&amp;t=379s", "Go to time")</f>
        <v/>
      </c>
    </row>
    <row r="1738">
      <c r="A1738">
        <f>HYPERLINK("https://www.youtube.com/watch?v=GF-xvBXgqa4", "Video")</f>
        <v/>
      </c>
      <c r="B1738" t="inlineStr">
        <is>
          <t>6:35</t>
        </is>
      </c>
      <c r="C1738" t="inlineStr">
        <is>
          <t>is simply moving our
body a little bit more.</t>
        </is>
      </c>
      <c r="D1738">
        <f>HYPERLINK("https://www.youtube.com/watch?v=GF-xvBXgqa4&amp;t=395s", "Go to time")</f>
        <v/>
      </c>
    </row>
    <row r="1739">
      <c r="A1739">
        <f>HYPERLINK("https://www.youtube.com/watch?v=GF-xvBXgqa4", "Video")</f>
        <v/>
      </c>
      <c r="B1739" t="inlineStr">
        <is>
          <t>6:47</t>
        </is>
      </c>
      <c r="C1739" t="inlineStr">
        <is>
          <t>to move around a little bit more.</t>
        </is>
      </c>
      <c r="D1739">
        <f>HYPERLINK("https://www.youtube.com/watch?v=GF-xvBXgqa4&amp;t=407s", "Go to time")</f>
        <v/>
      </c>
    </row>
    <row r="1740">
      <c r="A1740">
        <f>HYPERLINK("https://www.youtube.com/watch?v=GF-xvBXgqa4", "Video")</f>
        <v/>
      </c>
      <c r="B1740" t="inlineStr">
        <is>
          <t>7:01</t>
        </is>
      </c>
      <c r="C1740" t="inlineStr">
        <is>
          <t>to flourishing a little bit more.</t>
        </is>
      </c>
      <c r="D1740">
        <f>HYPERLINK("https://www.youtube.com/watch?v=GF-xvBXgqa4&amp;t=421s", "Go to time")</f>
        <v/>
      </c>
    </row>
    <row r="1741">
      <c r="A1741">
        <f>HYPERLINK("https://www.youtube.com/watch?v=2mRdMmcmFEI", "Video")</f>
        <v/>
      </c>
      <c r="B1741" t="inlineStr">
        <is>
          <t>2:23</t>
        </is>
      </c>
      <c r="C1741" t="inlineStr">
        <is>
          <t>inhabit this worth work then you know uh</t>
        </is>
      </c>
      <c r="D1741">
        <f>HYPERLINK("https://www.youtube.com/watch?v=2mRdMmcmFEI&amp;t=143s", "Go to time")</f>
        <v/>
      </c>
    </row>
    <row r="1742">
      <c r="A1742">
        <f>HYPERLINK("https://www.youtube.com/watch?v=KF7GkY7MmOs", "Video")</f>
        <v/>
      </c>
      <c r="B1742" t="inlineStr">
        <is>
          <t>2:45</t>
        </is>
      </c>
      <c r="C1742" t="inlineStr">
        <is>
          <t>to have your own child now that's a bit</t>
        </is>
      </c>
      <c r="D1742">
        <f>HYPERLINK("https://www.youtube.com/watch?v=KF7GkY7MmOs&amp;t=165s", "Go to time")</f>
        <v/>
      </c>
    </row>
    <row r="1743">
      <c r="A1743">
        <f>HYPERLINK("https://www.youtube.com/watch?v=3XNQFqUwCnU", "Video")</f>
        <v/>
      </c>
      <c r="B1743" t="inlineStr">
        <is>
          <t>6:38</t>
        </is>
      </c>
      <c r="C1743" t="inlineStr">
        <is>
          <t>We use almost half of the
world's habitable land</t>
        </is>
      </c>
      <c r="D1743">
        <f>HYPERLINK("https://www.youtube.com/watch?v=3XNQFqUwCnU&amp;t=398s", "Go to time")</f>
        <v/>
      </c>
    </row>
    <row r="1744">
      <c r="A1744">
        <f>HYPERLINK("https://www.youtube.com/watch?v=4-b25FQCkHE", "Video")</f>
        <v/>
      </c>
      <c r="B1744" t="inlineStr">
        <is>
          <t>0:12</t>
        </is>
      </c>
      <c r="C1744" t="inlineStr">
        <is>
          <t>something called the Golden rabbits for</t>
        </is>
      </c>
      <c r="D1744">
        <f>HYPERLINK("https://www.youtube.com/watch?v=4-b25FQCkHE&amp;t=12s", "Go to time")</f>
        <v/>
      </c>
    </row>
    <row r="1745">
      <c r="A1745">
        <f>HYPERLINK("https://www.youtube.com/watch?v=qs0OqotqNp0", "Video")</f>
        <v/>
      </c>
      <c r="B1745" t="inlineStr">
        <is>
          <t>0:38</t>
        </is>
      </c>
      <c r="C1745" t="inlineStr">
        <is>
          <t>also a bit therapeutic really. You sit</t>
        </is>
      </c>
      <c r="D1745">
        <f>HYPERLINK("https://www.youtube.com/watch?v=qs0OqotqNp0&amp;t=38s", "Go to time")</f>
        <v/>
      </c>
    </row>
    <row r="1746">
      <c r="A1746">
        <f>HYPERLINK("https://www.youtube.com/watch?v=339jKowpLSE", "Video")</f>
        <v/>
      </c>
      <c r="B1746" t="inlineStr">
        <is>
          <t>8:34</t>
        </is>
      </c>
      <c r="C1746" t="inlineStr">
        <is>
          <t>also think that it will cause a bit of a</t>
        </is>
      </c>
      <c r="D1746">
        <f>HYPERLINK("https://www.youtube.com/watch?v=339jKowpLSE&amp;t=514s", "Go to time")</f>
        <v/>
      </c>
    </row>
    <row r="1747">
      <c r="A1747">
        <f>HYPERLINK("https://www.youtube.com/watch?v=k2TnfqrYDBI", "Video")</f>
        <v/>
      </c>
      <c r="B1747" t="inlineStr">
        <is>
          <t>0:36</t>
        </is>
      </c>
      <c r="C1747" t="inlineStr">
        <is>
          <t>and sending them from stable orbits to</t>
        </is>
      </c>
      <c r="D1747">
        <f>HYPERLINK("https://www.youtube.com/watch?v=k2TnfqrYDBI&amp;t=36s", "Go to time")</f>
        <v/>
      </c>
    </row>
    <row r="1748">
      <c r="A1748">
        <f>HYPERLINK("https://www.youtube.com/watch?v=k2TnfqrYDBI", "Video")</f>
        <v/>
      </c>
      <c r="B1748" t="inlineStr">
        <is>
          <t>0:39</t>
        </is>
      </c>
      <c r="C1748" t="inlineStr">
        <is>
          <t>Earth Crossing orbits we will get hit</t>
        </is>
      </c>
      <c r="D1748">
        <f>HYPERLINK("https://www.youtube.com/watch?v=k2TnfqrYDBI&amp;t=39s", "Go to time")</f>
        <v/>
      </c>
    </row>
    <row r="1749">
      <c r="A1749">
        <f>HYPERLINK("https://www.youtube.com/watch?v=JJcAJ5lTyfw", "Video")</f>
        <v/>
      </c>
      <c r="B1749" t="inlineStr">
        <is>
          <t>1:45</t>
        </is>
      </c>
      <c r="C1749" t="inlineStr">
        <is>
          <t>one of his sound bites where he Compares</t>
        </is>
      </c>
      <c r="D1749">
        <f>HYPERLINK("https://www.youtube.com/watch?v=JJcAJ5lTyfw&amp;t=105s", "Go to time")</f>
        <v/>
      </c>
    </row>
    <row r="1750">
      <c r="A1750">
        <f>HYPERLINK("https://www.youtube.com/watch?v=z-BgUK0Duqc", "Video")</f>
        <v/>
      </c>
      <c r="B1750" t="inlineStr">
        <is>
          <t>2:45</t>
        </is>
      </c>
      <c r="C1750" t="inlineStr">
        <is>
          <t>example uh so I'm doing my little bit</t>
        </is>
      </c>
      <c r="D1750">
        <f>HYPERLINK("https://www.youtube.com/watch?v=z-BgUK0Duqc&amp;t=165s", "Go to time")</f>
        <v/>
      </c>
    </row>
    <row r="1751">
      <c r="A1751">
        <f>HYPERLINK("https://www.youtube.com/watch?v=z-BgUK0Duqc", "Video")</f>
        <v/>
      </c>
      <c r="B1751" t="inlineStr">
        <is>
          <t>3:02</t>
        </is>
      </c>
      <c r="C1751" t="inlineStr">
        <is>
          <t>um is a little bit more there's two of</t>
        </is>
      </c>
      <c r="D1751">
        <f>HYPERLINK("https://www.youtube.com/watch?v=z-BgUK0Duqc&amp;t=182s", "Go to time")</f>
        <v/>
      </c>
    </row>
    <row r="1752">
      <c r="A1752">
        <f>HYPERLINK("https://www.youtube.com/watch?v=z-BgUK0Duqc", "Video")</f>
        <v/>
      </c>
      <c r="B1752" t="inlineStr">
        <is>
          <t>3:06</t>
        </is>
      </c>
      <c r="C1752" t="inlineStr">
        <is>
          <t>bit more than our fair share of the</t>
        </is>
      </c>
      <c r="D1752">
        <f>HYPERLINK("https://www.youtube.com/watch?v=z-BgUK0Duqc&amp;t=186s", "Go to time")</f>
        <v/>
      </c>
    </row>
    <row r="1753">
      <c r="A1753">
        <f>HYPERLINK("https://www.youtube.com/watch?v=ZJXyjp1Z9CY", "Video")</f>
        <v/>
      </c>
      <c r="B1753" t="inlineStr">
        <is>
          <t>2:33</t>
        </is>
      </c>
      <c r="C1753" t="inlineStr">
        <is>
          <t>where they kind of team up a little bit</t>
        </is>
      </c>
      <c r="D1753">
        <f>HYPERLINK("https://www.youtube.com/watch?v=ZJXyjp1Z9CY&amp;t=153s", "Go to time")</f>
        <v/>
      </c>
    </row>
    <row r="1754">
      <c r="A1754">
        <f>HYPERLINK("https://www.youtube.com/watch?v=gt0rpqnVdPI", "Video")</f>
        <v/>
      </c>
      <c r="B1754" t="inlineStr">
        <is>
          <t>8:20</t>
        </is>
      </c>
      <c r="C1754" t="inlineStr">
        <is>
          <t>I'm a little bit in awe.</t>
        </is>
      </c>
      <c r="D1754">
        <f>HYPERLINK("https://www.youtube.com/watch?v=gt0rpqnVdPI&amp;t=500s", "Go to time")</f>
        <v/>
      </c>
    </row>
    <row r="1755">
      <c r="A1755">
        <f>HYPERLINK("https://www.youtube.com/watch?v=gt0rpqnVdPI", "Video")</f>
        <v/>
      </c>
      <c r="B1755" t="inlineStr">
        <is>
          <t>9:58</t>
        </is>
      </c>
      <c r="C1755" t="inlineStr">
        <is>
          <t>Can you talk to me a little bit about some</t>
        </is>
      </c>
      <c r="D1755">
        <f>HYPERLINK("https://www.youtube.com/watch?v=gt0rpqnVdPI&amp;t=598s", "Go to time")</f>
        <v/>
      </c>
    </row>
    <row r="1756">
      <c r="A1756">
        <f>HYPERLINK("https://www.youtube.com/watch?v=gt0rpqnVdPI", "Video")</f>
        <v/>
      </c>
      <c r="B1756" t="inlineStr">
        <is>
          <t>12:28</t>
        </is>
      </c>
      <c r="C1756" t="inlineStr">
        <is>
          <t>- I'd love for you to talk a
little bit about the diversity</t>
        </is>
      </c>
      <c r="D1756">
        <f>HYPERLINK("https://www.youtube.com/watch?v=gt0rpqnVdPI&amp;t=748s", "Go to time")</f>
        <v/>
      </c>
    </row>
    <row r="1757">
      <c r="A1757">
        <f>HYPERLINK("https://www.youtube.com/watch?v=gt0rpqnVdPI", "Video")</f>
        <v/>
      </c>
      <c r="B1757" t="inlineStr">
        <is>
          <t>16:12</t>
        </is>
      </c>
      <c r="C1757" t="inlineStr">
        <is>
          <t>to actually do a little bit of stargazing.</t>
        </is>
      </c>
      <c r="D1757">
        <f>HYPERLINK("https://www.youtube.com/watch?v=gt0rpqnVdPI&amp;t=972s", "Go to time")</f>
        <v/>
      </c>
    </row>
    <row r="1758">
      <c r="A1758">
        <f>HYPERLINK("https://www.youtube.com/watch?v=gt0rpqnVdPI", "Video")</f>
        <v/>
      </c>
      <c r="B1758" t="inlineStr">
        <is>
          <t>16:14</t>
        </is>
      </c>
      <c r="C1758" t="inlineStr">
        <is>
          <t>- Maybe you could tell
me a little bit more</t>
        </is>
      </c>
      <c r="D1758">
        <f>HYPERLINK("https://www.youtube.com/watch?v=gt0rpqnVdPI&amp;t=974s", "Go to time")</f>
        <v/>
      </c>
    </row>
    <row r="1759">
      <c r="A1759">
        <f>HYPERLINK("https://www.youtube.com/watch?v=gt0rpqnVdPI", "Video")</f>
        <v/>
      </c>
      <c r="B1759" t="inlineStr">
        <is>
          <t>21:50</t>
        </is>
      </c>
      <c r="C1759" t="inlineStr">
        <is>
          <t>to understand a little bit
whatever we can understand</t>
        </is>
      </c>
      <c r="D1759">
        <f>HYPERLINK("https://www.youtube.com/watch?v=gt0rpqnVdPI&amp;t=1310s", "Go to time")</f>
        <v/>
      </c>
    </row>
    <row r="1760">
      <c r="A1760">
        <f>HYPERLINK("https://www.youtube.com/watch?v=gt0rpqnVdPI", "Video")</f>
        <v/>
      </c>
      <c r="B1760" t="inlineStr">
        <is>
          <t>25:49</t>
        </is>
      </c>
      <c r="C1760" t="inlineStr">
        <is>
          <t>to study what might be the smallest bits</t>
        </is>
      </c>
      <c r="D1760">
        <f>HYPERLINK("https://www.youtube.com/watch?v=gt0rpqnVdPI&amp;t=1549s", "Go to time")</f>
        <v/>
      </c>
    </row>
    <row r="1761">
      <c r="A1761">
        <f>HYPERLINK("https://www.youtube.com/watch?v=gt0rpqnVdPI", "Video")</f>
        <v/>
      </c>
      <c r="B1761" t="inlineStr">
        <is>
          <t>27:43</t>
        </is>
      </c>
      <c r="C1761" t="inlineStr">
        <is>
          <t>So we ended up with a tiny
little bit extra matter,</t>
        </is>
      </c>
      <c r="D1761">
        <f>HYPERLINK("https://www.youtube.com/watch?v=gt0rpqnVdPI&amp;t=1663s", "Go to time")</f>
        <v/>
      </c>
    </row>
    <row r="1762">
      <c r="A1762">
        <f>HYPERLINK("https://www.youtube.com/watch?v=gt0rpqnVdPI", "Video")</f>
        <v/>
      </c>
      <c r="B1762" t="inlineStr">
        <is>
          <t>29:26</t>
        </is>
      </c>
      <c r="C1762" t="inlineStr">
        <is>
          <t>to help us understand a little
bit more about the Universe.</t>
        </is>
      </c>
      <c r="D1762">
        <f>HYPERLINK("https://www.youtube.com/watch?v=gt0rpqnVdPI&amp;t=1766s", "Go to time")</f>
        <v/>
      </c>
    </row>
    <row r="1763">
      <c r="A1763">
        <f>HYPERLINK("https://www.youtube.com/watch?v=gt0rpqnVdPI", "Video")</f>
        <v/>
      </c>
      <c r="B1763" t="inlineStr">
        <is>
          <t>37:45</t>
        </is>
      </c>
      <c r="C1763" t="inlineStr">
        <is>
          <t>As it turns out, there's quite
a bit of cloud cover tonight.</t>
        </is>
      </c>
      <c r="D1763">
        <f>HYPERLINK("https://www.youtube.com/watch?v=gt0rpqnVdPI&amp;t=2265s", "Go to time")</f>
        <v/>
      </c>
    </row>
    <row r="1764">
      <c r="A1764">
        <f>HYPERLINK("https://www.youtube.com/watch?v=mq_-7sF4wlg", "Video")</f>
        <v/>
      </c>
      <c r="B1764" t="inlineStr">
        <is>
          <t>2:12</t>
        </is>
      </c>
      <c r="C1764" t="inlineStr">
        <is>
          <t>we decide um we know a little bit about</t>
        </is>
      </c>
      <c r="D1764">
        <f>HYPERLINK("https://www.youtube.com/watch?v=mq_-7sF4wlg&amp;t=132s", "Go to time")</f>
        <v/>
      </c>
    </row>
    <row r="1765">
      <c r="A1765">
        <f>HYPERLINK("https://www.youtube.com/watch?v=mq_-7sF4wlg", "Video")</f>
        <v/>
      </c>
      <c r="B1765" t="inlineStr">
        <is>
          <t>3:03</t>
        </is>
      </c>
      <c r="C1765" t="inlineStr">
        <is>
          <t>inhibits their ability to decide and act</t>
        </is>
      </c>
      <c r="D1765">
        <f>HYPERLINK("https://www.youtube.com/watch?v=mq_-7sF4wlg&amp;t=183s", "Go to time")</f>
        <v/>
      </c>
    </row>
    <row r="1766">
      <c r="A1766">
        <f>HYPERLINK("https://www.youtube.com/watch?v=qZak_b78xIU", "Video")</f>
        <v/>
      </c>
      <c r="B1766" t="inlineStr">
        <is>
          <t>4:47</t>
        </is>
      </c>
      <c r="C1766" t="inlineStr">
        <is>
          <t>and that's happening
quite a bit these days</t>
        </is>
      </c>
      <c r="D1766">
        <f>HYPERLINK("https://www.youtube.com/watch?v=qZak_b78xIU&amp;t=287s", "Go to time")</f>
        <v/>
      </c>
    </row>
    <row r="1767">
      <c r="A1767">
        <f>HYPERLINK("https://www.youtube.com/watch?v=95lb-yqSbBc", "Video")</f>
        <v/>
      </c>
      <c r="B1767" t="inlineStr">
        <is>
          <t>3:46</t>
        </is>
      </c>
      <c r="C1767" t="inlineStr">
        <is>
          <t>to help a little bit but um but I think</t>
        </is>
      </c>
      <c r="D1767">
        <f>HYPERLINK("https://www.youtube.com/watch?v=95lb-yqSbBc&amp;t=226s", "Go to time")</f>
        <v/>
      </c>
    </row>
    <row r="1768">
      <c r="A1768">
        <f>HYPERLINK("https://www.youtube.com/watch?v=9-dRdALgvmc", "Video")</f>
        <v/>
      </c>
      <c r="B1768" t="inlineStr">
        <is>
          <t>3:58</t>
        </is>
      </c>
      <c r="C1768" t="inlineStr">
        <is>
          <t>to pay in the bit now it sounds like a</t>
        </is>
      </c>
      <c r="D1768">
        <f>HYPERLINK("https://www.youtube.com/watch?v=9-dRdALgvmc&amp;t=238s", "Go to time")</f>
        <v/>
      </c>
    </row>
    <row r="1769">
      <c r="A1769">
        <f>HYPERLINK("https://www.youtube.com/watch?v=9-dRdALgvmc", "Video")</f>
        <v/>
      </c>
      <c r="B1769" t="inlineStr">
        <is>
          <t>5:23</t>
        </is>
      </c>
      <c r="C1769" t="inlineStr">
        <is>
          <t>habit and to illustrate this let me give</t>
        </is>
      </c>
      <c r="D1769">
        <f>HYPERLINK("https://www.youtube.com/watch?v=9-dRdALgvmc&amp;t=323s", "Go to time")</f>
        <v/>
      </c>
    </row>
    <row r="1770">
      <c r="A1770">
        <f>HYPERLINK("https://www.youtube.com/watch?v=9-dRdALgvmc", "Video")</f>
        <v/>
      </c>
      <c r="B1770" t="inlineStr">
        <is>
          <t>6:24</t>
        </is>
      </c>
      <c r="C1770" t="inlineStr">
        <is>
          <t>again and again until it becomes a habit</t>
        </is>
      </c>
      <c r="D1770">
        <f>HYPERLINK("https://www.youtube.com/watch?v=9-dRdALgvmc&amp;t=384s", "Go to time")</f>
        <v/>
      </c>
    </row>
    <row r="1771">
      <c r="A1771">
        <f>HYPERLINK("https://www.youtube.com/watch?v=CO-6iqCum1w", "Video")</f>
        <v/>
      </c>
      <c r="B1771" t="inlineStr">
        <is>
          <t>2:38</t>
        </is>
      </c>
      <c r="C1771" t="inlineStr">
        <is>
          <t>And I know it sounds a little
bit like I'm making my life</t>
        </is>
      </c>
      <c r="D1771">
        <f>HYPERLINK("https://www.youtube.com/watch?v=CO-6iqCum1w&amp;t=158s", "Go to time")</f>
        <v/>
      </c>
    </row>
    <row r="1772">
      <c r="A1772">
        <f>HYPERLINK("https://www.youtube.com/watch?v=_oVY317VOv4", "Video")</f>
        <v/>
      </c>
      <c r="B1772" t="inlineStr">
        <is>
          <t>2:06</t>
        </is>
      </c>
      <c r="C1772" t="inlineStr">
        <is>
          <t>inhibited about our voices I mean we can</t>
        </is>
      </c>
      <c r="D1772">
        <f>HYPERLINK("https://www.youtube.com/watch?v=_oVY317VOv4&amp;t=126s", "Go to time")</f>
        <v/>
      </c>
    </row>
    <row r="1773">
      <c r="A1773">
        <f>HYPERLINK("https://www.youtube.com/watch?v=_oVY317VOv4", "Video")</f>
        <v/>
      </c>
      <c r="B1773" t="inlineStr">
        <is>
          <t>2:38</t>
        </is>
      </c>
      <c r="C1773" t="inlineStr">
        <is>
          <t>fear uh and inhibition and</t>
        </is>
      </c>
      <c r="D1773">
        <f>HYPERLINK("https://www.youtube.com/watch?v=_oVY317VOv4&amp;t=158s", "Go to time")</f>
        <v/>
      </c>
    </row>
    <row r="1774">
      <c r="A1774">
        <f>HYPERLINK("https://www.youtube.com/watch?v=_oVY317VOv4", "Video")</f>
        <v/>
      </c>
      <c r="B1774" t="inlineStr">
        <is>
          <t>3:13</t>
        </is>
      </c>
      <c r="C1774" t="inlineStr">
        <is>
          <t>inhibition that uh you know what I say</t>
        </is>
      </c>
      <c r="D1774">
        <f>HYPERLINK("https://www.youtube.com/watch?v=_oVY317VOv4&amp;t=193s", "Go to time")</f>
        <v/>
      </c>
    </row>
    <row r="1775">
      <c r="A1775">
        <f>HYPERLINK("https://www.youtube.com/watch?v=cCHuZw4UTas", "Video")</f>
        <v/>
      </c>
      <c r="B1775" t="inlineStr">
        <is>
          <t>3:40</t>
        </is>
      </c>
      <c r="C1775" t="inlineStr">
        <is>
          <t>bit of money but we give them a great</t>
        </is>
      </c>
      <c r="D1775">
        <f>HYPERLINK("https://www.youtube.com/watch?v=cCHuZw4UTas&amp;t=220s", "Go to time")</f>
        <v/>
      </c>
    </row>
    <row r="1776">
      <c r="A1776">
        <f>HYPERLINK("https://www.youtube.com/watch?v=CFnMRdnH9DA", "Video")</f>
        <v/>
      </c>
      <c r="B1776" t="inlineStr">
        <is>
          <t>0:34</t>
        </is>
      </c>
      <c r="C1776" t="inlineStr">
        <is>
          <t>up again you can't be sure that a bit of</t>
        </is>
      </c>
      <c r="D1776">
        <f>HYPERLINK("https://www.youtube.com/watch?v=CFnMRdnH9DA&amp;t=34s", "Go to time")</f>
        <v/>
      </c>
    </row>
    <row r="1777">
      <c r="A1777">
        <f>HYPERLINK("https://www.youtube.com/watch?v=hDc0d2AZbs8", "Video")</f>
        <v/>
      </c>
      <c r="B1777" t="inlineStr">
        <is>
          <t>0:55</t>
        </is>
      </c>
      <c r="C1777" t="inlineStr">
        <is>
          <t>scaled is quite a bit different in that</t>
        </is>
      </c>
      <c r="D1777">
        <f>HYPERLINK("https://www.youtube.com/watch?v=hDc0d2AZbs8&amp;t=55s", "Go to time")</f>
        <v/>
      </c>
    </row>
    <row r="1778">
      <c r="A1778">
        <f>HYPERLINK("https://www.youtube.com/watch?v=at4K366YyN0", "Video")</f>
        <v/>
      </c>
      <c r="B1778" t="inlineStr">
        <is>
          <t>2:28</t>
        </is>
      </c>
      <c r="C1778" t="inlineStr">
        <is>
          <t>little bit beyond economics one one you</t>
        </is>
      </c>
      <c r="D1778">
        <f>HYPERLINK("https://www.youtube.com/watch?v=at4K366YyN0&amp;t=148s", "Go to time")</f>
        <v/>
      </c>
    </row>
    <row r="1779">
      <c r="A1779">
        <f>HYPERLINK("https://www.youtube.com/watch?v=S33V-WPbFfM", "Video")</f>
        <v/>
      </c>
      <c r="B1779" t="inlineStr">
        <is>
          <t>0:53</t>
        </is>
      </c>
      <c r="C1779" t="inlineStr">
        <is>
          <t>So it made us think quite a bit as to well,
why do people become teachers and how do we</t>
        </is>
      </c>
      <c r="D1779">
        <f>HYPERLINK("https://www.youtube.com/watch?v=S33V-WPbFfM&amp;t=53s", "Go to time")</f>
        <v/>
      </c>
    </row>
    <row r="1780">
      <c r="A1780">
        <f>HYPERLINK("https://www.youtube.com/watch?v=1QA-V8MkDvY", "Video")</f>
        <v/>
      </c>
      <c r="B1780" t="inlineStr">
        <is>
          <t>3:03</t>
        </is>
      </c>
      <c r="C1780" t="inlineStr">
        <is>
          <t>So all of these things help
give you a little bit of space</t>
        </is>
      </c>
      <c r="D1780">
        <f>HYPERLINK("https://www.youtube.com/watch?v=1QA-V8MkDvY&amp;t=183s", "Go to time")</f>
        <v/>
      </c>
    </row>
    <row r="1781">
      <c r="A1781">
        <f>HYPERLINK("https://www.youtube.com/watch?v=DBG1Wgg32Ok", "Video")</f>
        <v/>
      </c>
      <c r="B1781" t="inlineStr">
        <is>
          <t>4:24</t>
        </is>
      </c>
      <c r="C1781" t="inlineStr">
        <is>
          <t>It's the bit of your brain that says,</t>
        </is>
      </c>
      <c r="D1781">
        <f>HYPERLINK("https://www.youtube.com/watch?v=DBG1Wgg32Ok&amp;t=264s", "Go to time")</f>
        <v/>
      </c>
    </row>
    <row r="1782">
      <c r="A1782">
        <f>HYPERLINK("https://www.youtube.com/watch?v=DBG1Wgg32Ok", "Video")</f>
        <v/>
      </c>
      <c r="B1782" t="inlineStr">
        <is>
          <t>4:30</t>
        </is>
      </c>
      <c r="C1782" t="inlineStr">
        <is>
          <t>It's the bit of your brain
that says it is worth</t>
        </is>
      </c>
      <c r="D1782">
        <f>HYPERLINK("https://www.youtube.com/watch?v=DBG1Wgg32Ok&amp;t=270s", "Go to time")</f>
        <v/>
      </c>
    </row>
    <row r="1783">
      <c r="A1783">
        <f>HYPERLINK("https://www.youtube.com/watch?v=DBG1Wgg32Ok", "Video")</f>
        <v/>
      </c>
      <c r="B1783" t="inlineStr">
        <is>
          <t>4:37</t>
        </is>
      </c>
      <c r="C1783" t="inlineStr">
        <is>
          <t>And that bit of the brain
develops considerably earlier</t>
        </is>
      </c>
      <c r="D1783">
        <f>HYPERLINK("https://www.youtube.com/watch?v=DBG1Wgg32Ok&amp;t=277s", "Go to time")</f>
        <v/>
      </c>
    </row>
    <row r="1784">
      <c r="A1784">
        <f>HYPERLINK("https://www.youtube.com/watch?v=DBG1Wgg32Ok", "Video")</f>
        <v/>
      </c>
      <c r="B1784" t="inlineStr">
        <is>
          <t>4:43</t>
        </is>
      </c>
      <c r="C1784" t="inlineStr">
        <is>
          <t>Partly because girls go into
puberty a bit earlier than boys</t>
        </is>
      </c>
      <c r="D1784">
        <f>HYPERLINK("https://www.youtube.com/watch?v=DBG1Wgg32Ok&amp;t=283s", "Go to time")</f>
        <v/>
      </c>
    </row>
    <row r="1785">
      <c r="A1785">
        <f>HYPERLINK("https://www.youtube.com/watch?v=teNE748O-vw", "Video")</f>
        <v/>
      </c>
      <c r="B1785" t="inlineStr">
        <is>
          <t>5:16</t>
        </is>
      </c>
      <c r="C1785" t="inlineStr">
        <is>
          <t>there was this exhibit called "Futurama,"</t>
        </is>
      </c>
      <c r="D1785">
        <f>HYPERLINK("https://www.youtube.com/watch?v=teNE748O-vw&amp;t=316s", "Go to time")</f>
        <v/>
      </c>
    </row>
    <row r="1786">
      <c r="A1786">
        <f>HYPERLINK("https://www.youtube.com/watch?v=teNE748O-vw", "Video")</f>
        <v/>
      </c>
      <c r="B1786" t="inlineStr">
        <is>
          <t>5:36</t>
        </is>
      </c>
      <c r="C1786" t="inlineStr">
        <is>
          <t>but the one thing across
the entire exhibit</t>
        </is>
      </c>
      <c r="D1786">
        <f>HYPERLINK("https://www.youtube.com/watch?v=teNE748O-vw&amp;t=336s", "Go to time")</f>
        <v/>
      </c>
    </row>
    <row r="1787">
      <c r="A1787">
        <f>HYPERLINK("https://www.youtube.com/watch?v=0xp_GwAKZnY", "Video")</f>
        <v/>
      </c>
      <c r="B1787" t="inlineStr">
        <is>
          <t>4:31</t>
        </is>
      </c>
      <c r="C1787" t="inlineStr">
        <is>
          <t>little bit tricky we've said well what</t>
        </is>
      </c>
      <c r="D1787">
        <f>HYPERLINK("https://www.youtube.com/watch?v=0xp_GwAKZnY&amp;t=271s", "Go to time")</f>
        <v/>
      </c>
    </row>
    <row r="1788">
      <c r="A1788">
        <f>HYPERLINK("https://www.youtube.com/watch?v=0xp_GwAKZnY", "Video")</f>
        <v/>
      </c>
      <c r="B1788" t="inlineStr">
        <is>
          <t>7:43</t>
        </is>
      </c>
      <c r="C1788" t="inlineStr">
        <is>
          <t>biases um we had a bit of a challenge</t>
        </is>
      </c>
      <c r="D1788">
        <f>HYPERLINK("https://www.youtube.com/watch?v=0xp_GwAKZnY&amp;t=463s", "Go to time")</f>
        <v/>
      </c>
    </row>
    <row r="1789">
      <c r="A1789">
        <f>HYPERLINK("https://www.youtube.com/watch?v=WGwgFVmUZlw", "Video")</f>
        <v/>
      </c>
      <c r="B1789" t="inlineStr">
        <is>
          <t>2:03</t>
        </is>
      </c>
      <c r="C1789" t="inlineStr">
        <is>
          <t>Sometimes he used a little bit stronger language
than that.</t>
        </is>
      </c>
      <c r="D1789">
        <f>HYPERLINK("https://www.youtube.com/watch?v=WGwgFVmUZlw&amp;t=123s", "Go to time")</f>
        <v/>
      </c>
    </row>
    <row r="1790">
      <c r="A1790">
        <f>HYPERLINK("https://www.youtube.com/watch?v=5irYVz1lV4U", "Video")</f>
        <v/>
      </c>
      <c r="B1790" t="inlineStr">
        <is>
          <t>0:28</t>
        </is>
      </c>
      <c r="C1790" t="inlineStr">
        <is>
          <t>so uh a little bit of salt adds flavor</t>
        </is>
      </c>
      <c r="D1790">
        <f>HYPERLINK("https://www.youtube.com/watch?v=5irYVz1lV4U&amp;t=28s", "Go to time")</f>
        <v/>
      </c>
    </row>
    <row r="1791">
      <c r="A1791">
        <f>HYPERLINK("https://www.youtube.com/watch?v=5irYVz1lV4U", "Video")</f>
        <v/>
      </c>
      <c r="B1791" t="inlineStr">
        <is>
          <t>0:32</t>
        </is>
      </c>
      <c r="C1791" t="inlineStr">
        <is>
          <t>uh the next bit adds not quite as much</t>
        </is>
      </c>
      <c r="D1791">
        <f>HYPERLINK("https://www.youtube.com/watch?v=5irYVz1lV4U&amp;t=32s", "Go to time")</f>
        <v/>
      </c>
    </row>
    <row r="1792">
      <c r="A1792">
        <f>HYPERLINK("https://www.youtube.com/watch?v=5irYVz1lV4U", "Video")</f>
        <v/>
      </c>
      <c r="B1792" t="inlineStr">
        <is>
          <t>1:42</t>
        </is>
      </c>
      <c r="C1792" t="inlineStr">
        <is>
          <t>product the uh the first little bits of</t>
        </is>
      </c>
      <c r="D1792">
        <f>HYPERLINK("https://www.youtube.com/watch?v=5irYVz1lV4U&amp;t=102s", "Go to time")</f>
        <v/>
      </c>
    </row>
    <row r="1793">
      <c r="A1793">
        <f>HYPERLINK("https://www.youtube.com/watch?v=5irYVz1lV4U", "Video")</f>
        <v/>
      </c>
      <c r="B1793" t="inlineStr">
        <is>
          <t>1:44</t>
        </is>
      </c>
      <c r="C1793" t="inlineStr">
        <is>
          <t>sugar take away bitterness and add a</t>
        </is>
      </c>
      <c r="D1793">
        <f>HYPERLINK("https://www.youtube.com/watch?v=5irYVz1lV4U&amp;t=104s", "Go to time")</f>
        <v/>
      </c>
    </row>
    <row r="1794">
      <c r="A1794">
        <f>HYPERLINK("https://www.youtube.com/watch?v=5irYVz1lV4U", "Video")</f>
        <v/>
      </c>
      <c r="B1794" t="inlineStr">
        <is>
          <t>1:46</t>
        </is>
      </c>
      <c r="C1794" t="inlineStr">
        <is>
          <t>little bit of flavor and then kind of</t>
        </is>
      </c>
      <c r="D1794">
        <f>HYPERLINK("https://www.youtube.com/watch?v=5irYVz1lV4U&amp;t=106s", "Go to time")</f>
        <v/>
      </c>
    </row>
    <row r="1795">
      <c r="A1795">
        <f>HYPERLINK("https://www.youtube.com/watch?v=_Ig9MOv54cg", "Video")</f>
        <v/>
      </c>
      <c r="B1795" t="inlineStr">
        <is>
          <t>6:56</t>
        </is>
      </c>
      <c r="C1795" t="inlineStr">
        <is>
          <t>We're also learning a little bit more</t>
        </is>
      </c>
      <c r="D1795">
        <f>HYPERLINK("https://www.youtube.com/watch?v=_Ig9MOv54cg&amp;t=416s", "Go to time")</f>
        <v/>
      </c>
    </row>
    <row r="1796">
      <c r="A1796">
        <f>HYPERLINK("https://www.youtube.com/watch?v=Am18ZxKgi_g", "Video")</f>
        <v/>
      </c>
      <c r="B1796" t="inlineStr">
        <is>
          <t>0:27</t>
        </is>
      </c>
      <c r="C1796" t="inlineStr">
        <is>
          <t>into an exhibit in an 
imaginary museum.</t>
        </is>
      </c>
      <c r="D1796">
        <f>HYPERLINK("https://www.youtube.com/watch?v=Am18ZxKgi_g&amp;t=27s", "Go to time")</f>
        <v/>
      </c>
    </row>
    <row r="1797">
      <c r="A1797">
        <f>HYPERLINK("https://www.youtube.com/watch?v=SSzk2xLBtq8", "Video")</f>
        <v/>
      </c>
      <c r="B1797" t="inlineStr">
        <is>
          <t>1:02</t>
        </is>
      </c>
      <c r="C1797" t="inlineStr">
        <is>
          <t>people who made me look a little bit</t>
        </is>
      </c>
      <c r="D1797">
        <f>HYPERLINK("https://www.youtube.com/watch?v=SSzk2xLBtq8&amp;t=62s", "Go to time")</f>
        <v/>
      </c>
    </row>
    <row r="1798">
      <c r="A1798">
        <f>HYPERLINK("https://www.youtube.com/watch?v=Y0lAtvzdI4E", "Video")</f>
        <v/>
      </c>
      <c r="B1798" t="inlineStr">
        <is>
          <t>2:09</t>
        </is>
      </c>
      <c r="C1798" t="inlineStr">
        <is>
          <t>sorry if I sound a little bit cynical I</t>
        </is>
      </c>
      <c r="D1798">
        <f>HYPERLINK("https://www.youtube.com/watch?v=Y0lAtvzdI4E&amp;t=129s", "Go to time")</f>
        <v/>
      </c>
    </row>
    <row r="1799">
      <c r="A1799">
        <f>HYPERLINK("https://www.youtube.com/watch?v=Y0lAtvzdI4E", "Video")</f>
        <v/>
      </c>
      <c r="B1799" t="inlineStr">
        <is>
          <t>2:26</t>
        </is>
      </c>
      <c r="C1799" t="inlineStr">
        <is>
          <t>the you know so some are a little bit</t>
        </is>
      </c>
      <c r="D1799">
        <f>HYPERLINK("https://www.youtube.com/watch?v=Y0lAtvzdI4E&amp;t=146s", "Go to time")</f>
        <v/>
      </c>
    </row>
    <row r="1800">
      <c r="A1800">
        <f>HYPERLINK("https://www.youtube.com/watch?v=Y0lAtvzdI4E", "Video")</f>
        <v/>
      </c>
      <c r="B1800" t="inlineStr">
        <is>
          <t>2:30</t>
        </is>
      </c>
      <c r="C1800" t="inlineStr">
        <is>
          <t>little bit less good on some issues you</t>
        </is>
      </c>
      <c r="D1800">
        <f>HYPERLINK("https://www.youtube.com/watch?v=Y0lAtvzdI4E&amp;t=150s", "Go to time")</f>
        <v/>
      </c>
    </row>
    <row r="1801">
      <c r="A1801">
        <f>HYPERLINK("https://www.youtube.com/watch?v=2ZD7buLY0bI", "Video")</f>
        <v/>
      </c>
      <c r="B1801" t="inlineStr">
        <is>
          <t>0:49</t>
        </is>
      </c>
      <c r="C1801" t="inlineStr">
        <is>
          <t>water for that I boiled it for 10
minutes just because I'm a little bit of</t>
        </is>
      </c>
      <c r="D1801">
        <f>HYPERLINK("https://www.youtube.com/watch?v=2ZD7buLY0bI&amp;t=49s", "Go to time")</f>
        <v/>
      </c>
    </row>
    <row r="1802">
      <c r="A1802">
        <f>HYPERLINK("https://www.youtube.com/watch?v=_dk6RhjRj9g", "Video")</f>
        <v/>
      </c>
      <c r="B1802" t="inlineStr">
        <is>
          <t>0:18</t>
        </is>
      </c>
      <c r="C1802" t="inlineStr">
        <is>
          <t>the curated exhibitions that we take on</t>
        </is>
      </c>
      <c r="D1802">
        <f>HYPERLINK("https://www.youtube.com/watch?v=_dk6RhjRj9g&amp;t=18s", "Go to time")</f>
        <v/>
      </c>
    </row>
    <row r="1803">
      <c r="A1803">
        <f>HYPERLINK("https://www.youtube.com/watch?v=_dk6RhjRj9g", "Video")</f>
        <v/>
      </c>
      <c r="B1803" t="inlineStr">
        <is>
          <t>0:27</t>
        </is>
      </c>
      <c r="C1803" t="inlineStr">
        <is>
          <t>exhibition some years ago about art from</t>
        </is>
      </c>
      <c r="D1803">
        <f>HYPERLINK("https://www.youtube.com/watch?v=_dk6RhjRj9g&amp;t=27s", "Go to time")</f>
        <v/>
      </c>
    </row>
    <row r="1804">
      <c r="A1804">
        <f>HYPERLINK("https://www.youtube.com/watch?v=Sm7KjPill24", "Video")</f>
        <v/>
      </c>
      <c r="B1804" t="inlineStr">
        <is>
          <t>11:52</t>
        </is>
      </c>
      <c r="C1804" t="inlineStr">
        <is>
          <t>to consolidate state laws, which have prohibited
fully automatic weapons and required licenses</t>
        </is>
      </c>
      <c r="D1804">
        <f>HYPERLINK("https://www.youtube.com/watch?v=Sm7KjPill24&amp;t=712s", "Go to time")</f>
        <v/>
      </c>
    </row>
    <row r="1805">
      <c r="A1805">
        <f>HYPERLINK("https://www.youtube.com/watch?v=Sm7KjPill24", "Video")</f>
        <v/>
      </c>
      <c r="B1805" t="inlineStr">
        <is>
          <t>12:56</t>
        </is>
      </c>
      <c r="C1805" t="inlineStr">
        <is>
          <t>It's like historian Gary Wills once said,
"One does not bear arms to shoot a rabbit."</t>
        </is>
      </c>
      <c r="D1805">
        <f>HYPERLINK("https://www.youtube.com/watch?v=Sm7KjPill24&amp;t=776s", "Go to time")</f>
        <v/>
      </c>
    </row>
    <row r="1806">
      <c r="A1806">
        <f>HYPERLINK("https://www.youtube.com/watch?v=mbYLTqvo774", "Video")</f>
        <v/>
      </c>
      <c r="B1806" t="inlineStr">
        <is>
          <t>2:56</t>
        </is>
      </c>
      <c r="C1806" t="inlineStr">
        <is>
          <t>bit which is that those changes should be
very small so that there can be an accumulation</t>
        </is>
      </c>
      <c r="D1806">
        <f>HYPERLINK("https://www.youtube.com/watch?v=mbYLTqvo774&amp;t=176s", "Go to time")</f>
        <v/>
      </c>
    </row>
    <row r="1807">
      <c r="A1807">
        <f>HYPERLINK("https://www.youtube.com/watch?v=XeTkSeuB-KI", "Video")</f>
        <v/>
      </c>
      <c r="B1807" t="inlineStr">
        <is>
          <t>3:17</t>
        </is>
      </c>
      <c r="C1807" t="inlineStr">
        <is>
          <t>him work a little bit um that was really</t>
        </is>
      </c>
      <c r="D1807">
        <f>HYPERLINK("https://www.youtube.com/watch?v=XeTkSeuB-KI&amp;t=197s", "Go to time")</f>
        <v/>
      </c>
    </row>
    <row r="1808">
      <c r="A1808">
        <f>HYPERLINK("https://www.youtube.com/watch?v=2WShJeNX7W8", "Video")</f>
        <v/>
      </c>
      <c r="B1808" t="inlineStr">
        <is>
          <t>1:00</t>
        </is>
      </c>
      <c r="C1808" t="inlineStr">
        <is>
          <t>and I think happiness is
a little bit like that.</t>
        </is>
      </c>
      <c r="D1808">
        <f>HYPERLINK("https://www.youtube.com/watch?v=2WShJeNX7W8&amp;t=60s", "Go to time")</f>
        <v/>
      </c>
    </row>
    <row r="1809">
      <c r="A1809">
        <f>HYPERLINK("https://www.youtube.com/watch?v=lQd7zqyd_EM", "Video")</f>
        <v/>
      </c>
      <c r="B1809" t="inlineStr">
        <is>
          <t>0:03</t>
        </is>
      </c>
      <c r="C1809" t="inlineStr">
        <is>
          <t>play in our future Ambitions of space</t>
        </is>
      </c>
      <c r="D1809">
        <f>HYPERLINK("https://www.youtube.com/watch?v=lQd7zqyd_EM&amp;t=3s", "Go to time")</f>
        <v/>
      </c>
    </row>
    <row r="1810">
      <c r="A1810">
        <f>HYPERLINK("https://www.youtube.com/watch?v=lQd7zqyd_EM", "Video")</f>
        <v/>
      </c>
      <c r="B1810" t="inlineStr">
        <is>
          <t>1:37</t>
        </is>
      </c>
      <c r="C1810" t="inlineStr">
        <is>
          <t>low earth orbit</t>
        </is>
      </c>
      <c r="D1810">
        <f>HYPERLINK("https://www.youtube.com/watch?v=lQd7zqyd_EM&amp;t=97s", "Go to time")</f>
        <v/>
      </c>
    </row>
    <row r="1811">
      <c r="A1811">
        <f>HYPERLINK("https://www.youtube.com/watch?v=lQd7zqyd_EM", "Video")</f>
        <v/>
      </c>
      <c r="B1811" t="inlineStr">
        <is>
          <t>1:42</t>
        </is>
      </c>
      <c r="C1811" t="inlineStr">
        <is>
          <t>the 60s low earth orbit was a frontier</t>
        </is>
      </c>
      <c r="D1811">
        <f>HYPERLINK("https://www.youtube.com/watch?v=lQd7zqyd_EM&amp;t=102s", "Go to time")</f>
        <v/>
      </c>
    </row>
    <row r="1812">
      <c r="A1812">
        <f>HYPERLINK("https://www.youtube.com/watch?v=lQd7zqyd_EM", "Video")</f>
        <v/>
      </c>
      <c r="B1812" t="inlineStr">
        <is>
          <t>1:49</t>
        </is>
      </c>
      <c r="C1812" t="inlineStr">
        <is>
          <t>orbit would saliva get caught in your</t>
        </is>
      </c>
      <c r="D1812">
        <f>HYPERLINK("https://www.youtube.com/watch?v=lQd7zqyd_EM&amp;t=109s", "Go to time")</f>
        <v/>
      </c>
    </row>
    <row r="1813">
      <c r="A1813">
        <f>HYPERLINK("https://www.youtube.com/watch?v=lQd7zqyd_EM", "Video")</f>
        <v/>
      </c>
      <c r="B1813" t="inlineStr">
        <is>
          <t>1:58</t>
        </is>
      </c>
      <c r="C1813" t="inlineStr">
        <is>
          <t>earth orbit it's done the pat are</t>
        </is>
      </c>
      <c r="D1813">
        <f>HYPERLINK("https://www.youtube.com/watch?v=lQd7zqyd_EM&amp;t=118s", "Go to time")</f>
        <v/>
      </c>
    </row>
    <row r="1814">
      <c r="A1814">
        <f>HYPERLINK("https://www.youtube.com/watch?v=lQd7zqyd_EM", "Video")</f>
        <v/>
      </c>
      <c r="B1814" t="inlineStr">
        <is>
          <t>2:22</t>
        </is>
      </c>
      <c r="C1814" t="inlineStr">
        <is>
          <t>vacation in space or rather in orbit</t>
        </is>
      </c>
      <c r="D1814">
        <f>HYPERLINK("https://www.youtube.com/watch?v=lQd7zqyd_EM&amp;t=142s", "Go to time")</f>
        <v/>
      </c>
    </row>
    <row r="1815">
      <c r="A1815">
        <f>HYPERLINK("https://www.youtube.com/watch?v=hQ4ClFBGLnU", "Video")</f>
        <v/>
      </c>
      <c r="B1815" t="inlineStr">
        <is>
          <t>0:38</t>
        </is>
      </c>
      <c r="C1815" t="inlineStr">
        <is>
          <t>reference points so arbitrary</t>
        </is>
      </c>
      <c r="D1815">
        <f>HYPERLINK("https://www.youtube.com/watch?v=hQ4ClFBGLnU&amp;t=38s", "Go to time")</f>
        <v/>
      </c>
    </row>
    <row r="1816">
      <c r="A1816">
        <f>HYPERLINK("https://www.youtube.com/watch?v=jRPkNMsYnLU", "Video")</f>
        <v/>
      </c>
      <c r="B1816" t="inlineStr">
        <is>
          <t>3:03</t>
        </is>
      </c>
      <c r="C1816" t="inlineStr">
        <is>
          <t>the past, but now there's so much empty space
that this little bit of expansiveness in every</t>
        </is>
      </c>
      <c r="D1816">
        <f>HYPERLINK("https://www.youtube.com/watch?v=jRPkNMsYnLU&amp;t=183s", "Go to time")</f>
        <v/>
      </c>
    </row>
    <row r="1817">
      <c r="A1817">
        <f>HYPERLINK("https://www.youtube.com/watch?v=jRPkNMsYnLU", "Video")</f>
        <v/>
      </c>
      <c r="B1817" t="inlineStr">
        <is>
          <t>4:13</t>
        </is>
      </c>
      <c r="C1817" t="inlineStr">
        <is>
          <t>That's actually a law of nature, that every
process is at least a little bit inefficient.</t>
        </is>
      </c>
      <c r="D1817">
        <f>HYPERLINK("https://www.youtube.com/watch?v=jRPkNMsYnLU&amp;t=253s", "Go to time")</f>
        <v/>
      </c>
    </row>
    <row r="1818">
      <c r="A1818">
        <f>HYPERLINK("https://www.youtube.com/watch?v=jRPkNMsYnLU", "Video")</f>
        <v/>
      </c>
      <c r="B1818" t="inlineStr">
        <is>
          <t>4:32</t>
        </is>
      </c>
      <c r="C1818" t="inlineStr">
        <is>
          <t>create a little bit of disorder in its wake.</t>
        </is>
      </c>
      <c r="D1818">
        <f>HYPERLINK("https://www.youtube.com/watch?v=jRPkNMsYnLU&amp;t=272s", "Go to time")</f>
        <v/>
      </c>
    </row>
    <row r="1819">
      <c r="A1819">
        <f>HYPERLINK("https://www.youtube.com/watch?v=UemhCsaeGgc", "Video")</f>
        <v/>
      </c>
      <c r="B1819" t="inlineStr">
        <is>
          <t>1:53</t>
        </is>
      </c>
      <c r="C1819" t="inlineStr">
        <is>
          <t>to believe that even the laws of physics themselves
are kind of arbitrary.</t>
        </is>
      </c>
      <c r="D1819">
        <f>HYPERLINK("https://www.youtube.com/watch?v=UemhCsaeGgc&amp;t=113s", "Go to time")</f>
        <v/>
      </c>
    </row>
    <row r="1820">
      <c r="A1820">
        <f>HYPERLINK("https://www.youtube.com/watch?v=3afHd3GKTyU", "Video")</f>
        <v/>
      </c>
      <c r="B1820" t="inlineStr">
        <is>
          <t>1:27</t>
        </is>
      </c>
      <c r="C1820" t="inlineStr">
        <is>
          <t>um and I think it's a little bit of a</t>
        </is>
      </c>
      <c r="D1820">
        <f>HYPERLINK("https://www.youtube.com/watch?v=3afHd3GKTyU&amp;t=87s", "Go to time")</f>
        <v/>
      </c>
    </row>
    <row r="1821">
      <c r="A1821">
        <f>HYPERLINK("https://www.youtube.com/watch?v=3afHd3GKTyU", "Video")</f>
        <v/>
      </c>
      <c r="B1821" t="inlineStr">
        <is>
          <t>1:30</t>
        </is>
      </c>
      <c r="C1821" t="inlineStr">
        <is>
          <t>Bittersweet thing that the blogs people</t>
        </is>
      </c>
      <c r="D1821">
        <f>HYPERLINK("https://www.youtube.com/watch?v=3afHd3GKTyU&amp;t=90s", "Go to time")</f>
        <v/>
      </c>
    </row>
    <row r="1822">
      <c r="A1822">
        <f>HYPERLINK("https://www.youtube.com/watch?v=-yM6m83Umjs", "Video")</f>
        <v/>
      </c>
      <c r="B1822" t="inlineStr">
        <is>
          <t>3:46</t>
        </is>
      </c>
      <c r="C1822" t="inlineStr">
        <is>
          <t>Apple, and other companies that are a bit
more tilted towards the millennials.</t>
        </is>
      </c>
      <c r="D1822">
        <f>HYPERLINK("https://www.youtube.com/watch?v=-yM6m83Umjs&amp;t=226s", "Go to time")</f>
        <v/>
      </c>
    </row>
    <row r="1823">
      <c r="A1823">
        <f>HYPERLINK("https://www.youtube.com/watch?v=-yM6m83Umjs", "Video")</f>
        <v/>
      </c>
      <c r="B1823" t="inlineStr">
        <is>
          <t>4:26</t>
        </is>
      </c>
      <c r="C1823" t="inlineStr">
        <is>
          <t>And now they're ready to do real and serious
work with a little bit more of a playful mindset.</t>
        </is>
      </c>
      <c r="D1823">
        <f>HYPERLINK("https://www.youtube.com/watch?v=-yM6m83Umjs&amp;t=266s", "Go to time")</f>
        <v/>
      </c>
    </row>
    <row r="1824">
      <c r="A1824">
        <f>HYPERLINK("https://www.youtube.com/watch?v=pGsbEd6w7PI", "Video")</f>
        <v/>
      </c>
      <c r="B1824" t="inlineStr">
        <is>
          <t>8:33</t>
        </is>
      </c>
      <c r="C1824" t="inlineStr">
        <is>
          <t>Seems like a bit of a random question.</t>
        </is>
      </c>
      <c r="D1824">
        <f>HYPERLINK("https://www.youtube.com/watch?v=pGsbEd6w7PI&amp;t=513s", "Go to time")</f>
        <v/>
      </c>
    </row>
    <row r="1825">
      <c r="A1825">
        <f>HYPERLINK("https://www.youtube.com/watch?v=ke8oFS8-fBk", "Video")</f>
        <v/>
      </c>
      <c r="B1825" t="inlineStr">
        <is>
          <t>2:26</t>
        </is>
      </c>
      <c r="C1825" t="inlineStr">
        <is>
          <t>it seems like there might be
a little bit less free will</t>
        </is>
      </c>
      <c r="D1825">
        <f>HYPERLINK("https://www.youtube.com/watch?v=ke8oFS8-fBk&amp;t=146s", "Go to time")</f>
        <v/>
      </c>
    </row>
    <row r="1826">
      <c r="A1826">
        <f>HYPERLINK("https://www.youtube.com/watch?v=ke8oFS8-fBk", "Video")</f>
        <v/>
      </c>
      <c r="B1826" t="inlineStr">
        <is>
          <t>30:51</t>
        </is>
      </c>
      <c r="C1826" t="inlineStr">
        <is>
          <t>sort of within this material
world that we inhabit?</t>
        </is>
      </c>
      <c r="D1826">
        <f>HYPERLINK("https://www.youtube.com/watch?v=ke8oFS8-fBk&amp;t=1851s", "Go to time")</f>
        <v/>
      </c>
    </row>
    <row r="1827">
      <c r="A1827">
        <f>HYPERLINK("https://www.youtube.com/watch?v=ke8oFS8-fBk", "Video")</f>
        <v/>
      </c>
      <c r="B1827" t="inlineStr">
        <is>
          <t>37:24</t>
        </is>
      </c>
      <c r="C1827" t="inlineStr">
        <is>
          <t>a little bit more 'cause I
find it absolutely fascinating</t>
        </is>
      </c>
      <c r="D1827">
        <f>HYPERLINK("https://www.youtube.com/watch?v=ke8oFS8-fBk&amp;t=2244s", "Go to time")</f>
        <v/>
      </c>
    </row>
    <row r="1828">
      <c r="A1828">
        <f>HYPERLINK("https://www.youtube.com/watch?v=eqgkhTOuQQE", "Video")</f>
        <v/>
      </c>
      <c r="B1828" t="inlineStr">
        <is>
          <t>0:21</t>
        </is>
      </c>
      <c r="C1828" t="inlineStr">
        <is>
          <t>fine audio and a little bit more space</t>
        </is>
      </c>
      <c r="D1828">
        <f>HYPERLINK("https://www.youtube.com/watch?v=eqgkhTOuQQE&amp;t=21s", "Go to time")</f>
        <v/>
      </c>
    </row>
    <row r="1829">
      <c r="A1829">
        <f>HYPERLINK("https://www.youtube.com/watch?v=2jk2scOd2ps", "Video")</f>
        <v/>
      </c>
      <c r="B1829" t="inlineStr">
        <is>
          <t>0:56</t>
        </is>
      </c>
      <c r="C1829" t="inlineStr">
        <is>
          <t>making us stupid so we raised a bit of</t>
        </is>
      </c>
      <c r="D1829">
        <f>HYPERLINK("https://www.youtube.com/watch?v=2jk2scOd2ps&amp;t=56s", "Go to time")</f>
        <v/>
      </c>
    </row>
    <row r="1830">
      <c r="A1830">
        <f>HYPERLINK("https://www.youtube.com/watch?v=2jk2scOd2ps", "Video")</f>
        <v/>
      </c>
      <c r="B1830" t="inlineStr">
        <is>
          <t>2:29</t>
        </is>
      </c>
      <c r="C1830" t="inlineStr">
        <is>
          <t>there's a little a little bit of</t>
        </is>
      </c>
      <c r="D1830">
        <f>HYPERLINK("https://www.youtube.com/watch?v=2jk2scOd2ps&amp;t=149s", "Go to time")</f>
        <v/>
      </c>
    </row>
    <row r="1831">
      <c r="A1831">
        <f>HYPERLINK("https://www.youtube.com/watch?v=2jk2scOd2ps", "Video")</f>
        <v/>
      </c>
      <c r="B1831" t="inlineStr">
        <is>
          <t>2:40</t>
        </is>
      </c>
      <c r="C1831" t="inlineStr">
        <is>
          <t>looked the same I was a little bit</t>
        </is>
      </c>
      <c r="D1831">
        <f>HYPERLINK("https://www.youtube.com/watch?v=2jk2scOd2ps&amp;t=160s", "Go to time")</f>
        <v/>
      </c>
    </row>
    <row r="1832">
      <c r="A1832">
        <f>HYPERLINK("https://www.youtube.com/watch?v=8GqnzBJkWcw", "Video")</f>
        <v/>
      </c>
      <c r="B1832" t="inlineStr">
        <is>
          <t>0:16</t>
        </is>
      </c>
      <c r="C1832" t="inlineStr">
        <is>
          <t>MICHELLE THALLER: Calling what an electron
is and where it is around an atom an ""orbit""</t>
        </is>
      </c>
      <c r="D1832">
        <f>HYPERLINK("https://www.youtube.com/watch?v=8GqnzBJkWcw&amp;t=16s", "Go to time")</f>
        <v/>
      </c>
    </row>
    <row r="1833">
      <c r="A1833">
        <f>HYPERLINK("https://www.youtube.com/watch?v=8GqnzBJkWcw", "Video")</f>
        <v/>
      </c>
      <c r="B1833" t="inlineStr">
        <is>
          <t>1:02</t>
        </is>
      </c>
      <c r="C1833" t="inlineStr">
        <is>
          <t>orbitals as we call them, but again I caution
you nothing is actually moving around like</t>
        </is>
      </c>
      <c r="D1833">
        <f>HYPERLINK("https://www.youtube.com/watch?v=8GqnzBJkWcw&amp;t=62s", "Go to time")</f>
        <v/>
      </c>
    </row>
    <row r="1834">
      <c r="A1834">
        <f>HYPERLINK("https://www.youtube.com/watch?v=8GqnzBJkWcw", "Video")</f>
        <v/>
      </c>
      <c r="B1834" t="inlineStr">
        <is>
          <t>1:07</t>
        </is>
      </c>
      <c r="C1834" t="inlineStr">
        <is>
          <t>Some of these orbitals are shaped like dumbbells
and a single electron actually fills out a</t>
        </is>
      </c>
      <c r="D1834">
        <f>HYPERLINK("https://www.youtube.com/watch?v=8GqnzBJkWcw&amp;t=67s", "Go to time")</f>
        <v/>
      </c>
    </row>
    <row r="1835">
      <c r="A1835">
        <f>HYPERLINK("https://www.youtube.com/watch?v=8GqnzBJkWcw", "Video")</f>
        <v/>
      </c>
      <c r="B1835" t="inlineStr">
        <is>
          <t>6:36</t>
        </is>
      </c>
      <c r="C1835" t="inlineStr">
        <is>
          <t>mass and that's a bit of a problem.</t>
        </is>
      </c>
      <c r="D1835">
        <f>HYPERLINK("https://www.youtube.com/watch?v=8GqnzBJkWcw&amp;t=396s", "Go to time")</f>
        <v/>
      </c>
    </row>
    <row r="1836">
      <c r="A1836">
        <f>HYPERLINK("https://www.youtube.com/watch?v=TaltQULawAc", "Video")</f>
        <v/>
      </c>
      <c r="B1836" t="inlineStr">
        <is>
          <t>13:19</t>
        </is>
      </c>
      <c r="C1836" t="inlineStr">
        <is>
          <t>new Min days Inhibitors so I think yes</t>
        </is>
      </c>
      <c r="D1836">
        <f>HYPERLINK("https://www.youtube.com/watch?v=TaltQULawAc&amp;t=799s", "Go to time")</f>
        <v/>
      </c>
    </row>
    <row r="1837">
      <c r="A1837">
        <f>HYPERLINK("https://www.youtube.com/watch?v=5AXSEjq_K-w", "Video")</f>
        <v/>
      </c>
      <c r="B1837" t="inlineStr">
        <is>
          <t>1:42</t>
        </is>
      </c>
      <c r="C1837" t="inlineStr">
        <is>
          <t>Outcast a bit of a somebody said</t>
        </is>
      </c>
      <c r="D1837">
        <f>HYPERLINK("https://www.youtube.com/watch?v=5AXSEjq_K-w&amp;t=102s", "Go to time")</f>
        <v/>
      </c>
    </row>
    <row r="1838">
      <c r="A1838">
        <f>HYPERLINK("https://www.youtube.com/watch?v=5AXSEjq_K-w", "Video")</f>
        <v/>
      </c>
      <c r="B1838" t="inlineStr">
        <is>
          <t>2:02</t>
        </is>
      </c>
      <c r="C1838" t="inlineStr">
        <is>
          <t>know look look around the world the bits</t>
        </is>
      </c>
      <c r="D1838">
        <f>HYPERLINK("https://www.youtube.com/watch?v=5AXSEjq_K-w&amp;t=122s", "Go to time")</f>
        <v/>
      </c>
    </row>
    <row r="1839">
      <c r="A1839">
        <f>HYPERLINK("https://www.youtube.com/watch?v=5AXSEjq_K-w", "Video")</f>
        <v/>
      </c>
      <c r="B1839" t="inlineStr">
        <is>
          <t>2:49</t>
        </is>
      </c>
      <c r="C1839" t="inlineStr">
        <is>
          <t>bit which Islam finds particularly</t>
        </is>
      </c>
      <c r="D1839">
        <f>HYPERLINK("https://www.youtube.com/watch?v=5AXSEjq_K-w&amp;t=169s", "Go to time")</f>
        <v/>
      </c>
    </row>
    <row r="1840">
      <c r="A1840">
        <f>HYPERLINK("https://www.youtube.com/watch?v=5AXSEjq_K-w", "Video")</f>
        <v/>
      </c>
      <c r="B1840" t="inlineStr">
        <is>
          <t>3:32</t>
        </is>
      </c>
      <c r="C1840" t="inlineStr">
        <is>
          <t>there there's two bits I think from the</t>
        </is>
      </c>
      <c r="D1840">
        <f>HYPERLINK("https://www.youtube.com/watch?v=5AXSEjq_K-w&amp;t=212s", "Go to time")</f>
        <v/>
      </c>
    </row>
    <row r="1841">
      <c r="A1841">
        <f>HYPERLINK("https://www.youtube.com/watch?v=5AXSEjq_K-w", "Video")</f>
        <v/>
      </c>
      <c r="B1841" t="inlineStr">
        <is>
          <t>5:02</t>
        </is>
      </c>
      <c r="C1841" t="inlineStr">
        <is>
          <t>and you see it a bit with the life</t>
        </is>
      </c>
      <c r="D1841">
        <f>HYPERLINK("https://www.youtube.com/watch?v=5AXSEjq_K-w&amp;t=302s", "Go to time")</f>
        <v/>
      </c>
    </row>
    <row r="1842">
      <c r="A1842">
        <f>HYPERLINK("https://www.youtube.com/watch?v=5AXSEjq_K-w", "Video")</f>
        <v/>
      </c>
      <c r="B1842" t="inlineStr">
        <is>
          <t>5:13</t>
        </is>
      </c>
      <c r="C1842" t="inlineStr">
        <is>
          <t>give way a bit more than um people have</t>
        </is>
      </c>
      <c r="D1842">
        <f>HYPERLINK("https://www.youtube.com/watch?v=5AXSEjq_K-w&amp;t=313s", "Go to time")</f>
        <v/>
      </c>
    </row>
    <row r="1843">
      <c r="A1843">
        <f>HYPERLINK("https://www.youtube.com/watch?v=5AXSEjq_K-w", "Video")</f>
        <v/>
      </c>
      <c r="B1843" t="inlineStr">
        <is>
          <t>5:53</t>
        </is>
      </c>
      <c r="C1843" t="inlineStr">
        <is>
          <t>political system the bit which the</t>
        </is>
      </c>
      <c r="D1843">
        <f>HYPERLINK("https://www.youtube.com/watch?v=5AXSEjq_K-w&amp;t=353s", "Go to time")</f>
        <v/>
      </c>
    </row>
    <row r="1844">
      <c r="A1844">
        <f>HYPERLINK("https://www.youtube.com/watch?v=O5eKZbTXyyQ", "Video")</f>
        <v/>
      </c>
      <c r="B1844" t="inlineStr">
        <is>
          <t>3:41</t>
        </is>
      </c>
      <c r="C1844" t="inlineStr">
        <is>
          <t>your best bits for you it's almost like</t>
        </is>
      </c>
      <c r="D1844">
        <f>HYPERLINK("https://www.youtube.com/watch?v=O5eKZbTXyyQ&amp;t=221s", "Go to time")</f>
        <v/>
      </c>
    </row>
    <row r="1845">
      <c r="A1845">
        <f>HYPERLINK("https://www.youtube.com/watch?v=O5eKZbTXyyQ", "Video")</f>
        <v/>
      </c>
      <c r="B1845" t="inlineStr">
        <is>
          <t>3:59</t>
        </is>
      </c>
      <c r="C1845" t="inlineStr">
        <is>
          <t>favorite bits they're not they're not</t>
        </is>
      </c>
      <c r="D1845">
        <f>HYPERLINK("https://www.youtube.com/watch?v=O5eKZbTXyyQ&amp;t=239s", "Go to time")</f>
        <v/>
      </c>
    </row>
    <row r="1846">
      <c r="A1846">
        <f>HYPERLINK("https://www.youtube.com/watch?v=O5eKZbTXyyQ", "Video")</f>
        <v/>
      </c>
      <c r="B1846" t="inlineStr">
        <is>
          <t>4:03</t>
        </is>
      </c>
      <c r="C1846" t="inlineStr">
        <is>
          <t>got a slightly different ambition</t>
        </is>
      </c>
      <c r="D1846">
        <f>HYPERLINK("https://www.youtube.com/watch?v=O5eKZbTXyyQ&amp;t=243s", "Go to time")</f>
        <v/>
      </c>
    </row>
    <row r="1847">
      <c r="A1847">
        <f>HYPERLINK("https://www.youtube.com/watch?v=B4K9EKzs7G0", "Video")</f>
        <v/>
      </c>
      <c r="B1847" t="inlineStr">
        <is>
          <t>3:53</t>
        </is>
      </c>
      <c r="C1847" t="inlineStr">
        <is>
          <t>one of the things that's a little bit um</t>
        </is>
      </c>
      <c r="D1847">
        <f>HYPERLINK("https://www.youtube.com/watch?v=B4K9EKzs7G0&amp;t=233s", "Go to time")</f>
        <v/>
      </c>
    </row>
    <row r="1848">
      <c r="A1848">
        <f>HYPERLINK("https://www.youtube.com/watch?v=8xvbmi9F-tU", "Video")</f>
        <v/>
      </c>
      <c r="B1848" t="inlineStr">
        <is>
          <t>1:34</t>
        </is>
      </c>
      <c r="C1848" t="inlineStr">
        <is>
          <t>that we all exhibit.</t>
        </is>
      </c>
      <c r="D1848">
        <f>HYPERLINK("https://www.youtube.com/watch?v=8xvbmi9F-tU&amp;t=94s", "Go to time")</f>
        <v/>
      </c>
    </row>
    <row r="1849">
      <c r="A1849">
        <f>HYPERLINK("https://www.youtube.com/watch?v=gC7GMMAfBh0", "Video")</f>
        <v/>
      </c>
      <c r="B1849" t="inlineStr">
        <is>
          <t>3:12</t>
        </is>
      </c>
      <c r="C1849" t="inlineStr">
        <is>
          <t>secret ambitions,</t>
        </is>
      </c>
      <c r="D1849">
        <f>HYPERLINK("https://www.youtube.com/watch?v=gC7GMMAfBh0&amp;t=192s", "Go to time")</f>
        <v/>
      </c>
    </row>
    <row r="1850">
      <c r="A1850">
        <f>HYPERLINK("https://www.youtube.com/watch?v=f4YNSQt1_UA", "Video")</f>
        <v/>
      </c>
      <c r="B1850" t="inlineStr">
        <is>
          <t>0:59</t>
        </is>
      </c>
      <c r="C1850" t="inlineStr">
        <is>
          <t>Where do I have a degree of control to be
able to make things a little bit better for</t>
        </is>
      </c>
      <c r="D1850">
        <f>HYPERLINK("https://www.youtube.com/watch?v=f4YNSQt1_UA&amp;t=59s", "Go to time")</f>
        <v/>
      </c>
    </row>
    <row r="1851">
      <c r="A1851">
        <f>HYPERLINK("https://www.youtube.com/watch?v=DPBBz4PZID4", "Video")</f>
        <v/>
      </c>
      <c r="B1851" t="inlineStr">
        <is>
          <t>11:18</t>
        </is>
      </c>
      <c r="C1851" t="inlineStr">
        <is>
          <t>which I can talk about in a bit if you</t>
        </is>
      </c>
      <c r="D1851">
        <f>HYPERLINK("https://www.youtube.com/watch?v=DPBBz4PZID4&amp;t=678s", "Go to time")</f>
        <v/>
      </c>
    </row>
    <row r="1852">
      <c r="A1852">
        <f>HYPERLINK("https://www.youtube.com/watch?v=JoWg0XNE7TQ", "Video")</f>
        <v/>
      </c>
      <c r="B1852" t="inlineStr">
        <is>
          <t>0:22</t>
        </is>
      </c>
      <c r="C1852" t="inlineStr">
        <is>
          <t>And a man called Harry Anslinger had taken
over the Department of Alcohol Prohibition</t>
        </is>
      </c>
      <c r="D1852">
        <f>HYPERLINK("https://www.youtube.com/watch?v=JoWg0XNE7TQ&amp;t=22s", "Go to time")</f>
        <v/>
      </c>
    </row>
    <row r="1853">
      <c r="A1853">
        <f>HYPERLINK("https://www.youtube.com/watch?v=JoWg0XNE7TQ", "Video")</f>
        <v/>
      </c>
      <c r="B1853" t="inlineStr">
        <is>
          <t>0:29</t>
        </is>
      </c>
      <c r="C1853" t="inlineStr">
        <is>
          <t>just as alcohol prohibition was ending.</t>
        </is>
      </c>
      <c r="D1853">
        <f>HYPERLINK("https://www.youtube.com/watch?v=JoWg0XNE7TQ&amp;t=29s", "Go to time")</f>
        <v/>
      </c>
    </row>
    <row r="1854">
      <c r="A1854">
        <f>HYPERLINK("https://www.youtube.com/watch?v=JoWg0XNE7TQ", "Video")</f>
        <v/>
      </c>
      <c r="B1854" t="inlineStr">
        <is>
          <t>1:09</t>
        </is>
      </c>
      <c r="C1854" t="inlineStr">
        <is>
          <t>And this is what will happen if we allow cannabis
to spread, and we need to ban and prohibit</t>
        </is>
      </c>
      <c r="D1854">
        <f>HYPERLINK("https://www.youtube.com/watch?v=JoWg0XNE7TQ&amp;t=69s", "Go to time")</f>
        <v/>
      </c>
    </row>
    <row r="1855">
      <c r="A1855">
        <f>HYPERLINK("https://www.youtube.com/watch?v=JoWg0XNE7TQ", "Video")</f>
        <v/>
      </c>
      <c r="B1855" t="inlineStr">
        <is>
          <t>3:38</t>
        </is>
      </c>
      <c r="C1855" t="inlineStr">
        <is>
          <t>Exactly that happened at the alcohol prohibition,
right?</t>
        </is>
      </c>
      <c r="D1855">
        <f>HYPERLINK("https://www.youtube.com/watch?v=JoWg0XNE7TQ&amp;t=218s", "Go to time")</f>
        <v/>
      </c>
    </row>
    <row r="1856">
      <c r="A1856">
        <f>HYPERLINK("https://www.youtube.com/watch?v=JoWg0XNE7TQ", "Video")</f>
        <v/>
      </c>
      <c r="B1856" t="inlineStr">
        <is>
          <t>3:42</t>
        </is>
      </c>
      <c r="C1856" t="inlineStr">
        <is>
          <t>And it ended the day alcohol prohibition ended.</t>
        </is>
      </c>
      <c r="D1856">
        <f>HYPERLINK("https://www.youtube.com/watch?v=JoWg0XNE7TQ&amp;t=222s", "Go to time")</f>
        <v/>
      </c>
    </row>
    <row r="1857">
      <c r="A1857">
        <f>HYPERLINK("https://www.youtube.com/watch?v=JoWg0XNE7TQ", "Video")</f>
        <v/>
      </c>
      <c r="B1857" t="inlineStr">
        <is>
          <t>4:29</t>
        </is>
      </c>
      <c r="C1857" t="inlineStr">
        <is>
          <t>So this is the ratchet effect you get with
prohibition.</t>
        </is>
      </c>
      <c r="D1857">
        <f>HYPERLINK("https://www.youtube.com/watch?v=JoWg0XNE7TQ&amp;t=269s", "Go to time")</f>
        <v/>
      </c>
    </row>
    <row r="1858">
      <c r="A1858">
        <f>HYPERLINK("https://www.youtube.com/watch?v=JoWg0XNE7TQ", "Video")</f>
        <v/>
      </c>
      <c r="B1858" t="inlineStr">
        <is>
          <t>5:22</t>
        </is>
      </c>
      <c r="C1858" t="inlineStr">
        <is>
          <t>That’s true, and it’s entirely the product
of cannabis prohibition.</t>
        </is>
      </c>
      <c r="D1858">
        <f>HYPERLINK("https://www.youtube.com/watch?v=JoWg0XNE7TQ&amp;t=322s", "Go to time")</f>
        <v/>
      </c>
    </row>
    <row r="1859">
      <c r="A1859">
        <f>HYPERLINK("https://www.youtube.com/watch?v=7fSUTurBeGU", "Video")</f>
        <v/>
      </c>
      <c r="B1859" t="inlineStr">
        <is>
          <t>2:16</t>
        </is>
      </c>
      <c r="C1859" t="inlineStr">
        <is>
          <t>bit about what the audience is about to</t>
        </is>
      </c>
      <c r="D1859">
        <f>HYPERLINK("https://www.youtube.com/watch?v=7fSUTurBeGU&amp;t=136s", "Go to time")</f>
        <v/>
      </c>
    </row>
    <row r="1860">
      <c r="A1860">
        <f>HYPERLINK("https://www.youtube.com/watch?v=7fSUTurBeGU", "Video")</f>
        <v/>
      </c>
      <c r="B1860" t="inlineStr">
        <is>
          <t>2:18</t>
        </is>
      </c>
      <c r="C1860" t="inlineStr">
        <is>
          <t>see and I'll be doing a little bit more</t>
        </is>
      </c>
      <c r="D1860">
        <f>HYPERLINK("https://www.youtube.com/watch?v=7fSUTurBeGU&amp;t=138s", "Go to time")</f>
        <v/>
      </c>
    </row>
    <row r="1861">
      <c r="A1861">
        <f>HYPERLINK("https://www.youtube.com/watch?v=7fSUTurBeGU", "Video")</f>
        <v/>
      </c>
      <c r="B1861" t="inlineStr">
        <is>
          <t>2:44</t>
        </is>
      </c>
      <c r="C1861" t="inlineStr">
        <is>
          <t>we hope to offer is a little bit more</t>
        </is>
      </c>
      <c r="D1861">
        <f>HYPERLINK("https://www.youtube.com/watch?v=7fSUTurBeGU&amp;t=164s", "Go to time")</f>
        <v/>
      </c>
    </row>
    <row r="1862">
      <c r="A1862">
        <f>HYPERLINK("https://www.youtube.com/watch?v=7fSUTurBeGU", "Video")</f>
        <v/>
      </c>
      <c r="B1862" t="inlineStr">
        <is>
          <t>2:55</t>
        </is>
      </c>
      <c r="C1862" t="inlineStr">
        <is>
          <t>little bit I mean it's a somewhat of a</t>
        </is>
      </c>
      <c r="D1862">
        <f>HYPERLINK("https://www.youtube.com/watch?v=7fSUTurBeGU&amp;t=175s", "Go to time")</f>
        <v/>
      </c>
    </row>
    <row r="1863">
      <c r="A1863">
        <f>HYPERLINK("https://www.youtube.com/watch?v=7fSUTurBeGU", "Video")</f>
        <v/>
      </c>
      <c r="B1863" t="inlineStr">
        <is>
          <t>3:32</t>
        </is>
      </c>
      <c r="C1863" t="inlineStr">
        <is>
          <t>they they know a little bit more about</t>
        </is>
      </c>
      <c r="D1863">
        <f>HYPERLINK("https://www.youtube.com/watch?v=7fSUTurBeGU&amp;t=212s", "Go to time")</f>
        <v/>
      </c>
    </row>
    <row r="1864">
      <c r="A1864">
        <f>HYPERLINK("https://www.youtube.com/watch?v=Da9TGKnHMxs", "Video")</f>
        <v/>
      </c>
      <c r="B1864" t="inlineStr">
        <is>
          <t>3:16</t>
        </is>
      </c>
      <c r="C1864" t="inlineStr">
        <is>
          <t>get Bit Think+ for your business.</t>
        </is>
      </c>
      <c r="D1864">
        <f>HYPERLINK("https://www.youtube.com/watch?v=Da9TGKnHMxs&amp;t=196s", "Go to time")</f>
        <v/>
      </c>
    </row>
    <row r="1865">
      <c r="A1865">
        <f>HYPERLINK("https://www.youtube.com/watch?v=O-VjPiZYvHo", "Video")</f>
        <v/>
      </c>
      <c r="B1865" t="inlineStr">
        <is>
          <t>1:48</t>
        </is>
      </c>
      <c r="C1865" t="inlineStr">
        <is>
          <t>Now we look around us and we see things like
planets orbiting the stars or the galaxy turning</t>
        </is>
      </c>
      <c r="D1865">
        <f>HYPERLINK("https://www.youtube.com/watch?v=O-VjPiZYvHo&amp;t=108s", "Go to time")</f>
        <v/>
      </c>
    </row>
    <row r="1866">
      <c r="A1866">
        <f>HYPERLINK("https://www.youtube.com/watch?v=O-VjPiZYvHo", "Video")</f>
        <v/>
      </c>
      <c r="B1866" t="inlineStr">
        <is>
          <t>3:22</t>
        </is>
      </c>
      <c r="C1866" t="inlineStr">
        <is>
          <t>So we keep getting led farther and farther
down this rabbit hole.</t>
        </is>
      </c>
      <c r="D1866">
        <f>HYPERLINK("https://www.youtube.com/watch?v=O-VjPiZYvHo&amp;t=202s", "Go to time")</f>
        <v/>
      </c>
    </row>
    <row r="1867">
      <c r="A1867">
        <f>HYPERLINK("https://www.youtube.com/watch?v=O-VjPiZYvHo", "Video")</f>
        <v/>
      </c>
      <c r="B1867" t="inlineStr">
        <is>
          <t>4:39</t>
        </is>
      </c>
      <c r="C1867" t="inlineStr">
        <is>
          <t>So I think it's wonderful and a little bit
scary that you start counting on your fingers.</t>
        </is>
      </c>
      <c r="D1867">
        <f>HYPERLINK("https://www.youtube.com/watch?v=O-VjPiZYvHo&amp;t=279s", "Go to time")</f>
        <v/>
      </c>
    </row>
    <row r="1868">
      <c r="A1868">
        <f>HYPERLINK("https://www.youtube.com/watch?v=A7lh4jt46d0", "Video")</f>
        <v/>
      </c>
      <c r="B1868" t="inlineStr">
        <is>
          <t>4:27</t>
        </is>
      </c>
      <c r="C1868" t="inlineStr">
        <is>
          <t>still quite a bit of bit of away from</t>
        </is>
      </c>
      <c r="D1868">
        <f>HYPERLINK("https://www.youtube.com/watch?v=A7lh4jt46d0&amp;t=267s", "Go to time")</f>
        <v/>
      </c>
    </row>
    <row r="1869">
      <c r="A1869">
        <f>HYPERLINK("https://www.youtube.com/watch?v=A7lh4jt46d0", "Video")</f>
        <v/>
      </c>
      <c r="B1869" t="inlineStr">
        <is>
          <t>4:46</t>
        </is>
      </c>
      <c r="C1869" t="inlineStr">
        <is>
          <t>got a bit of a way to go with</t>
        </is>
      </c>
      <c r="D1869">
        <f>HYPERLINK("https://www.youtube.com/watch?v=A7lh4jt46d0&amp;t=286s", "Go to time")</f>
        <v/>
      </c>
    </row>
    <row r="1870">
      <c r="A1870">
        <f>HYPERLINK("https://www.youtube.com/watch?v=9jHkoTQaA4o", "Video")</f>
        <v/>
      </c>
      <c r="B1870" t="inlineStr">
        <is>
          <t>4:24</t>
        </is>
      </c>
      <c r="C1870" t="inlineStr">
        <is>
          <t>to rock it up a little bit and so okay</t>
        </is>
      </c>
      <c r="D1870">
        <f>HYPERLINK("https://www.youtube.com/watch?v=9jHkoTQaA4o&amp;t=264s", "Go to time")</f>
        <v/>
      </c>
    </row>
    <row r="1871">
      <c r="A1871">
        <f>HYPERLINK("https://www.youtube.com/watch?v=4jO-wq68-_I", "Video")</f>
        <v/>
      </c>
      <c r="B1871" t="inlineStr">
        <is>
          <t>5:41</t>
        </is>
      </c>
      <c r="C1871" t="inlineStr">
        <is>
          <t>maybe a bit grandiose but I'd like to</t>
        </is>
      </c>
      <c r="D1871">
        <f>HYPERLINK("https://www.youtube.com/watch?v=4jO-wq68-_I&amp;t=341s", "Go to time")</f>
        <v/>
      </c>
    </row>
    <row r="1872">
      <c r="A1872">
        <f>HYPERLINK("https://www.youtube.com/watch?v=4jO-wq68-_I", "Video")</f>
        <v/>
      </c>
      <c r="B1872" t="inlineStr">
        <is>
          <t>17:06</t>
        </is>
      </c>
      <c r="C1872" t="inlineStr">
        <is>
          <t>barrier down a bit and then there was</t>
        </is>
      </c>
      <c r="D1872">
        <f>HYPERLINK("https://www.youtube.com/watch?v=4jO-wq68-_I&amp;t=1026s", "Go to time")</f>
        <v/>
      </c>
    </row>
    <row r="1873">
      <c r="A1873">
        <f>HYPERLINK("https://www.youtube.com/watch?v=j9VdoqwayYc", "Video")</f>
        <v/>
      </c>
      <c r="B1873" t="inlineStr">
        <is>
          <t>1:56</t>
        </is>
      </c>
      <c r="C1873" t="inlineStr">
        <is>
          <t>talking about was this arbitrary nature</t>
        </is>
      </c>
      <c r="D1873">
        <f>HYPERLINK("https://www.youtube.com/watch?v=j9VdoqwayYc&amp;t=116s", "Go to time")</f>
        <v/>
      </c>
    </row>
    <row r="1874">
      <c r="A1874">
        <f>HYPERLINK("https://www.youtube.com/watch?v=aGe_au9h65Q", "Video")</f>
        <v/>
      </c>
      <c r="B1874" t="inlineStr">
        <is>
          <t>1:14</t>
        </is>
      </c>
      <c r="C1874" t="inlineStr">
        <is>
          <t>ambitious you have to be am honest with</t>
        </is>
      </c>
      <c r="D1874">
        <f>HYPERLINK("https://www.youtube.com/watch?v=aGe_au9h65Q&amp;t=74s", "Go to time")</f>
        <v/>
      </c>
    </row>
    <row r="1875">
      <c r="A1875">
        <f>HYPERLINK("https://www.youtube.com/watch?v=aGe_au9h65Q", "Video")</f>
        <v/>
      </c>
      <c r="B1875" t="inlineStr">
        <is>
          <t>1:16</t>
        </is>
      </c>
      <c r="C1875" t="inlineStr">
        <is>
          <t>your Ambitions and and say it's not you</t>
        </is>
      </c>
      <c r="D1875">
        <f>HYPERLINK("https://www.youtube.com/watch?v=aGe_au9h65Q&amp;t=76s", "Go to time")</f>
        <v/>
      </c>
    </row>
    <row r="1876">
      <c r="A1876">
        <f>HYPERLINK("https://www.youtube.com/watch?v=3-h4RfnGHp8", "Video")</f>
        <v/>
      </c>
      <c r="B1876" t="inlineStr">
        <is>
          <t>4:01</t>
        </is>
      </c>
      <c r="C1876" t="inlineStr">
        <is>
          <t>It's a little bit of a misnomer.</t>
        </is>
      </c>
      <c r="D1876">
        <f>HYPERLINK("https://www.youtube.com/watch?v=3-h4RfnGHp8&amp;t=241s", "Go to time")</f>
        <v/>
      </c>
    </row>
    <row r="1877">
      <c r="A1877">
        <f>HYPERLINK("https://www.youtube.com/watch?v=8jquRLLA78E", "Video")</f>
        <v/>
      </c>
      <c r="B1877" t="inlineStr">
        <is>
          <t>0:00</t>
        </is>
      </c>
      <c r="C1877" t="inlineStr">
        <is>
          <t>Young person, you'll find in your life that
sometimes your great ambitions will be momentarily</t>
        </is>
      </c>
      <c r="D1877">
        <f>HYPERLINK("https://www.youtube.com/watch?v=8jquRLLA78E&amp;t=0s", "Go to time")</f>
        <v/>
      </c>
    </row>
    <row r="1878">
      <c r="A1878">
        <f>HYPERLINK("https://www.youtube.com/watch?v=vrPW6HKv71Q", "Video")</f>
        <v/>
      </c>
      <c r="B1878" t="inlineStr">
        <is>
          <t>0:17</t>
        </is>
      </c>
      <c r="C1878" t="inlineStr">
        <is>
          <t>So here’s a little bit of context.</t>
        </is>
      </c>
      <c r="D1878">
        <f>HYPERLINK("https://www.youtube.com/watch?v=vrPW6HKv71Q&amp;t=17s", "Go to time")</f>
        <v/>
      </c>
    </row>
    <row r="1879">
      <c r="A1879">
        <f>HYPERLINK("https://www.youtube.com/watch?v=Jtn2Wxai-ug", "Video")</f>
        <v/>
      </c>
      <c r="B1879" t="inlineStr">
        <is>
          <t>0:31</t>
        </is>
      </c>
      <c r="C1879" t="inlineStr">
        <is>
          <t>chance, randomness, and how
arbitrary and accidental forces</t>
        </is>
      </c>
      <c r="D1879">
        <f>HYPERLINK("https://www.youtube.com/watch?v=Jtn2Wxai-ug&amp;t=31s", "Go to time")</f>
        <v/>
      </c>
    </row>
    <row r="1880">
      <c r="A1880">
        <f>HYPERLINK("https://www.youtube.com/watch?v=Jtn2Wxai-ug", "Video")</f>
        <v/>
      </c>
      <c r="B1880" t="inlineStr">
        <is>
          <t>0:46</t>
        </is>
      </c>
      <c r="C1880" t="inlineStr">
        <is>
          <t>But when you peer a little
bit closer at the world,</t>
        </is>
      </c>
      <c r="D1880">
        <f>HYPERLINK("https://www.youtube.com/watch?v=Jtn2Wxai-ug&amp;t=46s", "Go to time")</f>
        <v/>
      </c>
    </row>
    <row r="1881">
      <c r="A1881">
        <f>HYPERLINK("https://www.youtube.com/watch?v=Jtn2Wxai-ug", "Video")</f>
        <v/>
      </c>
      <c r="B1881" t="inlineStr">
        <is>
          <t>1:00</t>
        </is>
      </c>
      <c r="C1881" t="inlineStr">
        <is>
          <t>and argue that the
arbitrary, the accidental,</t>
        </is>
      </c>
      <c r="D1881">
        <f>HYPERLINK("https://www.youtube.com/watch?v=Jtn2Wxai-ug&amp;t=60s", "Go to time")</f>
        <v/>
      </c>
    </row>
    <row r="1882">
      <c r="A1882">
        <f>HYPERLINK("https://www.youtube.com/watch?v=Jtn2Wxai-ug", "Video")</f>
        <v/>
      </c>
      <c r="B1882" t="inlineStr">
        <is>
          <t>3:03</t>
        </is>
      </c>
      <c r="C1882" t="inlineStr">
        <is>
          <t>Now, the astonishing bit about this is</t>
        </is>
      </c>
      <c r="D1882">
        <f>HYPERLINK("https://www.youtube.com/watch?v=Jtn2Wxai-ug&amp;t=183s", "Go to time")</f>
        <v/>
      </c>
    </row>
    <row r="1883">
      <c r="A1883">
        <f>HYPERLINK("https://www.youtube.com/watch?v=Jtn2Wxai-ug", "Video")</f>
        <v/>
      </c>
      <c r="B1883" t="inlineStr">
        <is>
          <t>4:36</t>
        </is>
      </c>
      <c r="C1883" t="inlineStr">
        <is>
          <t>then the order of life
does take hold a bit.</t>
        </is>
      </c>
      <c r="D1883">
        <f>HYPERLINK("https://www.youtube.com/watch?v=Jtn2Wxai-ug&amp;t=276s", "Go to time")</f>
        <v/>
      </c>
    </row>
    <row r="1884">
      <c r="A1884">
        <f>HYPERLINK("https://www.youtube.com/watch?v=Jtn2Wxai-ug", "Video")</f>
        <v/>
      </c>
      <c r="B1884" t="inlineStr">
        <is>
          <t>5:47</t>
        </is>
      </c>
      <c r="C1884" t="inlineStr">
        <is>
          <t>and did a bit of sight scene
and fell in love with the city.</t>
        </is>
      </c>
      <c r="D1884">
        <f>HYPERLINK("https://www.youtube.com/watch?v=Jtn2Wxai-ug&amp;t=347s", "Go to time")</f>
        <v/>
      </c>
    </row>
    <row r="1885">
      <c r="A1885">
        <f>HYPERLINK("https://www.youtube.com/watch?v=Jtn2Wxai-ug", "Video")</f>
        <v/>
      </c>
      <c r="B1885" t="inlineStr">
        <is>
          <t>12:24</t>
        </is>
      </c>
      <c r="C1885" t="inlineStr">
        <is>
          <t>there is an arbitrary nature to our world.</t>
        </is>
      </c>
      <c r="D1885">
        <f>HYPERLINK("https://www.youtube.com/watch?v=Jtn2Wxai-ug&amp;t=744s", "Go to time")</f>
        <v/>
      </c>
    </row>
    <row r="1886">
      <c r="A1886">
        <f>HYPERLINK("https://www.youtube.com/watch?v=Jtn2Wxai-ug", "Video")</f>
        <v/>
      </c>
      <c r="B1886" t="inlineStr">
        <is>
          <t>14:43</t>
        </is>
      </c>
      <c r="C1886" t="inlineStr">
        <is>
          <t>if some things just happen
arbitrarily, randomly,</t>
        </is>
      </c>
      <c r="D1886">
        <f>HYPERLINK("https://www.youtube.com/watch?v=Jtn2Wxai-ug&amp;t=883s", "Go to time")</f>
        <v/>
      </c>
    </row>
    <row r="1887">
      <c r="A1887">
        <f>HYPERLINK("https://www.youtube.com/watch?v=Jtn2Wxai-ug", "Video")</f>
        <v/>
      </c>
      <c r="B1887" t="inlineStr">
        <is>
          <t>17:14</t>
        </is>
      </c>
      <c r="C1887" t="inlineStr">
        <is>
          <t>and you see a little bit
of rustling of the grass,</t>
        </is>
      </c>
      <c r="D1887">
        <f>HYPERLINK("https://www.youtube.com/watch?v=Jtn2Wxai-ug&amp;t=1034s", "Go to time")</f>
        <v/>
      </c>
    </row>
    <row r="1888">
      <c r="A1888">
        <f>HYPERLINK("https://www.youtube.com/watch?v=Jtn2Wxai-ug", "Video")</f>
        <v/>
      </c>
      <c r="B1888" t="inlineStr">
        <is>
          <t>17:46</t>
        </is>
      </c>
      <c r="C1888" t="inlineStr">
        <is>
          <t>that it was just arbitrary.</t>
        </is>
      </c>
      <c r="D1888">
        <f>HYPERLINK("https://www.youtube.com/watch?v=Jtn2Wxai-ug&amp;t=1066s", "Go to time")</f>
        <v/>
      </c>
    </row>
    <row r="1889">
      <c r="A1889">
        <f>HYPERLINK("https://www.youtube.com/watch?v=Jtn2Wxai-ug", "Video")</f>
        <v/>
      </c>
      <c r="B1889" t="inlineStr">
        <is>
          <t>23:53</t>
        </is>
      </c>
      <c r="C1889" t="inlineStr">
        <is>
          <t>and you can sort of have
a little bit of noise,</t>
        </is>
      </c>
      <c r="D1889">
        <f>HYPERLINK("https://www.youtube.com/watch?v=Jtn2Wxai-ug&amp;t=1433s", "Go to time")</f>
        <v/>
      </c>
    </row>
    <row r="1890">
      <c r="A1890">
        <f>HYPERLINK("https://www.youtube.com/watch?v=Jtn2Wxai-ug", "Video")</f>
        <v/>
      </c>
      <c r="B1890" t="inlineStr">
        <is>
          <t>23:55</t>
        </is>
      </c>
      <c r="C1890" t="inlineStr">
        <is>
          <t>a little bit of fluctuations,</t>
        </is>
      </c>
      <c r="D1890">
        <f>HYPERLINK("https://www.youtube.com/watch?v=Jtn2Wxai-ug&amp;t=1435s", "Go to time")</f>
        <v/>
      </c>
    </row>
    <row r="1891">
      <c r="A1891">
        <f>HYPERLINK("https://www.youtube.com/watch?v=Jtn2Wxai-ug", "Video")</f>
        <v/>
      </c>
      <c r="B1891" t="inlineStr">
        <is>
          <t>24:54</t>
        </is>
      </c>
      <c r="C1891" t="inlineStr">
        <is>
          <t>and things are a little bit different,</t>
        </is>
      </c>
      <c r="D1891">
        <f>HYPERLINK("https://www.youtube.com/watch?v=Jtn2Wxai-ug&amp;t=1494s", "Go to time")</f>
        <v/>
      </c>
    </row>
    <row r="1892">
      <c r="A1892">
        <f>HYPERLINK("https://www.youtube.com/watch?v=Jtn2Wxai-ug", "Video")</f>
        <v/>
      </c>
      <c r="B1892" t="inlineStr">
        <is>
          <t>26:06</t>
        </is>
      </c>
      <c r="C1892" t="inlineStr">
        <is>
          <t>you're a bit tired, and the
snooze button beckons to you.</t>
        </is>
      </c>
      <c r="D1892">
        <f>HYPERLINK("https://www.youtube.com/watch?v=Jtn2Wxai-ug&amp;t=1566s", "Go to time")</f>
        <v/>
      </c>
    </row>
    <row r="1893">
      <c r="A1893">
        <f>HYPERLINK("https://www.youtube.com/watch?v=Jtn2Wxai-ug", "Video")</f>
        <v/>
      </c>
      <c r="B1893" t="inlineStr">
        <is>
          <t>29:50</t>
        </is>
      </c>
      <c r="C1893" t="inlineStr">
        <is>
          <t>It's not like you can just
unravel your little bit.</t>
        </is>
      </c>
      <c r="D1893">
        <f>HYPERLINK("https://www.youtube.com/watch?v=Jtn2Wxai-ug&amp;t=1790s", "Go to time")</f>
        <v/>
      </c>
    </row>
    <row r="1894">
      <c r="A1894">
        <f>HYPERLINK("https://www.youtube.com/watch?v=Jtn2Wxai-ug", "Video")</f>
        <v/>
      </c>
      <c r="B1894" t="inlineStr">
        <is>
          <t>34:50</t>
        </is>
      </c>
      <c r="C1894" t="inlineStr">
        <is>
          <t>even a tiny, tiny bit wrong will create</t>
        </is>
      </c>
      <c r="D1894">
        <f>HYPERLINK("https://www.youtube.com/watch?v=Jtn2Wxai-ug&amp;t=2090s", "Go to time")</f>
        <v/>
      </c>
    </row>
    <row r="1895">
      <c r="A1895">
        <f>HYPERLINK("https://www.youtube.com/watch?v=Jtn2Wxai-ug", "Video")</f>
        <v/>
      </c>
      <c r="B1895" t="inlineStr">
        <is>
          <t>36:25</t>
        </is>
      </c>
      <c r="C1895" t="inlineStr">
        <is>
          <t>where the thought experiment
goes a bit like this.</t>
        </is>
      </c>
      <c r="D1895">
        <f>HYPERLINK("https://www.youtube.com/watch?v=Jtn2Wxai-ug&amp;t=2185s", "Go to time")</f>
        <v/>
      </c>
    </row>
    <row r="1896">
      <c r="A1896">
        <f>HYPERLINK("https://www.youtube.com/watch?v=Jtn2Wxai-ug", "Video")</f>
        <v/>
      </c>
      <c r="B1896" t="inlineStr">
        <is>
          <t>37:21</t>
        </is>
      </c>
      <c r="C1896" t="inlineStr">
        <is>
          <t>that quantum mechanics has
thrown a bit of a wrench in this</t>
        </is>
      </c>
      <c r="D1896">
        <f>HYPERLINK("https://www.youtube.com/watch?v=Jtn2Wxai-ug&amp;t=2241s", "Go to time")</f>
        <v/>
      </c>
    </row>
    <row r="1897">
      <c r="A1897">
        <f>HYPERLINK("https://www.youtube.com/watch?v=Jtn2Wxai-ug", "Video")</f>
        <v/>
      </c>
      <c r="B1897" t="inlineStr">
        <is>
          <t>39:23</t>
        </is>
      </c>
      <c r="C1897" t="inlineStr">
        <is>
          <t>our lives change a little bit as well.</t>
        </is>
      </c>
      <c r="D1897">
        <f>HYPERLINK("https://www.youtube.com/watch?v=Jtn2Wxai-ug&amp;t=2363s", "Go to time")</f>
        <v/>
      </c>
    </row>
    <row r="1898">
      <c r="A1898">
        <f>HYPERLINK("https://www.youtube.com/watch?v=Jtn2Wxai-ug", "Video")</f>
        <v/>
      </c>
      <c r="B1898" t="inlineStr">
        <is>
          <t>45:53</t>
        </is>
      </c>
      <c r="C1898" t="inlineStr">
        <is>
          <t>with a red flag that things
are a little bit unstable,</t>
        </is>
      </c>
      <c r="D1898">
        <f>HYPERLINK("https://www.youtube.com/watch?v=Jtn2Wxai-ug&amp;t=2753s", "Go to time")</f>
        <v/>
      </c>
    </row>
    <row r="1899">
      <c r="A1899">
        <f>HYPERLINK("https://www.youtube.com/watch?v=Jtn2Wxai-ug", "Video")</f>
        <v/>
      </c>
      <c r="B1899" t="inlineStr">
        <is>
          <t>46:10</t>
        </is>
      </c>
      <c r="C1899" t="inlineStr">
        <is>
          <t>a little bit more effectively.</t>
        </is>
      </c>
      <c r="D1899">
        <f>HYPERLINK("https://www.youtube.com/watch?v=Jtn2Wxai-ug&amp;t=2770s", "Go to time")</f>
        <v/>
      </c>
    </row>
    <row r="1900">
      <c r="A1900">
        <f>HYPERLINK("https://www.youtube.com/watch?v=Jtn2Wxai-ug", "Video")</f>
        <v/>
      </c>
      <c r="B1900" t="inlineStr">
        <is>
          <t>55:04</t>
        </is>
      </c>
      <c r="C1900" t="inlineStr">
        <is>
          <t>that is arbitrary,</t>
        </is>
      </c>
      <c r="D1900">
        <f>HYPERLINK("https://www.youtube.com/watch?v=Jtn2Wxai-ug&amp;t=3304s", "Go to time")</f>
        <v/>
      </c>
    </row>
    <row r="1901">
      <c r="A1901">
        <f>HYPERLINK("https://www.youtube.com/watch?v=Jtn2Wxai-ug", "Video")</f>
        <v/>
      </c>
      <c r="B1901" t="inlineStr">
        <is>
          <t>61:41</t>
        </is>
      </c>
      <c r="C1901" t="inlineStr">
        <is>
          <t>off the hook a little bit, right?</t>
        </is>
      </c>
      <c r="D1901">
        <f>HYPERLINK("https://www.youtube.com/watch?v=Jtn2Wxai-ug&amp;t=3701s", "Go to time")</f>
        <v/>
      </c>
    </row>
    <row r="1902">
      <c r="A1902">
        <f>HYPERLINK("https://www.youtube.com/watch?v=Jtn2Wxai-ug", "Video")</f>
        <v/>
      </c>
      <c r="B1902" t="inlineStr">
        <is>
          <t>63:18</t>
        </is>
      </c>
      <c r="C1902" t="inlineStr">
        <is>
          <t>to just try to make other
people's lives a bit better</t>
        </is>
      </c>
      <c r="D1902">
        <f>HYPERLINK("https://www.youtube.com/watch?v=Jtn2Wxai-ug&amp;t=3798s", "Go to time")</f>
        <v/>
      </c>
    </row>
    <row r="1903">
      <c r="A1903">
        <f>HYPERLINK("https://www.youtube.com/watch?v=Jtn2Wxai-ug", "Video")</f>
        <v/>
      </c>
      <c r="B1903" t="inlineStr">
        <is>
          <t>64:18</t>
        </is>
      </c>
      <c r="C1903" t="inlineStr">
        <is>
          <t>of each generation would basically inhabit</t>
        </is>
      </c>
      <c r="D1903">
        <f>HYPERLINK("https://www.youtube.com/watch?v=Jtn2Wxai-ug&amp;t=3858s", "Go to time")</f>
        <v/>
      </c>
    </row>
    <row r="1904">
      <c r="A1904">
        <f>HYPERLINK("https://www.youtube.com/watch?v=Jtn2Wxai-ug", "Video")</f>
        <v/>
      </c>
      <c r="B1904" t="inlineStr">
        <is>
          <t>64:58</t>
        </is>
      </c>
      <c r="C1904" t="inlineStr">
        <is>
          <t>because we're creatures of habit.</t>
        </is>
      </c>
      <c r="D1904">
        <f>HYPERLINK("https://www.youtube.com/watch?v=Jtn2Wxai-ug&amp;t=3898s", "Go to time")</f>
        <v/>
      </c>
    </row>
    <row r="1905">
      <c r="A1905">
        <f>HYPERLINK("https://www.youtube.com/watch?v=Jtn2Wxai-ug", "Video")</f>
        <v/>
      </c>
      <c r="B1905" t="inlineStr">
        <is>
          <t>67:46</t>
        </is>
      </c>
      <c r="C1905" t="inlineStr">
        <is>
          <t>if we focused a little
bit less on optimization,</t>
        </is>
      </c>
      <c r="D1905">
        <f>HYPERLINK("https://www.youtube.com/watch?v=Jtn2Wxai-ug&amp;t=4066s", "Go to time")</f>
        <v/>
      </c>
    </row>
    <row r="1906">
      <c r="A1906">
        <f>HYPERLINK("https://www.youtube.com/watch?v=Jtn2Wxai-ug", "Video")</f>
        <v/>
      </c>
      <c r="B1906" t="inlineStr">
        <is>
          <t>67:49</t>
        </is>
      </c>
      <c r="C1906" t="inlineStr">
        <is>
          <t>a little bit more on resilience,</t>
        </is>
      </c>
      <c r="D1906">
        <f>HYPERLINK("https://www.youtube.com/watch?v=Jtn2Wxai-ug&amp;t=4069s", "Go to time")</f>
        <v/>
      </c>
    </row>
    <row r="1907">
      <c r="A1907">
        <f>HYPERLINK("https://www.youtube.com/watch?v=Jtn2Wxai-ug", "Video")</f>
        <v/>
      </c>
      <c r="B1907" t="inlineStr">
        <is>
          <t>69:18</t>
        </is>
      </c>
      <c r="C1907" t="inlineStr">
        <is>
          <t>It writes out the arbitrary,</t>
        </is>
      </c>
      <c r="D1907">
        <f>HYPERLINK("https://www.youtube.com/watch?v=Jtn2Wxai-ug&amp;t=4158s", "Go to time")</f>
        <v/>
      </c>
    </row>
    <row r="1908">
      <c r="A1908">
        <f>HYPERLINK("https://www.youtube.com/watch?v=Jtn2Wxai-ug", "Video")</f>
        <v/>
      </c>
      <c r="B1908" t="inlineStr">
        <is>
          <t>83:51</t>
        </is>
      </c>
      <c r="C1908" t="inlineStr">
        <is>
          <t>and the sort of arbitrary nature</t>
        </is>
      </c>
      <c r="D1908">
        <f>HYPERLINK("https://www.youtube.com/watch?v=Jtn2Wxai-ug&amp;t=5031s", "Go to time")</f>
        <v/>
      </c>
    </row>
    <row r="1909">
      <c r="A1909">
        <f>HYPERLINK("https://www.youtube.com/watch?v=Jtn2Wxai-ug", "Video")</f>
        <v/>
      </c>
      <c r="B1909" t="inlineStr">
        <is>
          <t>90:42</t>
        </is>
      </c>
      <c r="C1909" t="inlineStr">
        <is>
          <t>is because we simply
inhabit different realities</t>
        </is>
      </c>
      <c r="D1909">
        <f>HYPERLINK("https://www.youtube.com/watch?v=Jtn2Wxai-ug&amp;t=5442s", "Go to time")</f>
        <v/>
      </c>
    </row>
    <row r="1910">
      <c r="A1910">
        <f>HYPERLINK("https://www.youtube.com/watch?v=Jtn2Wxai-ug", "Video")</f>
        <v/>
      </c>
      <c r="B1910" t="inlineStr">
        <is>
          <t>93:37</t>
        </is>
      </c>
      <c r="C1910" t="inlineStr">
        <is>
          <t>"Maybe this was just sort of arbitrary,</t>
        </is>
      </c>
      <c r="D1910">
        <f>HYPERLINK("https://www.youtube.com/watch?v=Jtn2Wxai-ug&amp;t=5617s", "Go to time")</f>
        <v/>
      </c>
    </row>
    <row r="1911">
      <c r="A1911">
        <f>HYPERLINK("https://www.youtube.com/watch?v=Jtn2Wxai-ug", "Video")</f>
        <v/>
      </c>
      <c r="B1911" t="inlineStr">
        <is>
          <t>96:11</t>
        </is>
      </c>
      <c r="C1911" t="inlineStr">
        <is>
          <t>people not inhabiting the same reality</t>
        </is>
      </c>
      <c r="D1911">
        <f>HYPERLINK("https://www.youtube.com/watch?v=Jtn2Wxai-ug&amp;t=5771s", "Go to time")</f>
        <v/>
      </c>
    </row>
    <row r="1912">
      <c r="A1912">
        <f>HYPERLINK("https://www.youtube.com/watch?v=bg9dBc697XU", "Video")</f>
        <v/>
      </c>
      <c r="B1912" t="inlineStr">
        <is>
          <t>0:15</t>
        </is>
      </c>
      <c r="C1912" t="inlineStr">
        <is>
          <t>the time we we also need our um bits of</t>
        </is>
      </c>
      <c r="D1912">
        <f>HYPERLINK("https://www.youtube.com/watch?v=bg9dBc697XU&amp;t=15s", "Go to time")</f>
        <v/>
      </c>
    </row>
    <row r="1913">
      <c r="A1913">
        <f>HYPERLINK("https://www.youtube.com/watch?v=e4D_SCWIakk", "Video")</f>
        <v/>
      </c>
      <c r="B1913" t="inlineStr">
        <is>
          <t>6:36</t>
        </is>
      </c>
      <c r="C1913" t="inlineStr">
        <is>
          <t>are protected a bit by shock that that</t>
        </is>
      </c>
      <c r="D1913">
        <f>HYPERLINK("https://www.youtube.com/watch?v=e4D_SCWIakk&amp;t=396s", "Go to time")</f>
        <v/>
      </c>
    </row>
    <row r="1914">
      <c r="A1914">
        <f>HYPERLINK("https://www.youtube.com/watch?v=zox0WIFRJgQ", "Video")</f>
        <v/>
      </c>
      <c r="B1914" t="inlineStr">
        <is>
          <t>4:05</t>
        </is>
      </c>
      <c r="C1914" t="inlineStr">
        <is>
          <t>a hard-bitten, unsentimental, ruthless realist 
named Curtis LeMay is going to replace him.</t>
        </is>
      </c>
      <c r="D1914">
        <f>HYPERLINK("https://www.youtube.com/watch?v=zox0WIFRJgQ&amp;t=245s", "Go to time")</f>
        <v/>
      </c>
    </row>
    <row r="1915">
      <c r="A1915">
        <f>HYPERLINK("https://www.youtube.com/watch?v=3y7A8-1WYvo", "Video")</f>
        <v/>
      </c>
      <c r="B1915" t="inlineStr">
        <is>
          <t>1:54</t>
        </is>
      </c>
      <c r="C1915" t="inlineStr">
        <is>
          <t>misses things out or gets a bit wrong</t>
        </is>
      </c>
      <c r="D1915">
        <f>HYPERLINK("https://www.youtube.com/watch?v=3y7A8-1WYvo&amp;t=114s", "Go to time")</f>
        <v/>
      </c>
    </row>
    <row r="1916">
      <c r="A1916">
        <f>HYPERLINK("https://www.youtube.com/watch?v=Mp4VHMotSgw", "Video")</f>
        <v/>
      </c>
      <c r="B1916" t="inlineStr">
        <is>
          <t>2:26</t>
        </is>
      </c>
      <c r="C1916" t="inlineStr">
        <is>
          <t>a little bit ethereal and Abstract but</t>
        </is>
      </c>
      <c r="D1916">
        <f>HYPERLINK("https://www.youtube.com/watch?v=Mp4VHMotSgw&amp;t=146s", "Go to time")</f>
        <v/>
      </c>
    </row>
    <row r="1917">
      <c r="A1917">
        <f>HYPERLINK("https://www.youtube.com/watch?v=Mp4VHMotSgw", "Video")</f>
        <v/>
      </c>
      <c r="B1917" t="inlineStr">
        <is>
          <t>4:33</t>
        </is>
      </c>
      <c r="C1917" t="inlineStr">
        <is>
          <t>important I I I hang up a little bit</t>
        </is>
      </c>
      <c r="D1917">
        <f>HYPERLINK("https://www.youtube.com/watch?v=Mp4VHMotSgw&amp;t=273s", "Go to time")</f>
        <v/>
      </c>
    </row>
    <row r="1918">
      <c r="A1918">
        <f>HYPERLINK("https://www.youtube.com/watch?v=IpBXgC49rjk", "Video")</f>
        <v/>
      </c>
      <c r="B1918" t="inlineStr">
        <is>
          <t>1:55</t>
        </is>
      </c>
      <c r="C1918" t="inlineStr">
        <is>
          <t>wolf my writing sounded a little bit</t>
        </is>
      </c>
      <c r="D1918">
        <f>HYPERLINK("https://www.youtube.com/watch?v=IpBXgC49rjk&amp;t=115s", "Go to time")</f>
        <v/>
      </c>
    </row>
    <row r="1919">
      <c r="A1919">
        <f>HYPERLINK("https://www.youtube.com/watch?v=IpBXgC49rjk", "Video")</f>
        <v/>
      </c>
      <c r="B1919" t="inlineStr">
        <is>
          <t>2:32</t>
        </is>
      </c>
      <c r="C1919" t="inlineStr">
        <is>
          <t>also because I still review quite a bit</t>
        </is>
      </c>
      <c r="D1919">
        <f>HYPERLINK("https://www.youtube.com/watch?v=IpBXgC49rjk&amp;t=152s", "Go to time")</f>
        <v/>
      </c>
    </row>
    <row r="1920">
      <c r="A1920">
        <f>HYPERLINK("https://www.youtube.com/watch?v=Nks1Iq8NX0U", "Video")</f>
        <v/>
      </c>
      <c r="B1920" t="inlineStr">
        <is>
          <t>8:23</t>
        </is>
      </c>
      <c r="C1920" t="inlineStr">
        <is>
          <t>even though I would sort of arbitrarily</t>
        </is>
      </c>
      <c r="D1920">
        <f>HYPERLINK("https://www.youtube.com/watch?v=Nks1Iq8NX0U&amp;t=503s", "Go to time")</f>
        <v/>
      </c>
    </row>
    <row r="1921">
      <c r="A1921">
        <f>HYPERLINK("https://www.youtube.com/watch?v=Nks1Iq8NX0U", "Video")</f>
        <v/>
      </c>
      <c r="B1921" t="inlineStr">
        <is>
          <t>15:20</t>
        </is>
      </c>
      <c r="C1921" t="inlineStr">
        <is>
          <t>cultural bits that sort of is our our</t>
        </is>
      </c>
      <c r="D1921">
        <f>HYPERLINK("https://www.youtube.com/watch?v=Nks1Iq8NX0U&amp;t=920s", "Go to time")</f>
        <v/>
      </c>
    </row>
    <row r="1922">
      <c r="A1922">
        <f>HYPERLINK("https://www.youtube.com/watch?v=Nks1Iq8NX0U", "Video")</f>
        <v/>
      </c>
      <c r="B1922" t="inlineStr">
        <is>
          <t>16:31</t>
        </is>
      </c>
      <c r="C1922" t="inlineStr">
        <is>
          <t>back from it a little bit set aside time</t>
        </is>
      </c>
      <c r="D1922">
        <f>HYPERLINK("https://www.youtube.com/watch?v=Nks1Iq8NX0U&amp;t=991s", "Go to time")</f>
        <v/>
      </c>
    </row>
    <row r="1923">
      <c r="A1923">
        <f>HYPERLINK("https://www.youtube.com/watch?v=Nks1Iq8NX0U", "Video")</f>
        <v/>
      </c>
      <c r="B1923" t="inlineStr">
        <is>
          <t>21:51</t>
        </is>
      </c>
      <c r="C1923" t="inlineStr">
        <is>
          <t>viral contagious uh little bits of</t>
        </is>
      </c>
      <c r="D1923">
        <f>HYPERLINK("https://www.youtube.com/watch?v=Nks1Iq8NX0U&amp;t=1311s", "Go to time")</f>
        <v/>
      </c>
    </row>
    <row r="1924">
      <c r="A1924">
        <f>HYPERLINK("https://www.youtube.com/watch?v=-JtkOprZjYU", "Video")</f>
        <v/>
      </c>
      <c r="B1924" t="inlineStr">
        <is>
          <t>0:18</t>
        </is>
      </c>
      <c r="C1924" t="inlineStr">
        <is>
          <t>know there's a little bit of a backlash</t>
        </is>
      </c>
      <c r="D1924">
        <f>HYPERLINK("https://www.youtube.com/watch?v=-JtkOprZjYU&amp;t=18s", "Go to time")</f>
        <v/>
      </c>
    </row>
    <row r="1925">
      <c r="A1925">
        <f>HYPERLINK("https://www.youtube.com/watch?v=d7zCvnKZB7k", "Video")</f>
        <v/>
      </c>
      <c r="B1925" t="inlineStr">
        <is>
          <t>5:38</t>
        </is>
      </c>
      <c r="C1925" t="inlineStr">
        <is>
          <t>have Chinese food I think about your bit</t>
        </is>
      </c>
      <c r="D1925">
        <f>HYPERLINK("https://www.youtube.com/watch?v=d7zCvnKZB7k&amp;t=338s", "Go to time")</f>
        <v/>
      </c>
    </row>
    <row r="1926">
      <c r="A1926">
        <f>HYPERLINK("https://www.youtube.com/watch?v=d7zCvnKZB7k", "Video")</f>
        <v/>
      </c>
      <c r="B1926" t="inlineStr">
        <is>
          <t>5:45</t>
        </is>
      </c>
      <c r="C1926" t="inlineStr">
        <is>
          <t>recollection of this and the bit was I</t>
        </is>
      </c>
      <c r="D1926">
        <f>HYPERLINK("https://www.youtube.com/watch?v=d7zCvnKZB7k&amp;t=345s", "Go to time")</f>
        <v/>
      </c>
    </row>
    <row r="1927">
      <c r="A1927">
        <f>HYPERLINK("https://www.youtube.com/watch?v=d7zCvnKZB7k", "Video")</f>
        <v/>
      </c>
      <c r="B1927" t="inlineStr">
        <is>
          <t>5:47</t>
        </is>
      </c>
      <c r="C1927" t="inlineStr">
        <is>
          <t>used to do a bit about um you know when</t>
        </is>
      </c>
      <c r="D1927">
        <f>HYPERLINK("https://www.youtube.com/watch?v=d7zCvnKZB7k&amp;t=347s", "Go to time")</f>
        <v/>
      </c>
    </row>
    <row r="1928">
      <c r="A1928">
        <f>HYPERLINK("https://www.youtube.com/watch?v=_XphXhnEguM", "Video")</f>
        <v/>
      </c>
      <c r="B1928" t="inlineStr">
        <is>
          <t>0:06</t>
        </is>
      </c>
      <c r="C1928" t="inlineStr">
        <is>
          <t>worlds orbiting other stars there's a</t>
        </is>
      </c>
      <c r="D1928">
        <f>HYPERLINK("https://www.youtube.com/watch?v=_XphXhnEguM&amp;t=6s", "Go to time")</f>
        <v/>
      </c>
    </row>
    <row r="1929">
      <c r="A1929">
        <f>HYPERLINK("https://www.youtube.com/watch?v=63QclLNIJiE", "Video")</f>
        <v/>
      </c>
      <c r="B1929" t="inlineStr">
        <is>
          <t>4:14</t>
        </is>
      </c>
      <c r="C1929" t="inlineStr">
        <is>
          <t>little bit and they can present it to</t>
        </is>
      </c>
      <c r="D1929">
        <f>HYPERLINK("https://www.youtube.com/watch?v=63QclLNIJiE&amp;t=254s", "Go to time")</f>
        <v/>
      </c>
    </row>
    <row r="1930">
      <c r="A1930">
        <f>HYPERLINK("https://www.youtube.com/watch?v=5lDFHJ7jYGM", "Video")</f>
        <v/>
      </c>
      <c r="B1930" t="inlineStr">
        <is>
          <t>0:39</t>
        </is>
      </c>
      <c r="C1930" t="inlineStr">
        <is>
          <t>decision we were bitter</t>
        </is>
      </c>
      <c r="D1930">
        <f>HYPERLINK("https://www.youtube.com/watch?v=5lDFHJ7jYGM&amp;t=39s", "Go to time")</f>
        <v/>
      </c>
    </row>
    <row r="1931">
      <c r="A1931">
        <f>HYPERLINK("https://www.youtube.com/watch?v=Ask0pBIKdDk", "Video")</f>
        <v/>
      </c>
      <c r="B1931" t="inlineStr">
        <is>
          <t>5:06</t>
        </is>
      </c>
      <c r="C1931" t="inlineStr">
        <is>
          <t>it drives ambitious people crazy.</t>
        </is>
      </c>
      <c r="D1931">
        <f>HYPERLINK("https://www.youtube.com/watch?v=Ask0pBIKdDk&amp;t=306s", "Go to time")</f>
        <v/>
      </c>
    </row>
    <row r="1932">
      <c r="A1932">
        <f>HYPERLINK("https://www.youtube.com/watch?v=ELDJJ3ma5e4", "Video")</f>
        <v/>
      </c>
      <c r="B1932" t="inlineStr">
        <is>
          <t>0:13</t>
        </is>
      </c>
      <c r="C1932" t="inlineStr">
        <is>
          <t>about Abraham Lincoln which is a bit</t>
        </is>
      </c>
      <c r="D1932">
        <f>HYPERLINK("https://www.youtube.com/watch?v=ELDJJ3ma5e4&amp;t=13s", "Go to time")</f>
        <v/>
      </c>
    </row>
    <row r="1933">
      <c r="A1933">
        <f>HYPERLINK("https://www.youtube.com/watch?v=ELDJJ3ma5e4", "Video")</f>
        <v/>
      </c>
      <c r="B1933" t="inlineStr">
        <is>
          <t>1:41</t>
        </is>
      </c>
      <c r="C1933" t="inlineStr">
        <is>
          <t>think we suffer a little bit in our</t>
        </is>
      </c>
      <c r="D1933">
        <f>HYPERLINK("https://www.youtube.com/watch?v=ELDJJ3ma5e4&amp;t=101s", "Go to time")</f>
        <v/>
      </c>
    </row>
    <row r="1934">
      <c r="A1934">
        <f>HYPERLINK("https://www.youtube.com/watch?v=K0r0101MhDo", "Video")</f>
        <v/>
      </c>
      <c r="B1934" t="inlineStr">
        <is>
          <t>1:58</t>
        </is>
      </c>
      <c r="C1934" t="inlineStr">
        <is>
          <t>someplace and if you took a bite of it</t>
        </is>
      </c>
      <c r="D1934">
        <f>HYPERLINK("https://www.youtube.com/watch?v=K0r0101MhDo&amp;t=118s", "Go to time")</f>
        <v/>
      </c>
    </row>
    <row r="1935">
      <c r="A1935">
        <f>HYPERLINK("https://www.youtube.com/watch?v=71mU1sR5180", "Video")</f>
        <v/>
      </c>
      <c r="B1935" t="inlineStr">
        <is>
          <t>0:49</t>
        </is>
      </c>
      <c r="C1935" t="inlineStr">
        <is>
          <t>Bray Bradbery and enjoyed quite a bit I</t>
        </is>
      </c>
      <c r="D1935">
        <f>HYPERLINK("https://www.youtube.com/watch?v=71mU1sR5180&amp;t=49s", "Go to time")</f>
        <v/>
      </c>
    </row>
    <row r="1936">
      <c r="A1936">
        <f>HYPERLINK("https://www.youtube.com/watch?v=595vjd7s3P4", "Video")</f>
        <v/>
      </c>
      <c r="B1936" t="inlineStr">
        <is>
          <t>0:40</t>
        </is>
      </c>
      <c r="C1936" t="inlineStr">
        <is>
          <t>habits what people need to realize is</t>
        </is>
      </c>
      <c r="D1936">
        <f>HYPERLINK("https://www.youtube.com/watch?v=595vjd7s3P4&amp;t=40s", "Go to time")</f>
        <v/>
      </c>
    </row>
    <row r="1937">
      <c r="A1937">
        <f>HYPERLINK("https://www.youtube.com/watch?v=_caTU41FWCU", "Video")</f>
        <v/>
      </c>
      <c r="B1937" t="inlineStr">
        <is>
          <t>0:15</t>
        </is>
      </c>
      <c r="C1937" t="inlineStr">
        <is>
          <t>um I think see myself as a bit of a</t>
        </is>
      </c>
      <c r="D1937">
        <f>HYPERLINK("https://www.youtube.com/watch?v=_caTU41FWCU&amp;t=15s", "Go to time")</f>
        <v/>
      </c>
    </row>
    <row r="1938">
      <c r="A1938">
        <f>HYPERLINK("https://www.youtube.com/watch?v=KdCJqpS5IDE", "Video")</f>
        <v/>
      </c>
      <c r="B1938" t="inlineStr">
        <is>
          <t>1:38</t>
        </is>
      </c>
      <c r="C1938" t="inlineStr">
        <is>
          <t>for orbital and suborbital flights so as</t>
        </is>
      </c>
      <c r="D1938">
        <f>HYPERLINK("https://www.youtube.com/watch?v=KdCJqpS5IDE&amp;t=98s", "Go to time")</f>
        <v/>
      </c>
    </row>
    <row r="1939">
      <c r="A1939">
        <f>HYPERLINK("https://www.youtube.com/watch?v=KdCJqpS5IDE", "Video")</f>
        <v/>
      </c>
      <c r="B1939" t="inlineStr">
        <is>
          <t>3:19</t>
        </is>
      </c>
      <c r="C1939" t="inlineStr">
        <is>
          <t>it's um gets a little bit easier and it</t>
        </is>
      </c>
      <c r="D1939">
        <f>HYPERLINK("https://www.youtube.com/watch?v=KdCJqpS5IDE&amp;t=199s", "Go to time")</f>
        <v/>
      </c>
    </row>
    <row r="1940">
      <c r="A1940">
        <f>HYPERLINK("https://www.youtube.com/watch?v=Oh6EEskE-xA", "Video")</f>
        <v/>
      </c>
      <c r="B1940" t="inlineStr">
        <is>
          <t>1:04</t>
        </is>
      </c>
      <c r="C1940" t="inlineStr">
        <is>
          <t>and there's a little bit of a tingling</t>
        </is>
      </c>
      <c r="D1940">
        <f>HYPERLINK("https://www.youtube.com/watch?v=Oh6EEskE-xA&amp;t=64s", "Go to time")</f>
        <v/>
      </c>
    </row>
    <row r="1941">
      <c r="A1941">
        <f>HYPERLINK("https://www.youtube.com/watch?v=Oh6EEskE-xA", "Video")</f>
        <v/>
      </c>
      <c r="B1941" t="inlineStr">
        <is>
          <t>5:45</t>
        </is>
      </c>
      <c r="C1941" t="inlineStr">
        <is>
          <t>you wanna build yourself
into those broken bits,</t>
        </is>
      </c>
      <c r="D1941">
        <f>HYPERLINK("https://www.youtube.com/watch?v=Oh6EEskE-xA&amp;t=345s", "Go to time")</f>
        <v/>
      </c>
    </row>
    <row r="1942">
      <c r="A1942">
        <f>HYPERLINK("https://www.youtube.com/watch?v=wK-fC1DK63I", "Video")</f>
        <v/>
      </c>
      <c r="B1942" t="inlineStr">
        <is>
          <t>1:13</t>
        </is>
      </c>
      <c r="C1942" t="inlineStr">
        <is>
          <t>knew it'd get big it took a little bit</t>
        </is>
      </c>
      <c r="D1942">
        <f>HYPERLINK("https://www.youtube.com/watch?v=wK-fC1DK63I&amp;t=73s", "Go to time")</f>
        <v/>
      </c>
    </row>
    <row r="1943">
      <c r="A1943">
        <f>HYPERLINK("https://www.youtube.com/watch?v=PcAZWgvFc1Q", "Video")</f>
        <v/>
      </c>
      <c r="B1943" t="inlineStr">
        <is>
          <t>0:55</t>
        </is>
      </c>
      <c r="C1943" t="inlineStr">
        <is>
          <t>Now money could be nothing but a line of code
which appears in a Bitcoin ledger.</t>
        </is>
      </c>
      <c r="D1943">
        <f>HYPERLINK("https://www.youtube.com/watch?v=PcAZWgvFc1Q&amp;t=55s", "Go to time")</f>
        <v/>
      </c>
    </row>
    <row r="1944">
      <c r="A1944">
        <f>HYPERLINK("https://www.youtube.com/watch?v=Go0Rb9r6ewE", "Video")</f>
        <v/>
      </c>
      <c r="B1944" t="inlineStr">
        <is>
          <t>5:35</t>
        </is>
      </c>
      <c r="C1944" t="inlineStr">
        <is>
          <t>there's probably a tendency to be a bit</t>
        </is>
      </c>
      <c r="D1944">
        <f>HYPERLINK("https://www.youtube.com/watch?v=Go0Rb9r6ewE&amp;t=335s", "Go to time")</f>
        <v/>
      </c>
    </row>
    <row r="1945">
      <c r="A1945">
        <f>HYPERLINK("https://www.youtube.com/watch?v=tAFZTPVFdSE", "Video")</f>
        <v/>
      </c>
      <c r="B1945" t="inlineStr">
        <is>
          <t>2:31</t>
        </is>
      </c>
      <c r="C1945" t="inlineStr">
        <is>
          <t>- The stakes are high in
that it can be a little bit</t>
        </is>
      </c>
      <c r="D1945">
        <f>HYPERLINK("https://www.youtube.com/watch?v=tAFZTPVFdSE&amp;t=151s", "Go to time")</f>
        <v/>
      </c>
    </row>
    <row r="1946">
      <c r="A1946">
        <f>HYPERLINK("https://www.youtube.com/watch?v=TYFpAtWdUDQ", "Video")</f>
        <v/>
      </c>
      <c r="B1946" t="inlineStr">
        <is>
          <t>0:58</t>
        </is>
      </c>
      <c r="C1946" t="inlineStr">
        <is>
          <t>War um is is one 50 different bits of</t>
        </is>
      </c>
      <c r="D1946">
        <f>HYPERLINK("https://www.youtube.com/watch?v=TYFpAtWdUDQ&amp;t=58s", "Go to time")</f>
        <v/>
      </c>
    </row>
    <row r="1947">
      <c r="A1947">
        <f>HYPERLINK("https://www.youtube.com/watch?v=7tY6UmatJfI", "Video")</f>
        <v/>
      </c>
      <c r="B1947" t="inlineStr">
        <is>
          <t>3:19</t>
        </is>
      </c>
      <c r="C1947" t="inlineStr">
        <is>
          <t>and they're often a little bit leery</t>
        </is>
      </c>
      <c r="D1947">
        <f>HYPERLINK("https://www.youtube.com/watch?v=7tY6UmatJfI&amp;t=199s", "Go to time")</f>
        <v/>
      </c>
    </row>
    <row r="1948">
      <c r="A1948">
        <f>HYPERLINK("https://www.youtube.com/watch?v=mkdzy9bWW3E", "Video")</f>
        <v/>
      </c>
      <c r="B1948" t="inlineStr">
        <is>
          <t>0:29</t>
        </is>
      </c>
      <c r="C1948" t="inlineStr">
        <is>
          <t>more likely to set an ambitious goal for</t>
        </is>
      </c>
      <c r="D1948">
        <f>HYPERLINK("https://www.youtube.com/watch?v=mkdzy9bWW3E&amp;t=29s", "Go to time")</f>
        <v/>
      </c>
    </row>
    <row r="1949">
      <c r="A1949">
        <f>HYPERLINK("https://www.youtube.com/watch?v=mkdzy9bWW3E", "Video")</f>
        <v/>
      </c>
      <c r="B1949" t="inlineStr">
        <is>
          <t>0:43</t>
        </is>
      </c>
      <c r="C1949" t="inlineStr">
        <is>
          <t>our creativity of our of our ambition to</t>
        </is>
      </c>
      <c r="D1949">
        <f>HYPERLINK("https://www.youtube.com/watch?v=mkdzy9bWW3E&amp;t=43s", "Go to time")</f>
        <v/>
      </c>
    </row>
    <row r="1950">
      <c r="A1950">
        <f>HYPERLINK("https://www.youtube.com/watch?v=tpE0jUO5WoI", "Video")</f>
        <v/>
      </c>
      <c r="B1950" t="inlineStr">
        <is>
          <t>10:40</t>
        </is>
      </c>
      <c r="C1950" t="inlineStr">
        <is>
          <t>typically the smallest of the animals, is a little 
bit better, 100 calories in, you get 13 calories</t>
        </is>
      </c>
      <c r="D1950">
        <f>HYPERLINK("https://www.youtube.com/watch?v=tpE0jUO5WoI&amp;t=640s", "Go to time")</f>
        <v/>
      </c>
    </row>
    <row r="1951">
      <c r="A1951">
        <f>HYPERLINK("https://www.youtube.com/watch?v=tpE0jUO5WoI", "Video")</f>
        <v/>
      </c>
      <c r="B1951" t="inlineStr">
        <is>
          <t>11:04</t>
        </is>
      </c>
      <c r="C1951" t="inlineStr">
        <is>
          <t>Unfortunately not. It's a little bit better 
than calories, but for cows, lambs, and pigs,</t>
        </is>
      </c>
      <c r="D1951">
        <f>HYPERLINK("https://www.youtube.com/watch?v=tpE0jUO5WoI&amp;t=664s", "Go to time")</f>
        <v/>
      </c>
    </row>
    <row r="1952">
      <c r="A1952">
        <f>HYPERLINK("https://www.youtube.com/watch?v=tpE0jUO5WoI", "Video")</f>
        <v/>
      </c>
      <c r="B1952" t="inlineStr">
        <is>
          <t>11:20</t>
        </is>
      </c>
      <c r="C1952" t="inlineStr">
        <is>
          <t>out in the form of meat. Chicken is a little 
bit better, but it's still less than 20 grams</t>
        </is>
      </c>
      <c r="D1952">
        <f>HYPERLINK("https://www.youtube.com/watch?v=tpE0jUO5WoI&amp;t=680s", "Go to time")</f>
        <v/>
      </c>
    </row>
    <row r="1953">
      <c r="A1953">
        <f>HYPERLINK("https://www.youtube.com/watch?v=tpE0jUO5WoI", "Video")</f>
        <v/>
      </c>
      <c r="B1953" t="inlineStr">
        <is>
          <t>14:50</t>
        </is>
      </c>
      <c r="C1953" t="inlineStr">
        <is>
          <t>one solution that tends to get a lot of attention, 
and to some extent I'm a little bit excited about,</t>
        </is>
      </c>
      <c r="D1953">
        <f>HYPERLINK("https://www.youtube.com/watch?v=tpE0jUO5WoI&amp;t=890s", "Go to time")</f>
        <v/>
      </c>
    </row>
    <row r="1954">
      <c r="A1954">
        <f>HYPERLINK("https://www.youtube.com/watch?v=tpE0jUO5WoI", "Video")</f>
        <v/>
      </c>
      <c r="B1954" t="inlineStr">
        <is>
          <t>18:44</t>
        </is>
      </c>
      <c r="C1954" t="inlineStr">
        <is>
          <t>habitats and forests. We would end deforestation 
because food and agricultural expansion is the</t>
        </is>
      </c>
      <c r="D1954">
        <f>HYPERLINK("https://www.youtube.com/watch?v=tpE0jUO5WoI&amp;t=1124s", "Go to time")</f>
        <v/>
      </c>
    </row>
    <row r="1955">
      <c r="A1955">
        <f>HYPERLINK("https://www.youtube.com/watch?v=sCf9z9uArO0", "Video")</f>
        <v/>
      </c>
      <c r="B1955" t="inlineStr">
        <is>
          <t>1:14</t>
        </is>
      </c>
      <c r="C1955" t="inlineStr">
        <is>
          <t>- I think there's a little bit</t>
        </is>
      </c>
      <c r="D1955">
        <f>HYPERLINK("https://www.youtube.com/watch?v=sCf9z9uArO0&amp;t=74s", "Go to time")</f>
        <v/>
      </c>
    </row>
    <row r="1956">
      <c r="A1956">
        <f>HYPERLINK("https://www.youtube.com/watch?v=BQYaH5Gqyyo", "Video")</f>
        <v/>
      </c>
      <c r="B1956" t="inlineStr">
        <is>
          <t>0:30</t>
        </is>
      </c>
      <c r="C1956" t="inlineStr">
        <is>
          <t>asking for money amnesty gave a tiny bit</t>
        </is>
      </c>
      <c r="D1956">
        <f>HYPERLINK("https://www.youtube.com/watch?v=BQYaH5Gqyyo&amp;t=30s", "Go to time")</f>
        <v/>
      </c>
    </row>
    <row r="1957">
      <c r="A1957">
        <f>HYPERLINK("https://www.youtube.com/watch?v=ZKqk2nDJqOA", "Video")</f>
        <v/>
      </c>
      <c r="B1957" t="inlineStr">
        <is>
          <t>9:13</t>
        </is>
      </c>
      <c r="C1957" t="inlineStr">
        <is>
          <t>people I write about but my ambition is</t>
        </is>
      </c>
      <c r="D1957">
        <f>HYPERLINK("https://www.youtube.com/watch?v=ZKqk2nDJqOA&amp;t=553s", "Go to time")</f>
        <v/>
      </c>
    </row>
    <row r="1958">
      <c r="A1958">
        <f>HYPERLINK("https://www.youtube.com/watch?v=ZKqk2nDJqOA", "Video")</f>
        <v/>
      </c>
      <c r="B1958" t="inlineStr">
        <is>
          <t>9:39</t>
        </is>
      </c>
      <c r="C1958" t="inlineStr">
        <is>
          <t>efforts my my ambitions as a as a writer</t>
        </is>
      </c>
      <c r="D1958">
        <f>HYPERLINK("https://www.youtube.com/watch?v=ZKqk2nDJqOA&amp;t=579s", "Go to time")</f>
        <v/>
      </c>
    </row>
    <row r="1959">
      <c r="A1959">
        <f>HYPERLINK("https://www.youtube.com/watch?v=RA_RO8VyP5Q", "Video")</f>
        <v/>
      </c>
      <c r="B1959" t="inlineStr">
        <is>
          <t>0:04</t>
        </is>
      </c>
      <c r="C1959" t="inlineStr">
        <is>
          <t>I mean at the moment I think it's a bit</t>
        </is>
      </c>
      <c r="D1959">
        <f>HYPERLINK("https://www.youtube.com/watch?v=RA_RO8VyP5Q&amp;t=4s", "Go to time")</f>
        <v/>
      </c>
    </row>
    <row r="1960">
      <c r="A1960">
        <f>HYPERLINK("https://www.youtube.com/watch?v=KFs-u1sAV6U", "Video")</f>
        <v/>
      </c>
      <c r="B1960" t="inlineStr">
        <is>
          <t>2:25</t>
        </is>
      </c>
      <c r="C1960" t="inlineStr">
        <is>
          <t>We inhabit a very narrow
band of perceptual space.</t>
        </is>
      </c>
      <c r="D1960">
        <f>HYPERLINK("https://www.youtube.com/watch?v=KFs-u1sAV6U&amp;t=145s", "Go to time")</f>
        <v/>
      </c>
    </row>
    <row r="1961">
      <c r="A1961">
        <f>HYPERLINK("https://www.youtube.com/watch?v=S0tf40m5Hsc", "Video")</f>
        <v/>
      </c>
      <c r="B1961" t="inlineStr">
        <is>
          <t>0:36</t>
        </is>
      </c>
      <c r="C1961" t="inlineStr">
        <is>
          <t>gets like a little bit carbonized on the</t>
        </is>
      </c>
      <c r="D1961">
        <f>HYPERLINK("https://www.youtube.com/watch?v=S0tf40m5Hsc&amp;t=36s", "Go to time")</f>
        <v/>
      </c>
    </row>
    <row r="1962">
      <c r="A1962">
        <f>HYPERLINK("https://www.youtube.com/watch?v=kOfH54GjCVc", "Video")</f>
        <v/>
      </c>
      <c r="B1962" t="inlineStr">
        <is>
          <t>1:20</t>
        </is>
      </c>
      <c r="C1962" t="inlineStr">
        <is>
          <t>So let me talk a little bit
about the resilience of nature.</t>
        </is>
      </c>
      <c r="D1962">
        <f>HYPERLINK("https://www.youtube.com/watch?v=kOfH54GjCVc&amp;t=80s", "Go to time")</f>
        <v/>
      </c>
    </row>
    <row r="1963">
      <c r="A1963">
        <f>HYPERLINK("https://www.youtube.com/watch?v=kOfH54GjCVc", "Video")</f>
        <v/>
      </c>
      <c r="B1963" t="inlineStr">
        <is>
          <t>3:37</t>
        </is>
      </c>
      <c r="C1963" t="inlineStr">
        <is>
          <t>the flavors were subtle and paired
really nicely with a bit of oat milk.</t>
        </is>
      </c>
      <c r="D1963">
        <f>HYPERLINK("https://www.youtube.com/watch?v=kOfH54GjCVc&amp;t=217s", "Go to time")</f>
        <v/>
      </c>
    </row>
    <row r="1964">
      <c r="A1964">
        <f>HYPERLINK("https://www.youtube.com/watch?v=kOfH54GjCVc", "Video")</f>
        <v/>
      </c>
      <c r="B1964" t="inlineStr">
        <is>
          <t>5:52</t>
        </is>
      </c>
      <c r="C1964" t="inlineStr">
        <is>
          <t>and a little bit of introduction,</t>
        </is>
      </c>
      <c r="D1964">
        <f>HYPERLINK("https://www.youtube.com/watch?v=kOfH54GjCVc&amp;t=352s", "Go to time")</f>
        <v/>
      </c>
    </row>
    <row r="1965">
      <c r="A1965">
        <f>HYPERLINK("https://www.youtube.com/watch?v=kOfH54GjCVc", "Video")</f>
        <v/>
      </c>
      <c r="B1965" t="inlineStr">
        <is>
          <t>8:07</t>
        </is>
      </c>
      <c r="C1965" t="inlineStr">
        <is>
          <t>to just make things a bit more hospitable.</t>
        </is>
      </c>
      <c r="D1965">
        <f>HYPERLINK("https://www.youtube.com/watch?v=kOfH54GjCVc&amp;t=487s", "Go to time")</f>
        <v/>
      </c>
    </row>
    <row r="1966">
      <c r="A1966">
        <f>HYPERLINK("https://www.youtube.com/watch?v=nVuZpWYXP1Q", "Video")</f>
        <v/>
      </c>
      <c r="B1966" t="inlineStr">
        <is>
          <t>0:22</t>
        </is>
      </c>
      <c r="C1966" t="inlineStr">
        <is>
          <t>being a bit repetitive. I just don't</t>
        </is>
      </c>
      <c r="D1966">
        <f>HYPERLINK("https://www.youtube.com/watch?v=nVuZpWYXP1Q&amp;t=22s", "Go to time")</f>
        <v/>
      </c>
    </row>
    <row r="1967">
      <c r="A1967">
        <f>HYPERLINK("https://www.youtube.com/watch?v=Ym6whrAw8wU", "Video")</f>
        <v/>
      </c>
      <c r="B1967" t="inlineStr">
        <is>
          <t>0:30</t>
        </is>
      </c>
      <c r="C1967" t="inlineStr">
        <is>
          <t>Isaac Newton was solitary, antisocial, I think
unpleasant, bitter, fought with his friends</t>
        </is>
      </c>
      <c r="D1967">
        <f>HYPERLINK("https://www.youtube.com/watch?v=Ym6whrAw8wU&amp;t=30s", "Go to time")</f>
        <v/>
      </c>
    </row>
    <row r="1968">
      <c r="A1968">
        <f>HYPERLINK("https://www.youtube.com/watch?v=Dx_kuLXdpiM", "Video")</f>
        <v/>
      </c>
      <c r="B1968" t="inlineStr">
        <is>
          <t>2:46</t>
        </is>
      </c>
      <c r="C1968" t="inlineStr">
        <is>
          <t>with have every bit as much potential as</t>
        </is>
      </c>
      <c r="D1968">
        <f>HYPERLINK("https://www.youtube.com/watch?v=Dx_kuLXdpiM&amp;t=166s", "Go to time")</f>
        <v/>
      </c>
    </row>
    <row r="1969">
      <c r="A1969">
        <f>HYPERLINK("https://www.youtube.com/watch?v=Dx_kuLXdpiM", "Video")</f>
        <v/>
      </c>
      <c r="B1969" t="inlineStr">
        <is>
          <t>5:44</t>
        </is>
      </c>
      <c r="C1969" t="inlineStr">
        <is>
          <t>things a bit from the federal level and</t>
        </is>
      </c>
      <c r="D1969">
        <f>HYPERLINK("https://www.youtube.com/watch?v=Dx_kuLXdpiM&amp;t=344s", "Go to time")</f>
        <v/>
      </c>
    </row>
    <row r="1970">
      <c r="A1970">
        <f>HYPERLINK("https://www.youtube.com/watch?v=laGXRs9Ce70", "Video")</f>
        <v/>
      </c>
      <c r="B1970" t="inlineStr">
        <is>
          <t>2:19</t>
        </is>
      </c>
      <c r="C1970" t="inlineStr">
        <is>
          <t>bits of information.</t>
        </is>
      </c>
      <c r="D1970">
        <f>HYPERLINK("https://www.youtube.com/watch?v=laGXRs9Ce70&amp;t=139s", "Go to time")</f>
        <v/>
      </c>
    </row>
    <row r="1971">
      <c r="A1971">
        <f>HYPERLINK("https://www.youtube.com/watch?v=laGXRs9Ce70", "Video")</f>
        <v/>
      </c>
      <c r="B1971" t="inlineStr">
        <is>
          <t>2:24</t>
        </is>
      </c>
      <c r="C1971" t="inlineStr">
        <is>
          <t>that a black hole stores in bits.</t>
        </is>
      </c>
      <c r="D1971">
        <f>HYPERLINK("https://www.youtube.com/watch?v=laGXRs9Ce70&amp;t=144s", "Go to time")</f>
        <v/>
      </c>
    </row>
    <row r="1972">
      <c r="A1972">
        <f>HYPERLINK("https://www.youtube.com/watch?v=laGXRs9Ce70", "Video")</f>
        <v/>
      </c>
      <c r="B1972" t="inlineStr">
        <is>
          <t>5:24</t>
        </is>
      </c>
      <c r="C1972" t="inlineStr">
        <is>
          <t>which means that you can lose a bit of it</t>
        </is>
      </c>
      <c r="D1972">
        <f>HYPERLINK("https://www.youtube.com/watch?v=laGXRs9Ce70&amp;t=324s", "Go to time")</f>
        <v/>
      </c>
    </row>
    <row r="1973">
      <c r="A1973">
        <f>HYPERLINK("https://www.youtube.com/watch?v=YADMnMgPsBA", "Video")</f>
        <v/>
      </c>
      <c r="B1973" t="inlineStr">
        <is>
          <t>4:47</t>
        </is>
      </c>
      <c r="C1973" t="inlineStr">
        <is>
          <t>equation a little bit more uh this</t>
        </is>
      </c>
      <c r="D1973">
        <f>HYPERLINK("https://www.youtube.com/watch?v=YADMnMgPsBA&amp;t=287s", "Go to time")</f>
        <v/>
      </c>
    </row>
    <row r="1974">
      <c r="A1974">
        <f>HYPERLINK("https://www.youtube.com/watch?v=YADMnMgPsBA", "Video")</f>
        <v/>
      </c>
      <c r="B1974" t="inlineStr">
        <is>
          <t>11:18</t>
        </is>
      </c>
      <c r="C1974" t="inlineStr">
        <is>
          <t>is a little bit less vigorous uh and it</t>
        </is>
      </c>
      <c r="D1974">
        <f>HYPERLINK("https://www.youtube.com/watch?v=YADMnMgPsBA&amp;t=678s", "Go to time")</f>
        <v/>
      </c>
    </row>
    <row r="1975">
      <c r="A1975">
        <f>HYPERLINK("https://www.youtube.com/watch?v=j19vsWsz8p4", "Video")</f>
        <v/>
      </c>
      <c r="B1975" t="inlineStr">
        <is>
          <t>12:04</t>
        </is>
      </c>
      <c r="C1975" t="inlineStr">
        <is>
          <t>say in my uh obituary he did this this</t>
        </is>
      </c>
      <c r="D1975">
        <f>HYPERLINK("https://www.youtube.com/watch?v=j19vsWsz8p4&amp;t=724s", "Go to time")</f>
        <v/>
      </c>
    </row>
    <row r="1976">
      <c r="A1976">
        <f>HYPERLINK("https://www.youtube.com/watch?v=4Oping08p0c", "Video")</f>
        <v/>
      </c>
      <c r="B1976" t="inlineStr">
        <is>
          <t>2:34</t>
        </is>
      </c>
      <c r="C1976" t="inlineStr">
        <is>
          <t>opening things up a bit sort of makes</t>
        </is>
      </c>
      <c r="D1976">
        <f>HYPERLINK("https://www.youtube.com/watch?v=4Oping08p0c&amp;t=154s", "Go to time")</f>
        <v/>
      </c>
    </row>
    <row r="1977">
      <c r="A1977">
        <f>HYPERLINK("https://www.youtube.com/watch?v=ZQ_RIpXzo5E", "Video")</f>
        <v/>
      </c>
      <c r="B1977" t="inlineStr">
        <is>
          <t>0:29</t>
        </is>
      </c>
      <c r="C1977" t="inlineStr">
        <is>
          <t>astronomy and that is what is an orbit</t>
        </is>
      </c>
      <c r="D1977">
        <f>HYPERLINK("https://www.youtube.com/watch?v=ZQ_RIpXzo5E&amp;t=29s", "Go to time")</f>
        <v/>
      </c>
    </row>
    <row r="1978">
      <c r="A1978">
        <f>HYPERLINK("https://www.youtube.com/watch?v=ZQ_RIpXzo5E", "Video")</f>
        <v/>
      </c>
      <c r="B1978" t="inlineStr">
        <is>
          <t>0:33</t>
        </is>
      </c>
      <c r="C1978" t="inlineStr">
        <is>
          <t>orbiting the Earth and why does it</t>
        </is>
      </c>
      <c r="D1978">
        <f>HYPERLINK("https://www.youtube.com/watch?v=ZQ_RIpXzo5E&amp;t=33s", "Go to time")</f>
        <v/>
      </c>
    </row>
    <row r="1979">
      <c r="A1979">
        <f>HYPERLINK("https://www.youtube.com/watch?v=ZQ_RIpXzo5E", "Video")</f>
        <v/>
      </c>
      <c r="B1979" t="inlineStr">
        <is>
          <t>0:46</t>
        </is>
      </c>
      <c r="C1979" t="inlineStr">
        <is>
          <t>orbits around us about once every 90</t>
        </is>
      </c>
      <c r="D1979">
        <f>HYPERLINK("https://www.youtube.com/watch?v=ZQ_RIpXzo5E&amp;t=46s", "Go to time")</f>
        <v/>
      </c>
    </row>
    <row r="1980">
      <c r="A1980">
        <f>HYPERLINK("https://www.youtube.com/watch?v=ZQ_RIpXzo5E", "Video")</f>
        <v/>
      </c>
      <c r="B1980" t="inlineStr">
        <is>
          <t>0:58</t>
        </is>
      </c>
      <c r="C1980" t="inlineStr">
        <is>
          <t>you might weight a tiny little bit less</t>
        </is>
      </c>
      <c r="D1980">
        <f>HYPERLINK("https://www.youtube.com/watch?v=ZQ_RIpXzo5E&amp;t=58s", "Go to time")</f>
        <v/>
      </c>
    </row>
    <row r="1981">
      <c r="A1981">
        <f>HYPERLINK("https://www.youtube.com/watch?v=ZQ_RIpXzo5E", "Video")</f>
        <v/>
      </c>
      <c r="B1981" t="inlineStr">
        <is>
          <t>1:18</t>
        </is>
      </c>
      <c r="C1981" t="inlineStr">
        <is>
          <t>around well this is what an orbit really</t>
        </is>
      </c>
      <c r="D1981">
        <f>HYPERLINK("https://www.youtube.com/watch?v=ZQ_RIpXzo5E&amp;t=78s", "Go to time")</f>
        <v/>
      </c>
    </row>
    <row r="1982">
      <c r="A1982">
        <f>HYPERLINK("https://www.youtube.com/watch?v=ZQ_RIpXzo5E", "Video")</f>
        <v/>
      </c>
      <c r="B1982" t="inlineStr">
        <is>
          <t>1:24</t>
        </is>
      </c>
      <c r="C1982" t="inlineStr">
        <is>
          <t>very fast to put them into orbit that's</t>
        </is>
      </c>
      <c r="D1982">
        <f>HYPERLINK("https://www.youtube.com/watch?v=ZQ_RIpXzo5E&amp;t=84s", "Go to time")</f>
        <v/>
      </c>
    </row>
    <row r="1983">
      <c r="A1983">
        <f>HYPERLINK("https://www.youtube.com/watch?v=ZQ_RIpXzo5E", "Video")</f>
        <v/>
      </c>
      <c r="B1983" t="inlineStr">
        <is>
          <t>1:30</t>
        </is>
      </c>
      <c r="C1983" t="inlineStr">
        <is>
          <t>very very fast and if you're in orbit</t>
        </is>
      </c>
      <c r="D1983">
        <f>HYPERLINK("https://www.youtube.com/watch?v=ZQ_RIpXzo5E&amp;t=90s", "Go to time")</f>
        <v/>
      </c>
    </row>
    <row r="1984">
      <c r="A1984">
        <f>HYPERLINK("https://www.youtube.com/watch?v=ZQ_RIpXzo5E", "Video")</f>
        <v/>
      </c>
      <c r="B1984" t="inlineStr">
        <is>
          <t>2:07</t>
        </is>
      </c>
      <c r="C1984" t="inlineStr">
        <is>
          <t>an orbit now think about it this way I</t>
        </is>
      </c>
      <c r="D1984">
        <f>HYPERLINK("https://www.youtube.com/watch?v=ZQ_RIpXzo5E&amp;t=127s", "Go to time")</f>
        <v/>
      </c>
    </row>
    <row r="1985">
      <c r="A1985">
        <f>HYPERLINK("https://www.youtube.com/watch?v=ZQ_RIpXzo5E", "Video")</f>
        <v/>
      </c>
      <c r="B1985" t="inlineStr">
        <is>
          <t>3:03</t>
        </is>
      </c>
      <c r="C1985" t="inlineStr">
        <is>
          <t>it that's what an orbit is and that's</t>
        </is>
      </c>
      <c r="D1985">
        <f>HYPERLINK("https://www.youtube.com/watch?v=ZQ_RIpXzo5E&amp;t=183s", "Go to time")</f>
        <v/>
      </c>
    </row>
    <row r="1986">
      <c r="A1986">
        <f>HYPERLINK("https://www.youtube.com/watch?v=ZQ_RIpXzo5E", "Video")</f>
        <v/>
      </c>
      <c r="B1986" t="inlineStr">
        <is>
          <t>3:06</t>
        </is>
      </c>
      <c r="C1986" t="inlineStr">
        <is>
          <t>why you need a rocket to get into orbit</t>
        </is>
      </c>
      <c r="D1986">
        <f>HYPERLINK("https://www.youtube.com/watch?v=ZQ_RIpXzo5E&amp;t=186s", "Go to time")</f>
        <v/>
      </c>
    </row>
    <row r="1987">
      <c r="A1987">
        <f>HYPERLINK("https://www.youtube.com/watch?v=ZQ_RIpXzo5E", "Video")</f>
        <v/>
      </c>
      <c r="B1987" t="inlineStr">
        <is>
          <t>3:34</t>
        </is>
      </c>
      <c r="C1987" t="inlineStr">
        <is>
          <t>everything that's in orbit around</t>
        </is>
      </c>
      <c r="D1987">
        <f>HYPERLINK("https://www.youtube.com/watch?v=ZQ_RIpXzo5E&amp;t=214s", "Go to time")</f>
        <v/>
      </c>
    </row>
    <row r="1988">
      <c r="A1988">
        <f>HYPERLINK("https://www.youtube.com/watch?v=ZQ_RIpXzo5E", "Video")</f>
        <v/>
      </c>
      <c r="B1988" t="inlineStr">
        <is>
          <t>3:47</t>
        </is>
      </c>
      <c r="C1988" t="inlineStr">
        <is>
          <t>around it and that means we're in orbit</t>
        </is>
      </c>
      <c r="D1988">
        <f>HYPERLINK("https://www.youtube.com/watch?v=ZQ_RIpXzo5E&amp;t=227s", "Go to time")</f>
        <v/>
      </c>
    </row>
    <row r="1989">
      <c r="A1989">
        <f>HYPERLINK("https://www.youtube.com/watch?v=ZQ_RIpXzo5E", "Video")</f>
        <v/>
      </c>
      <c r="B1989" t="inlineStr">
        <is>
          <t>3:49</t>
        </is>
      </c>
      <c r="C1989" t="inlineStr">
        <is>
          <t>around the Sun the moon is in orbit</t>
        </is>
      </c>
      <c r="D1989">
        <f>HYPERLINK("https://www.youtube.com/watch?v=ZQ_RIpXzo5E&amp;t=229s", "Go to time")</f>
        <v/>
      </c>
    </row>
    <row r="1990">
      <c r="A1990">
        <f>HYPERLINK("https://www.youtube.com/watch?v=ZQ_RIpXzo5E", "Video")</f>
        <v/>
      </c>
      <c r="B1990" t="inlineStr">
        <is>
          <t>3:59</t>
        </is>
      </c>
      <c r="C1990" t="inlineStr">
        <is>
          <t>everything in space that is orbiting is</t>
        </is>
      </c>
      <c r="D1990">
        <f>HYPERLINK("https://www.youtube.com/watch?v=ZQ_RIpXzo5E&amp;t=239s", "Go to time")</f>
        <v/>
      </c>
    </row>
    <row r="1991">
      <c r="A1991">
        <f>HYPERLINK("https://www.youtube.com/watch?v=qTcn9evL644", "Video")</f>
        <v/>
      </c>
      <c r="B1991" t="inlineStr">
        <is>
          <t>3:07</t>
        </is>
      </c>
      <c r="C1991" t="inlineStr">
        <is>
          <t>you experience a little
bit of the happiness.</t>
        </is>
      </c>
      <c r="D1991">
        <f>HYPERLINK("https://www.youtube.com/watch?v=qTcn9evL644&amp;t=187s", "Go to time")</f>
        <v/>
      </c>
    </row>
    <row r="1992">
      <c r="A1992">
        <f>HYPERLINK("https://www.youtube.com/watch?v=PSAT3Wn841c", "Video")</f>
        <v/>
      </c>
      <c r="B1992" t="inlineStr">
        <is>
          <t>3:03</t>
        </is>
      </c>
      <c r="C1992" t="inlineStr">
        <is>
          <t>on Wall Street maybe get contained a bit</t>
        </is>
      </c>
      <c r="D1992">
        <f>HYPERLINK("https://www.youtube.com/watch?v=PSAT3Wn841c&amp;t=183s", "Go to time")</f>
        <v/>
      </c>
    </row>
    <row r="1993">
      <c r="A1993">
        <f>HYPERLINK("https://www.youtube.com/watch?v=F3POLOM0i8Y", "Video")</f>
        <v/>
      </c>
      <c r="B1993" t="inlineStr">
        <is>
          <t>1:16</t>
        </is>
      </c>
      <c r="C1993" t="inlineStr">
        <is>
          <t>other people’s and when they found these
sort of “uninhibited” displays of emotion,</t>
        </is>
      </c>
      <c r="D1993">
        <f>HYPERLINK("https://www.youtube.com/watch?v=F3POLOM0i8Y&amp;t=76s", "Go to time")</f>
        <v/>
      </c>
    </row>
    <row r="1994">
      <c r="A1994">
        <f>HYPERLINK("https://www.youtube.com/watch?v=F3POLOM0i8Y", "Video")</f>
        <v/>
      </c>
      <c r="B1994" t="inlineStr">
        <is>
          <t>3:15</t>
        </is>
      </c>
      <c r="C1994" t="inlineStr">
        <is>
          <t>and sensation, when you actually deprive us
of sensations we go a little bit crazy.</t>
        </is>
      </c>
      <c r="D1994">
        <f>HYPERLINK("https://www.youtube.com/watch?v=F3POLOM0i8Y&amp;t=195s", "Go to time")</f>
        <v/>
      </c>
    </row>
    <row r="1995">
      <c r="A1995">
        <f>HYPERLINK("https://www.youtube.com/watch?v=F3POLOM0i8Y", "Video")</f>
        <v/>
      </c>
      <c r="B1995" t="inlineStr">
        <is>
          <t>6:05</t>
        </is>
      </c>
      <c r="C1995" t="inlineStr">
        <is>
          <t>And all of the rooms are a little bit different
than traditional rooms.</t>
        </is>
      </c>
      <c r="D1995">
        <f>HYPERLINK("https://www.youtube.com/watch?v=F3POLOM0i8Y&amp;t=365s", "Go to time")</f>
        <v/>
      </c>
    </row>
    <row r="1996">
      <c r="A1996">
        <f>HYPERLINK("https://www.youtube.com/watch?v=F3POLOM0i8Y", "Video")</f>
        <v/>
      </c>
      <c r="B1996" t="inlineStr">
        <is>
          <t>6:42</t>
        </is>
      </c>
      <c r="C1996" t="inlineStr">
        <is>
          <t>And what I found is—I came back out into
the world, I was a little bit worried that</t>
        </is>
      </c>
      <c r="D1996">
        <f>HYPERLINK("https://www.youtube.com/watch?v=F3POLOM0i8Y&amp;t=402s", "Go to time")</f>
        <v/>
      </c>
    </row>
    <row r="1997">
      <c r="A1997">
        <f>HYPERLINK("https://www.youtube.com/watch?v=qQviI1d_hFA", "Video")</f>
        <v/>
      </c>
      <c r="B1997" t="inlineStr">
        <is>
          <t>6:38</t>
        </is>
      </c>
      <c r="C1997" t="inlineStr">
        <is>
          <t>we can measure their
power in terms of bits.</t>
        </is>
      </c>
      <c r="D1997">
        <f>HYPERLINK("https://www.youtube.com/watch?v=qQviI1d_hFA&amp;t=398s", "Go to time")</f>
        <v/>
      </c>
    </row>
    <row r="1998">
      <c r="A1998">
        <f>HYPERLINK("https://www.youtube.com/watch?v=qQviI1d_hFA", "Video")</f>
        <v/>
      </c>
      <c r="B1998" t="inlineStr">
        <is>
          <t>6:45</t>
        </is>
      </c>
      <c r="C1998" t="inlineStr">
        <is>
          <t>would constitute one bit.</t>
        </is>
      </c>
      <c r="D1998">
        <f>HYPERLINK("https://www.youtube.com/watch?v=qQviI1d_hFA&amp;t=405s", "Go to time")</f>
        <v/>
      </c>
    </row>
    <row r="1999">
      <c r="A1999">
        <f>HYPERLINK("https://www.youtube.com/watch?v=qQviI1d_hFA", "Video")</f>
        <v/>
      </c>
      <c r="B1999" t="inlineStr">
        <is>
          <t>6:50</t>
        </is>
      </c>
      <c r="C1999" t="inlineStr">
        <is>
          <t>we're now talking about billions of bits</t>
        </is>
      </c>
      <c r="D1999">
        <f>HYPERLINK("https://www.youtube.com/watch?v=qQviI1d_hFA&amp;t=410s", "Go to time")</f>
        <v/>
      </c>
    </row>
    <row r="2000">
      <c r="A2000">
        <f>HYPERLINK("https://www.youtube.com/watch?v=qQviI1d_hFA", "Video")</f>
        <v/>
      </c>
      <c r="B2000" t="inlineStr">
        <is>
          <t>7:04</t>
        </is>
      </c>
      <c r="C2000" t="inlineStr">
        <is>
          <t>that's called a qubit.</t>
        </is>
      </c>
      <c r="D2000">
        <f>HYPERLINK("https://www.youtube.com/watch?v=qQviI1d_hFA&amp;t=424s", "Go to time")</f>
        <v/>
      </c>
    </row>
    <row r="2001">
      <c r="A2001">
        <f>HYPERLINK("https://www.youtube.com/watch?v=qQviI1d_hFA", "Video")</f>
        <v/>
      </c>
      <c r="B2001" t="inlineStr">
        <is>
          <t>7:05</t>
        </is>
      </c>
      <c r="C2001" t="inlineStr">
        <is>
          <t>One qubit represents all the possibilities</t>
        </is>
      </c>
      <c r="D2001">
        <f>HYPERLINK("https://www.youtube.com/watch?v=qQviI1d_hFA&amp;t=425s", "Go to time")</f>
        <v/>
      </c>
    </row>
    <row r="2002">
      <c r="A2002">
        <f>HYPERLINK("https://www.youtube.com/watch?v=qQviI1d_hFA", "Video")</f>
        <v/>
      </c>
      <c r="B2002" t="inlineStr">
        <is>
          <t>7:14</t>
        </is>
      </c>
      <c r="C2002" t="inlineStr">
        <is>
          <t>Thousands of qubits can now be modeled</t>
        </is>
      </c>
      <c r="D2002">
        <f>HYPERLINK("https://www.youtube.com/watch?v=qQviI1d_hFA&amp;t=434s", "Go to time")</f>
        <v/>
      </c>
    </row>
    <row r="2003">
      <c r="A2003">
        <f>HYPERLINK("https://www.youtube.com/watch?v=g40UzcLw8fM", "Video")</f>
        <v/>
      </c>
      <c r="B2003" t="inlineStr">
        <is>
          <t>9:03</t>
        </is>
      </c>
      <c r="C2003" t="inlineStr">
        <is>
          <t>aren't in that particular orbit I think</t>
        </is>
      </c>
      <c r="D2003">
        <f>HYPERLINK("https://www.youtube.com/watch?v=g40UzcLw8fM&amp;t=543s", "Go to time")</f>
        <v/>
      </c>
    </row>
    <row r="2004">
      <c r="A2004">
        <f>HYPERLINK("https://www.youtube.com/watch?v=lAdA3HYVxoM", "Video")</f>
        <v/>
      </c>
      <c r="B2004" t="inlineStr">
        <is>
          <t>1:43</t>
        </is>
      </c>
      <c r="C2004" t="inlineStr">
        <is>
          <t>in lunar orbit with NASA's Gateway,</t>
        </is>
      </c>
      <c r="D2004">
        <f>HYPERLINK("https://www.youtube.com/watch?v=lAdA3HYVxoM&amp;t=103s", "Go to time")</f>
        <v/>
      </c>
    </row>
    <row r="2005">
      <c r="A2005">
        <f>HYPERLINK("https://www.youtube.com/watch?v=AOljR_tKlBk", "Video")</f>
        <v/>
      </c>
      <c r="B2005" t="inlineStr">
        <is>
          <t>4:35</t>
        </is>
      </c>
      <c r="C2005" t="inlineStr">
        <is>
          <t>And there was a little bit of production that
took place in the camp as well so people would</t>
        </is>
      </c>
      <c r="D2005">
        <f>HYPERLINK("https://www.youtube.com/watch?v=AOljR_tKlBk&amp;t=275s", "Go to time")</f>
        <v/>
      </c>
    </row>
    <row r="2006">
      <c r="A2006">
        <f>HYPERLINK("https://www.youtube.com/watch?v=mDC29krd4Bo", "Video")</f>
        <v/>
      </c>
      <c r="B2006" t="inlineStr">
        <is>
          <t>1:44</t>
        </is>
      </c>
      <c r="C2006" t="inlineStr">
        <is>
          <t>get bitter to surrender to God is to</t>
        </is>
      </c>
      <c r="D2006">
        <f>HYPERLINK("https://www.youtube.com/watch?v=mDC29krd4Bo&amp;t=104s", "Go to time")</f>
        <v/>
      </c>
    </row>
    <row r="2007">
      <c r="A2007">
        <f>HYPERLINK("https://www.youtube.com/watch?v=mDC29krd4Bo", "Video")</f>
        <v/>
      </c>
      <c r="B2007" t="inlineStr">
        <is>
          <t>2:08</t>
        </is>
      </c>
      <c r="C2007" t="inlineStr">
        <is>
          <t>jealousy you know bitterness anger um</t>
        </is>
      </c>
      <c r="D2007">
        <f>HYPERLINK("https://www.youtube.com/watch?v=mDC29krd4Bo&amp;t=128s", "Go to time")</f>
        <v/>
      </c>
    </row>
    <row r="2008">
      <c r="A2008">
        <f>HYPERLINK("https://www.youtube.com/watch?v=HLvWGfP5aVk", "Video")</f>
        <v/>
      </c>
      <c r="B2008" t="inlineStr">
        <is>
          <t>0:52</t>
        </is>
      </c>
      <c r="C2008" t="inlineStr">
        <is>
          <t>All of these ways of making
it a little bit more personal,</t>
        </is>
      </c>
      <c r="D2008">
        <f>HYPERLINK("https://www.youtube.com/watch?v=HLvWGfP5aVk&amp;t=52s", "Go to time")</f>
        <v/>
      </c>
    </row>
    <row r="2009">
      <c r="A2009">
        <f>HYPERLINK("https://www.youtube.com/watch?v=HLvWGfP5aVk", "Video")</f>
        <v/>
      </c>
      <c r="B2009" t="inlineStr">
        <is>
          <t>5:50</t>
        </is>
      </c>
      <c r="C2009" t="inlineStr">
        <is>
          <t>secret ambitions,</t>
        </is>
      </c>
      <c r="D2009">
        <f>HYPERLINK("https://www.youtube.com/watch?v=HLvWGfP5aVk&amp;t=350s", "Go to time")</f>
        <v/>
      </c>
    </row>
    <row r="2010">
      <c r="A2010">
        <f>HYPERLINK("https://www.youtube.com/watch?v=HLvWGfP5aVk", "Video")</f>
        <v/>
      </c>
      <c r="B2010" t="inlineStr">
        <is>
          <t>14:21</t>
        </is>
      </c>
      <c r="C2010" t="inlineStr">
        <is>
          <t>All of these ways of making
it a little bit more personal,</t>
        </is>
      </c>
      <c r="D2010">
        <f>HYPERLINK("https://www.youtube.com/watch?v=HLvWGfP5aVk&amp;t=861s", "Go to time")</f>
        <v/>
      </c>
    </row>
    <row r="2011">
      <c r="A2011">
        <f>HYPERLINK("https://www.youtube.com/watch?v=HLvWGfP5aVk", "Video")</f>
        <v/>
      </c>
      <c r="B2011" t="inlineStr">
        <is>
          <t>14:59</t>
        </is>
      </c>
      <c r="C2011" t="inlineStr">
        <is>
          <t>even when they're a little
bit afraid to do so.</t>
        </is>
      </c>
      <c r="D2011">
        <f>HYPERLINK("https://www.youtube.com/watch?v=HLvWGfP5aVk&amp;t=899s", "Go to time")</f>
        <v/>
      </c>
    </row>
    <row r="2012">
      <c r="A2012">
        <f>HYPERLINK("https://www.youtube.com/watch?v=HLvWGfP5aVk", "Video")</f>
        <v/>
      </c>
      <c r="B2012" t="inlineStr">
        <is>
          <t>15:19</t>
        </is>
      </c>
      <c r="C2012" t="inlineStr">
        <is>
          <t>and a little bit afraid is find a setting,</t>
        </is>
      </c>
      <c r="D2012">
        <f>HYPERLINK("https://www.youtube.com/watch?v=HLvWGfP5aVk&amp;t=919s", "Go to time")</f>
        <v/>
      </c>
    </row>
    <row r="2013">
      <c r="A2013">
        <f>HYPERLINK("https://www.youtube.com/watch?v=HLvWGfP5aVk", "Video")</f>
        <v/>
      </c>
      <c r="B2013" t="inlineStr">
        <is>
          <t>16:15</t>
        </is>
      </c>
      <c r="C2013" t="inlineStr">
        <is>
          <t>and also people I think
are a bit reluctant</t>
        </is>
      </c>
      <c r="D2013">
        <f>HYPERLINK("https://www.youtube.com/watch?v=HLvWGfP5aVk&amp;t=975s", "Go to time")</f>
        <v/>
      </c>
    </row>
    <row r="2014">
      <c r="A2014">
        <f>HYPERLINK("https://www.youtube.com/watch?v=HLvWGfP5aVk", "Video")</f>
        <v/>
      </c>
      <c r="B2014" t="inlineStr">
        <is>
          <t>19:32</t>
        </is>
      </c>
      <c r="C2014" t="inlineStr">
        <is>
          <t>Parents are spending quite a
bit more time on parenting,</t>
        </is>
      </c>
      <c r="D2014">
        <f>HYPERLINK("https://www.youtube.com/watch?v=HLvWGfP5aVk&amp;t=1172s", "Go to time")</f>
        <v/>
      </c>
    </row>
    <row r="2015">
      <c r="A2015">
        <f>HYPERLINK("https://www.youtube.com/watch?v=7WMPChV7QYY", "Video")</f>
        <v/>
      </c>
      <c r="B2015" t="inlineStr">
        <is>
          <t>0:19</t>
        </is>
      </c>
      <c r="C2015" t="inlineStr">
        <is>
          <t>a bit outside the box.</t>
        </is>
      </c>
      <c r="D2015">
        <f>HYPERLINK("https://www.youtube.com/watch?v=7WMPChV7QYY&amp;t=19s", "Go to time")</f>
        <v/>
      </c>
    </row>
    <row r="2016">
      <c r="A2016">
        <f>HYPERLINK("https://www.youtube.com/watch?v=7WMPChV7QYY", "Video")</f>
        <v/>
      </c>
      <c r="B2016" t="inlineStr">
        <is>
          <t>2:18</t>
        </is>
      </c>
      <c r="C2016" t="inlineStr">
        <is>
          <t>part of their life that they start to tweak
things a little bit and so they start to talk</t>
        </is>
      </c>
      <c r="D2016">
        <f>HYPERLINK("https://www.youtube.com/watch?v=7WMPChV7QYY&amp;t=138s", "Go to time")</f>
        <v/>
      </c>
    </row>
    <row r="2017">
      <c r="A2017">
        <f>HYPERLINK("https://www.youtube.com/watch?v=ASL4cwU_3tc", "Video")</f>
        <v/>
      </c>
      <c r="B2017" t="inlineStr">
        <is>
          <t>1:18</t>
        </is>
      </c>
      <c r="C2017" t="inlineStr">
        <is>
          <t>us that that Bittersweet glow of having</t>
        </is>
      </c>
      <c r="D2017">
        <f>HYPERLINK("https://www.youtube.com/watch?v=ASL4cwU_3tc&amp;t=78s", "Go to time")</f>
        <v/>
      </c>
    </row>
    <row r="2018">
      <c r="A2018">
        <f>HYPERLINK("https://www.youtube.com/watch?v=DLXYfiM8WQs", "Video")</f>
        <v/>
      </c>
      <c r="B2018" t="inlineStr">
        <is>
          <t>3:45</t>
        </is>
      </c>
      <c r="C2018" t="inlineStr">
        <is>
          <t>cause you to be a little bit bored and</t>
        </is>
      </c>
      <c r="D2018">
        <f>HYPERLINK("https://www.youtube.com/watch?v=DLXYfiM8WQs&amp;t=225s", "Go to time")</f>
        <v/>
      </c>
    </row>
    <row r="2019">
      <c r="A2019">
        <f>HYPERLINK("https://www.youtube.com/watch?v=DLXYfiM8WQs", "Video")</f>
        <v/>
      </c>
      <c r="B2019" t="inlineStr">
        <is>
          <t>4:23</t>
        </is>
      </c>
      <c r="C2019" t="inlineStr">
        <is>
          <t>bit more depth and looking at things a</t>
        </is>
      </c>
      <c r="D2019">
        <f>HYPERLINK("https://www.youtube.com/watch?v=DLXYfiM8WQs&amp;t=263s", "Go to time")</f>
        <v/>
      </c>
    </row>
    <row r="2020">
      <c r="A2020">
        <f>HYPERLINK("https://www.youtube.com/watch?v=7YW9QR2wwN8", "Video")</f>
        <v/>
      </c>
      <c r="B2020" t="inlineStr">
        <is>
          <t>1:00</t>
        </is>
      </c>
      <c r="C2020" t="inlineStr">
        <is>
          <t>Reddit so it feels a little bit more</t>
        </is>
      </c>
      <c r="D2020">
        <f>HYPERLINK("https://www.youtube.com/watch?v=7YW9QR2wwN8&amp;t=60s", "Go to time")</f>
        <v/>
      </c>
    </row>
    <row r="2021">
      <c r="A2021">
        <f>HYPERLINK("https://www.youtube.com/watch?v=98zeDM49qKY", "Video")</f>
        <v/>
      </c>
      <c r="B2021" t="inlineStr">
        <is>
          <t>2:51</t>
        </is>
      </c>
      <c r="C2021" t="inlineStr">
        <is>
          <t>lot of habitats for growing food that's</t>
        </is>
      </c>
      <c r="D2021">
        <f>HYPERLINK("https://www.youtube.com/watch?v=98zeDM49qKY&amp;t=171s", "Go to time")</f>
        <v/>
      </c>
    </row>
    <row r="2022">
      <c r="A2022">
        <f>HYPERLINK("https://www.youtube.com/watch?v=HynMw_K_Rb4", "Video")</f>
        <v/>
      </c>
      <c r="B2022" t="inlineStr">
        <is>
          <t>6:54</t>
        </is>
      </c>
      <c r="C2022" t="inlineStr">
        <is>
          <t>bite-size information was really as</t>
        </is>
      </c>
      <c r="D2022">
        <f>HYPERLINK("https://www.youtube.com/watch?v=HynMw_K_Rb4&amp;t=414s", "Go to time")</f>
        <v/>
      </c>
    </row>
    <row r="2023">
      <c r="A2023">
        <f>HYPERLINK("https://www.youtube.com/watch?v=WPQ-UihGYQA", "Video")</f>
        <v/>
      </c>
      <c r="B2023" t="inlineStr">
        <is>
          <t>0:50</t>
        </is>
      </c>
      <c r="C2023" t="inlineStr">
        <is>
          <t>race also created a bit of a distance
between me and the people that live there.</t>
        </is>
      </c>
      <c r="D2023">
        <f>HYPERLINK("https://www.youtube.com/watch?v=WPQ-UihGYQA&amp;t=50s", "Go to time")</f>
        <v/>
      </c>
    </row>
    <row r="2024">
      <c r="A2024">
        <f>HYPERLINK("https://www.youtube.com/watch?v=b34pEm7oQ7I", "Video")</f>
        <v/>
      </c>
      <c r="B2024" t="inlineStr">
        <is>
          <t>0:57</t>
        </is>
      </c>
      <c r="C2024" t="inlineStr">
        <is>
          <t>Street could stay alive a little bit</t>
        </is>
      </c>
      <c r="D2024">
        <f>HYPERLINK("https://www.youtube.com/watch?v=b34pEm7oQ7I&amp;t=57s", "Go to time")</f>
        <v/>
      </c>
    </row>
    <row r="2025">
      <c r="A2025">
        <f>HYPERLINK("https://www.youtube.com/watch?v=b34pEm7oQ7I", "Video")</f>
        <v/>
      </c>
      <c r="B2025" t="inlineStr">
        <is>
          <t>3:50</t>
        </is>
      </c>
      <c r="C2025" t="inlineStr">
        <is>
          <t>in my case I have a little bit of a</t>
        </is>
      </c>
      <c r="D2025">
        <f>HYPERLINK("https://www.youtube.com/watch?v=b34pEm7oQ7I&amp;t=230s", "Go to time")</f>
        <v/>
      </c>
    </row>
    <row r="2026">
      <c r="A2026">
        <f>HYPERLINK("https://www.youtube.com/watch?v=b34pEm7oQ7I", "Video")</f>
        <v/>
      </c>
      <c r="B2026" t="inlineStr">
        <is>
          <t>4:27</t>
        </is>
      </c>
      <c r="C2026" t="inlineStr">
        <is>
          <t>so I I'm I Venture a little a little bit</t>
        </is>
      </c>
      <c r="D2026">
        <f>HYPERLINK("https://www.youtube.com/watch?v=b34pEm7oQ7I&amp;t=267s", "Go to time")</f>
        <v/>
      </c>
    </row>
    <row r="2027">
      <c r="A2027">
        <f>HYPERLINK("https://www.youtube.com/watch?v=bLwyzCskjmA", "Video")</f>
        <v/>
      </c>
      <c r="B2027" t="inlineStr">
        <is>
          <t>1:26</t>
        </is>
      </c>
      <c r="C2027" t="inlineStr">
        <is>
          <t>And museums by presenting dinosaur skeletons
and exhibits about human evolution frame the</t>
        </is>
      </c>
      <c r="D2027">
        <f>HYPERLINK("https://www.youtube.com/watch?v=bLwyzCskjmA&amp;t=86s", "Go to time")</f>
        <v/>
      </c>
    </row>
    <row r="2028">
      <c r="A2028">
        <f>HYPERLINK("https://www.youtube.com/watch?v=bLwyzCskjmA", "Video")</f>
        <v/>
      </c>
      <c r="B2028" t="inlineStr">
        <is>
          <t>1:35</t>
        </is>
      </c>
      <c r="C2028" t="inlineStr">
        <is>
          <t>And I found that to be the most powerful way
is to walk through an exhibit and say here</t>
        </is>
      </c>
      <c r="D2028">
        <f>HYPERLINK("https://www.youtube.com/watch?v=bLwyzCskjmA&amp;t=95s", "Go to time")</f>
        <v/>
      </c>
    </row>
    <row r="2029">
      <c r="A2029">
        <f>HYPERLINK("https://www.youtube.com/watch?v=ox-qBAF9eEk", "Video")</f>
        <v/>
      </c>
      <c r="B2029" t="inlineStr">
        <is>
          <t>0:18</t>
        </is>
      </c>
      <c r="C2029" t="inlineStr">
        <is>
          <t>little bit.</t>
        </is>
      </c>
      <c r="D2029">
        <f>HYPERLINK("https://www.youtube.com/watch?v=ox-qBAF9eEk&amp;t=18s", "Go to time")</f>
        <v/>
      </c>
    </row>
    <row r="2030">
      <c r="A2030">
        <f>HYPERLINK("https://www.youtube.com/watch?v=ox-qBAF9eEk", "Video")</f>
        <v/>
      </c>
      <c r="B2030" t="inlineStr">
        <is>
          <t>0:38</t>
        </is>
      </c>
      <c r="C2030" t="inlineStr">
        <is>
          <t>partly out of habit and partly out of</t>
        </is>
      </c>
      <c r="D2030">
        <f>HYPERLINK("https://www.youtube.com/watch?v=ox-qBAF9eEk&amp;t=38s", "Go to time")</f>
        <v/>
      </c>
    </row>
    <row r="2031">
      <c r="A2031">
        <f>HYPERLINK("https://www.youtube.com/watch?v=D_zYzw8EsPY", "Video")</f>
        <v/>
      </c>
      <c r="B2031" t="inlineStr">
        <is>
          <t>2:25</t>
        </is>
      </c>
      <c r="C2031" t="inlineStr">
        <is>
          <t>built are uninhabited um I don't think</t>
        </is>
      </c>
      <c r="D2031">
        <f>HYPERLINK("https://www.youtube.com/watch?v=D_zYzw8EsPY&amp;t=145s", "Go to time")</f>
        <v/>
      </c>
    </row>
    <row r="2032">
      <c r="A2032">
        <f>HYPERLINK("https://www.youtube.com/watch?v=cI008BjVZUE", "Video")</f>
        <v/>
      </c>
      <c r="B2032" t="inlineStr">
        <is>
          <t>1:05</t>
        </is>
      </c>
      <c r="C2032" t="inlineStr">
        <is>
          <t>and he wants people to understand the 
irrational forces driving their spending habits.</t>
        </is>
      </c>
      <c r="D2032">
        <f>HYPERLINK("https://www.youtube.com/watch?v=cI008BjVZUE&amp;t=65s", "Go to time")</f>
        <v/>
      </c>
    </row>
    <row r="2033">
      <c r="A2033">
        <f>HYPERLINK("https://www.youtube.com/watch?v=avS0d-3KAAE", "Video")</f>
        <v/>
      </c>
      <c r="B2033" t="inlineStr">
        <is>
          <t>2:30</t>
        </is>
      </c>
      <c r="C2033" t="inlineStr">
        <is>
          <t>little bit disconcerting so that was</t>
        </is>
      </c>
      <c r="D2033">
        <f>HYPERLINK("https://www.youtube.com/watch?v=avS0d-3KAAE&amp;t=150s", "Go to time")</f>
        <v/>
      </c>
    </row>
    <row r="2034">
      <c r="A2034">
        <f>HYPERLINK("https://www.youtube.com/watch?v=3OPKKbW85Jg", "Video")</f>
        <v/>
      </c>
      <c r="B2034" t="inlineStr">
        <is>
          <t>3:28</t>
        </is>
      </c>
      <c r="C2034" t="inlineStr">
        <is>
          <t>of pesticides, destroying their habitat.</t>
        </is>
      </c>
      <c r="D2034">
        <f>HYPERLINK("https://www.youtube.com/watch?v=3OPKKbW85Jg&amp;t=208s", "Go to time")</f>
        <v/>
      </c>
    </row>
    <row r="2035">
      <c r="A2035">
        <f>HYPERLINK("https://www.youtube.com/watch?v=lG8KbAtbSRc", "Video")</f>
        <v/>
      </c>
      <c r="B2035" t="inlineStr">
        <is>
          <t>0:35</t>
        </is>
      </c>
      <c r="C2035" t="inlineStr">
        <is>
          <t>relaxed bit</t>
        </is>
      </c>
      <c r="D2035">
        <f>HYPERLINK("https://www.youtube.com/watch?v=lG8KbAtbSRc&amp;t=35s", "Go to time")</f>
        <v/>
      </c>
    </row>
    <row r="2036">
      <c r="A2036">
        <f>HYPERLINK("https://www.youtube.com/watch?v=UTgkSO1lm6o", "Video")</f>
        <v/>
      </c>
      <c r="B2036" t="inlineStr">
        <is>
          <t>5:39</t>
        </is>
      </c>
      <c r="C2036" t="inlineStr">
        <is>
          <t>Can you walk a little bit more?</t>
        </is>
      </c>
      <c r="D2036">
        <f>HYPERLINK("https://www.youtube.com/watch?v=UTgkSO1lm6o&amp;t=339s", "Go to time")</f>
        <v/>
      </c>
    </row>
    <row r="2037">
      <c r="A2037">
        <f>HYPERLINK("https://www.youtube.com/watch?v=UTgkSO1lm6o", "Video")</f>
        <v/>
      </c>
      <c r="B2037" t="inlineStr">
        <is>
          <t>5:40</t>
        </is>
      </c>
      <c r="C2037" t="inlineStr">
        <is>
          <t>Can you park a little bit farther away?</t>
        </is>
      </c>
      <c r="D2037">
        <f>HYPERLINK("https://www.youtube.com/watch?v=UTgkSO1lm6o&amp;t=340s", "Go to time")</f>
        <v/>
      </c>
    </row>
    <row r="2038">
      <c r="A2038">
        <f>HYPERLINK("https://www.youtube.com/watch?v=2hlGswxSca8", "Video")</f>
        <v/>
      </c>
      <c r="B2038" t="inlineStr">
        <is>
          <t>0:29</t>
        </is>
      </c>
      <c r="C2038" t="inlineStr">
        <is>
          <t>bit of it has to do with a little bit of</t>
        </is>
      </c>
      <c r="D2038">
        <f>HYPERLINK("https://www.youtube.com/watch?v=2hlGswxSca8&amp;t=29s", "Go to time")</f>
        <v/>
      </c>
    </row>
    <row r="2039">
      <c r="A2039">
        <f>HYPERLINK("https://www.youtube.com/watch?v=2hlGswxSca8", "Video")</f>
        <v/>
      </c>
      <c r="B2039" t="inlineStr">
        <is>
          <t>0:47</t>
        </is>
      </c>
      <c r="C2039" t="inlineStr">
        <is>
          <t>it sometimes there's a little bit of uh</t>
        </is>
      </c>
      <c r="D2039">
        <f>HYPERLINK("https://www.youtube.com/watch?v=2hlGswxSca8&amp;t=47s", "Go to time")</f>
        <v/>
      </c>
    </row>
    <row r="2040">
      <c r="A2040">
        <f>HYPERLINK("https://www.youtube.com/watch?v=AIEJjpVlZu0", "Video")</f>
        <v/>
      </c>
      <c r="B2040" t="inlineStr">
        <is>
          <t>0:08</t>
        </is>
      </c>
      <c r="C2040" t="inlineStr">
        <is>
          <t>And I have only one bit of advice.</t>
        </is>
      </c>
      <c r="D2040">
        <f>HYPERLINK("https://www.youtube.com/watch?v=AIEJjpVlZu0&amp;t=8s", "Go to time")</f>
        <v/>
      </c>
    </row>
    <row r="2041">
      <c r="A2041">
        <f>HYPERLINK("https://www.youtube.com/watch?v=huClarhoD4g", "Video")</f>
        <v/>
      </c>
      <c r="B2041" t="inlineStr">
        <is>
          <t>2:37</t>
        </is>
      </c>
      <c r="C2041" t="inlineStr">
        <is>
          <t>become to chafe a little bit and and see</t>
        </is>
      </c>
      <c r="D2041">
        <f>HYPERLINK("https://www.youtube.com/watch?v=huClarhoD4g&amp;t=157s", "Go to time")</f>
        <v/>
      </c>
    </row>
    <row r="2042">
      <c r="A2042">
        <f>HYPERLINK("https://www.youtube.com/watch?v=YkYrQR8tFzk", "Video")</f>
        <v/>
      </c>
      <c r="B2042" t="inlineStr">
        <is>
          <t>4:09</t>
        </is>
      </c>
      <c r="C2042" t="inlineStr">
        <is>
          <t>a little bit dimmed down.</t>
        </is>
      </c>
      <c r="D2042">
        <f>HYPERLINK("https://www.youtube.com/watch?v=YkYrQR8tFzk&amp;t=249s", "Go to time")</f>
        <v/>
      </c>
    </row>
    <row r="2043">
      <c r="A2043">
        <f>HYPERLINK("https://www.youtube.com/watch?v=EUJD6x1AD10", "Video")</f>
        <v/>
      </c>
      <c r="B2043" t="inlineStr">
        <is>
          <t>2:08</t>
        </is>
      </c>
      <c r="C2043" t="inlineStr">
        <is>
          <t>receptive uh which is a bit of a puzzle</t>
        </is>
      </c>
      <c r="D2043">
        <f>HYPERLINK("https://www.youtube.com/watch?v=EUJD6x1AD10&amp;t=128s", "Go to time")</f>
        <v/>
      </c>
    </row>
    <row r="2044">
      <c r="A2044">
        <f>HYPERLINK("https://www.youtube.com/watch?v=EUJD6x1AD10", "Video")</f>
        <v/>
      </c>
      <c r="B2044" t="inlineStr">
        <is>
          <t>2:19</t>
        </is>
      </c>
      <c r="C2044" t="inlineStr">
        <is>
          <t>got rid of this really quickly is a bit</t>
        </is>
      </c>
      <c r="D2044">
        <f>HYPERLINK("https://www.youtube.com/watch?v=EUJD6x1AD10&amp;t=139s", "Go to time")</f>
        <v/>
      </c>
    </row>
    <row r="2045">
      <c r="A2045">
        <f>HYPERLINK("https://www.youtube.com/watch?v=EUJD6x1AD10", "Video")</f>
        <v/>
      </c>
      <c r="B2045" t="inlineStr">
        <is>
          <t>3:29</t>
        </is>
      </c>
      <c r="C2045" t="inlineStr">
        <is>
          <t>female bonds there's a bit of a puzzle</t>
        </is>
      </c>
      <c r="D2045">
        <f>HYPERLINK("https://www.youtube.com/watch?v=EUJD6x1AD10&amp;t=209s", "Go to time")</f>
        <v/>
      </c>
    </row>
    <row r="2046">
      <c r="A2046">
        <f>HYPERLINK("https://www.youtube.com/watch?v=_sBGMDFWv18", "Video")</f>
        <v/>
      </c>
      <c r="B2046" t="inlineStr">
        <is>
          <t>2:37</t>
        </is>
      </c>
      <c r="C2046" t="inlineStr">
        <is>
          <t>Grand Ambitions about herself and</t>
        </is>
      </c>
      <c r="D2046">
        <f>HYPERLINK("https://www.youtube.com/watch?v=_sBGMDFWv18&amp;t=157s", "Go to time")</f>
        <v/>
      </c>
    </row>
    <row r="2047">
      <c r="A2047">
        <f>HYPERLINK("https://www.youtube.com/watch?v=-uaigWHDmFw", "Video")</f>
        <v/>
      </c>
      <c r="B2047" t="inlineStr">
        <is>
          <t>1:07</t>
        </is>
      </c>
      <c r="C2047" t="inlineStr">
        <is>
          <t>people have U talked quite a bit about</t>
        </is>
      </c>
      <c r="D2047">
        <f>HYPERLINK("https://www.youtube.com/watch?v=-uaigWHDmFw&amp;t=67s", "Go to time")</f>
        <v/>
      </c>
    </row>
    <row r="2048">
      <c r="A2048">
        <f>HYPERLINK("https://www.youtube.com/watch?v=LEnGW3zEcDw", "Video")</f>
        <v/>
      </c>
      <c r="B2048" t="inlineStr">
        <is>
          <t>17:08</t>
        </is>
      </c>
      <c r="C2048" t="inlineStr">
        <is>
          <t>even or just have a little bit of profit</t>
        </is>
      </c>
      <c r="D2048">
        <f>HYPERLINK("https://www.youtube.com/watch?v=LEnGW3zEcDw&amp;t=1028s", "Go to time")</f>
        <v/>
      </c>
    </row>
    <row r="2049">
      <c r="A2049">
        <f>HYPERLINK("https://www.youtube.com/watch?v=UaixHcqnSg4", "Video")</f>
        <v/>
      </c>
      <c r="B2049" t="inlineStr">
        <is>
          <t>5:02</t>
        </is>
      </c>
      <c r="C2049" t="inlineStr">
        <is>
          <t>our DNA replicates itself we shave off just
a little bit of those telomeres.</t>
        </is>
      </c>
      <c r="D2049">
        <f>HYPERLINK("https://www.youtube.com/watch?v=UaixHcqnSg4&amp;t=302s", "Go to time")</f>
        <v/>
      </c>
    </row>
    <row r="2050">
      <c r="A2050">
        <f>HYPERLINK("https://www.youtube.com/watch?v=RBPrpoHhdrE", "Video")</f>
        <v/>
      </c>
      <c r="B2050" t="inlineStr">
        <is>
          <t>3:37</t>
        </is>
      </c>
      <c r="C2050" t="inlineStr">
        <is>
          <t>because all we're seeing
is a tiny little bit of it</t>
        </is>
      </c>
      <c r="D2050">
        <f>HYPERLINK("https://www.youtube.com/watch?v=RBPrpoHhdrE&amp;t=217s", "Go to time")</f>
        <v/>
      </c>
    </row>
    <row r="2051">
      <c r="A2051">
        <f>HYPERLINK("https://www.youtube.com/watch?v=EetNsoZdkos", "Video")</f>
        <v/>
      </c>
      <c r="B2051" t="inlineStr">
        <is>
          <t>13:02</t>
        </is>
      </c>
      <c r="C2051" t="inlineStr">
        <is>
          <t>are really hard bits of discipline</t>
        </is>
      </c>
      <c r="D2051">
        <f>HYPERLINK("https://www.youtube.com/watch?v=EetNsoZdkos&amp;t=782s", "Go to time")</f>
        <v/>
      </c>
    </row>
    <row r="2052">
      <c r="A2052">
        <f>HYPERLINK("https://www.youtube.com/watch?v=3EYK4p0Byfw", "Video")</f>
        <v/>
      </c>
      <c r="B2052" t="inlineStr">
        <is>
          <t>1:15</t>
        </is>
      </c>
      <c r="C2052" t="inlineStr">
        <is>
          <t>bitterness not with Revenge but with</t>
        </is>
      </c>
      <c r="D2052">
        <f>HYPERLINK("https://www.youtube.com/watch?v=3EYK4p0Byfw&amp;t=75s", "Go to time")</f>
        <v/>
      </c>
    </row>
    <row r="2053">
      <c r="A2053">
        <f>HYPERLINK("https://www.youtube.com/watch?v=fo9PyiXbtow", "Video")</f>
        <v/>
      </c>
      <c r="B2053" t="inlineStr">
        <is>
          <t>3:33</t>
        </is>
      </c>
      <c r="C2053" t="inlineStr">
        <is>
          <t>I expect that Yahoo will move back to a little
bit of flexibility, well managed.</t>
        </is>
      </c>
      <c r="D2053">
        <f>HYPERLINK("https://www.youtube.com/watch?v=fo9PyiXbtow&amp;t=213s", "Go to time")</f>
        <v/>
      </c>
    </row>
    <row r="2054">
      <c r="A2054">
        <f>HYPERLINK("https://www.youtube.com/watch?v=4jAQJmu33-c", "Video")</f>
        <v/>
      </c>
      <c r="B2054" t="inlineStr">
        <is>
          <t>2:11</t>
        </is>
      </c>
      <c r="C2054" t="inlineStr">
        <is>
          <t>other people you need a little bit of</t>
        </is>
      </c>
      <c r="D2054">
        <f>HYPERLINK("https://www.youtube.com/watch?v=4jAQJmu33-c&amp;t=131s", "Go to time")</f>
        <v/>
      </c>
    </row>
    <row r="2055">
      <c r="A2055">
        <f>HYPERLINK("https://www.youtube.com/watch?v=6MhdupG6FGI", "Video")</f>
        <v/>
      </c>
      <c r="B2055" t="inlineStr">
        <is>
          <t>1:30</t>
        </is>
      </c>
      <c r="C2055" t="inlineStr">
        <is>
          <t>So in The World Peace Game I don't pre-chew
or breakdown things into bite-size pieces,</t>
        </is>
      </c>
      <c r="D2055">
        <f>HYPERLINK("https://www.youtube.com/watch?v=6MhdupG6FGI&amp;t=90s", "Go to time")</f>
        <v/>
      </c>
    </row>
    <row r="2056">
      <c r="A2056">
        <f>HYPERLINK("https://www.youtube.com/watch?v=vFaWvvVuz_Y", "Video")</f>
        <v/>
      </c>
      <c r="B2056" t="inlineStr">
        <is>
          <t>3:03</t>
        </is>
      </c>
      <c r="C2056" t="inlineStr">
        <is>
          <t>psychological habit this is self</t>
        </is>
      </c>
      <c r="D2056">
        <f>HYPERLINK("https://www.youtube.com/watch?v=vFaWvvVuz_Y&amp;t=183s", "Go to time")</f>
        <v/>
      </c>
    </row>
    <row r="2057">
      <c r="A2057">
        <f>HYPERLINK("https://www.youtube.com/watch?v=vFaWvvVuz_Y", "Video")</f>
        <v/>
      </c>
      <c r="B2057" t="inlineStr">
        <is>
          <t>3:07</t>
        </is>
      </c>
      <c r="C2057" t="inlineStr">
        <is>
          <t>habitual so unless we're very committed</t>
        </is>
      </c>
      <c r="D2057">
        <f>HYPERLINK("https://www.youtube.com/watch?v=vFaWvvVuz_Y&amp;t=187s", "Go to time")</f>
        <v/>
      </c>
    </row>
    <row r="2058">
      <c r="A2058">
        <f>HYPERLINK("https://www.youtube.com/watch?v=ls8SyHMNLW0", "Video")</f>
        <v/>
      </c>
      <c r="B2058" t="inlineStr">
        <is>
          <t>2:17</t>
        </is>
      </c>
      <c r="C2058" t="inlineStr">
        <is>
          <t>And I think that it can be coached in a little
bit of a different way.</t>
        </is>
      </c>
      <c r="D2058">
        <f>HYPERLINK("https://www.youtube.com/watch?v=ls8SyHMNLW0&amp;t=137s", "Go to time")</f>
        <v/>
      </c>
    </row>
    <row r="2059">
      <c r="A2059">
        <f>HYPERLINK("https://www.youtube.com/watch?v=z1YkhC_t9pA", "Video")</f>
        <v/>
      </c>
      <c r="B2059" t="inlineStr">
        <is>
          <t>3:03</t>
        </is>
      </c>
      <c r="C2059" t="inlineStr">
        <is>
          <t>incentives a little bit in order to</t>
        </is>
      </c>
      <c r="D2059">
        <f>HYPERLINK("https://www.youtube.com/watch?v=z1YkhC_t9pA&amp;t=183s", "Go to time")</f>
        <v/>
      </c>
    </row>
    <row r="2060">
      <c r="A2060">
        <f>HYPERLINK("https://www.youtube.com/watch?v=kYF6qqxuLmQ", "Video")</f>
        <v/>
      </c>
      <c r="B2060" t="inlineStr">
        <is>
          <t>7:10</t>
        </is>
      </c>
      <c r="C2060" t="inlineStr">
        <is>
          <t>try and carry the point a bit further I</t>
        </is>
      </c>
      <c r="D2060">
        <f>HYPERLINK("https://www.youtube.com/watch?v=kYF6qqxuLmQ&amp;t=430s", "Go to time")</f>
        <v/>
      </c>
    </row>
    <row r="2061">
      <c r="A2061">
        <f>HYPERLINK("https://www.youtube.com/watch?v=kYF6qqxuLmQ", "Video")</f>
        <v/>
      </c>
      <c r="B2061" t="inlineStr">
        <is>
          <t>15:03</t>
        </is>
      </c>
      <c r="C2061" t="inlineStr">
        <is>
          <t>that's a bit technical but what it all</t>
        </is>
      </c>
      <c r="D2061">
        <f>HYPERLINK("https://www.youtube.com/watch?v=kYF6qqxuLmQ&amp;t=903s", "Go to time")</f>
        <v/>
      </c>
    </row>
    <row r="2062">
      <c r="A2062">
        <f>HYPERLINK("https://www.youtube.com/watch?v=kYF6qqxuLmQ", "Video")</f>
        <v/>
      </c>
      <c r="B2062" t="inlineStr">
        <is>
          <t>23:00</t>
        </is>
      </c>
      <c r="C2062" t="inlineStr">
        <is>
          <t>you could carry it a bit further and say</t>
        </is>
      </c>
      <c r="D2062">
        <f>HYPERLINK("https://www.youtube.com/watch?v=kYF6qqxuLmQ&amp;t=1380s", "Go to time")</f>
        <v/>
      </c>
    </row>
    <row r="2063">
      <c r="A2063">
        <f>HYPERLINK("https://www.youtube.com/watch?v=kYF6qqxuLmQ", "Video")</f>
        <v/>
      </c>
      <c r="B2063" t="inlineStr">
        <is>
          <t>23:43</t>
        </is>
      </c>
      <c r="C2063" t="inlineStr">
        <is>
          <t>a bit more than you do makes you envious</t>
        </is>
      </c>
      <c r="D2063">
        <f>HYPERLINK("https://www.youtube.com/watch?v=kYF6qqxuLmQ&amp;t=1423s", "Go to time")</f>
        <v/>
      </c>
    </row>
    <row r="2064">
      <c r="A2064">
        <f>HYPERLINK("https://www.youtube.com/watch?v=kYF6qqxuLmQ", "Video")</f>
        <v/>
      </c>
      <c r="B2064" t="inlineStr">
        <is>
          <t>29:04</t>
        </is>
      </c>
      <c r="C2064" t="inlineStr">
        <is>
          <t>got a sort of in uh wonderful um bit of</t>
        </is>
      </c>
      <c r="D2064">
        <f>HYPERLINK("https://www.youtube.com/watch?v=kYF6qqxuLmQ&amp;t=1744s", "Go to time")</f>
        <v/>
      </c>
    </row>
    <row r="2065">
      <c r="A2065">
        <f>HYPERLINK("https://www.youtube.com/watch?v=foYWzdvajvo", "Video")</f>
        <v/>
      </c>
      <c r="B2065" t="inlineStr">
        <is>
          <t>14:30</t>
        </is>
      </c>
      <c r="C2065" t="inlineStr">
        <is>
          <t>Google spends a bit of
money on the data centers,</t>
        </is>
      </c>
      <c r="D2065">
        <f>HYPERLINK("https://www.youtube.com/watch?v=foYWzdvajvo&amp;t=870s", "Go to time")</f>
        <v/>
      </c>
    </row>
    <row r="2066">
      <c r="A2066">
        <f>HYPERLINK("https://www.youtube.com/watch?v=EE_MEu7xn8Y", "Video")</f>
        <v/>
      </c>
      <c r="B2066" t="inlineStr">
        <is>
          <t>46:55</t>
        </is>
      </c>
      <c r="C2066" t="inlineStr">
        <is>
          <t>So it's a little bit like
smoking your own supply.</t>
        </is>
      </c>
      <c r="D2066">
        <f>HYPERLINK("https://www.youtube.com/watch?v=EE_MEu7xn8Y&amp;t=2815s", "Go to time")</f>
        <v/>
      </c>
    </row>
    <row r="2067">
      <c r="A2067">
        <f>HYPERLINK("https://www.youtube.com/watch?v=EE_MEu7xn8Y", "Video")</f>
        <v/>
      </c>
      <c r="B2067" t="inlineStr">
        <is>
          <t>49:07</t>
        </is>
      </c>
      <c r="C2067" t="inlineStr">
        <is>
          <t>and then that was a
little bit more helpful.</t>
        </is>
      </c>
      <c r="D2067">
        <f>HYPERLINK("https://www.youtube.com/watch?v=EE_MEu7xn8Y&amp;t=2947s", "Go to time")</f>
        <v/>
      </c>
    </row>
    <row r="2068">
      <c r="A2068">
        <f>HYPERLINK("https://www.youtube.com/watch?v=EE_MEu7xn8Y", "Video")</f>
        <v/>
      </c>
      <c r="B2068" t="inlineStr">
        <is>
          <t>49:15</t>
        </is>
      </c>
      <c r="C2068" t="inlineStr">
        <is>
          <t>to kind of stay at least
a little bit hopeful</t>
        </is>
      </c>
      <c r="D2068">
        <f>HYPERLINK("https://www.youtube.com/watch?v=EE_MEu7xn8Y&amp;t=2955s", "Go to time")</f>
        <v/>
      </c>
    </row>
    <row r="2069">
      <c r="A2069">
        <f>HYPERLINK("https://www.youtube.com/watch?v=EE_MEu7xn8Y", "Video")</f>
        <v/>
      </c>
      <c r="B2069" t="inlineStr">
        <is>
          <t>54:32</t>
        </is>
      </c>
      <c r="C2069" t="inlineStr">
        <is>
          <t>So it's a bit of a negative feedback loop.</t>
        </is>
      </c>
      <c r="D2069">
        <f>HYPERLINK("https://www.youtube.com/watch?v=EE_MEu7xn8Y&amp;t=3272s", "Go to time")</f>
        <v/>
      </c>
    </row>
    <row r="2070">
      <c r="A2070">
        <f>HYPERLINK("https://www.youtube.com/watch?v=EE_MEu7xn8Y", "Video")</f>
        <v/>
      </c>
      <c r="B2070" t="inlineStr">
        <is>
          <t>59:45</t>
        </is>
      </c>
      <c r="C2070" t="inlineStr">
        <is>
          <t>Just as a habit, that is what we do.</t>
        </is>
      </c>
      <c r="D2070">
        <f>HYPERLINK("https://www.youtube.com/watch?v=EE_MEu7xn8Y&amp;t=3585s", "Go to time")</f>
        <v/>
      </c>
    </row>
    <row r="2071">
      <c r="A2071">
        <f>HYPERLINK("https://www.youtube.com/watch?v=kbizmh-5fMU", "Video")</f>
        <v/>
      </c>
      <c r="B2071" t="inlineStr">
        <is>
          <t>1:03</t>
        </is>
      </c>
      <c r="C2071" t="inlineStr">
        <is>
          <t>always make airliners a little bit safer</t>
        </is>
      </c>
      <c r="D2071">
        <f>HYPERLINK("https://www.youtube.com/watch?v=kbizmh-5fMU&amp;t=63s", "Go to time")</f>
        <v/>
      </c>
    </row>
    <row r="2072">
      <c r="A2072">
        <f>HYPERLINK("https://www.youtube.com/watch?v=UuOxkOyEUP8", "Video")</f>
        <v/>
      </c>
      <c r="B2072" t="inlineStr">
        <is>
          <t>0:44</t>
        </is>
      </c>
      <c r="C2072" t="inlineStr">
        <is>
          <t>um you know I left Jamaica a little bit</t>
        </is>
      </c>
      <c r="D2072">
        <f>HYPERLINK("https://www.youtube.com/watch?v=UuOxkOyEUP8&amp;t=44s", "Go to time")</f>
        <v/>
      </c>
    </row>
    <row r="2073">
      <c r="A2073">
        <f>HYPERLINK("https://www.youtube.com/watch?v=ip8w6LO1UFY", "Video")</f>
        <v/>
      </c>
      <c r="B2073" t="inlineStr">
        <is>
          <t>3:36</t>
        </is>
      </c>
      <c r="C2073" t="inlineStr">
        <is>
          <t>little bit like medicine that um that</t>
        </is>
      </c>
      <c r="D2073">
        <f>HYPERLINK("https://www.youtube.com/watch?v=ip8w6LO1UFY&amp;t=216s", "Go to time")</f>
        <v/>
      </c>
    </row>
    <row r="2074">
      <c r="A2074">
        <f>HYPERLINK("https://www.youtube.com/watch?v=ip8w6LO1UFY", "Video")</f>
        <v/>
      </c>
      <c r="B2074" t="inlineStr">
        <is>
          <t>6:13</t>
        </is>
      </c>
      <c r="C2074" t="inlineStr">
        <is>
          <t>Zuckerberg's like a bit of a darling and</t>
        </is>
      </c>
      <c r="D2074">
        <f>HYPERLINK("https://www.youtube.com/watch?v=ip8w6LO1UFY&amp;t=373s", "Go to time")</f>
        <v/>
      </c>
    </row>
    <row r="2075">
      <c r="A2075">
        <f>HYPERLINK("https://www.youtube.com/watch?v=ip8w6LO1UFY", "Video")</f>
        <v/>
      </c>
      <c r="B2075" t="inlineStr">
        <is>
          <t>6:15</t>
        </is>
      </c>
      <c r="C2075" t="inlineStr">
        <is>
          <t>a bit of an enemy with he's CEO of</t>
        </is>
      </c>
      <c r="D2075">
        <f>HYPERLINK("https://www.youtube.com/watch?v=ip8w6LO1UFY&amp;t=375s", "Go to time")</f>
        <v/>
      </c>
    </row>
    <row r="2076">
      <c r="A2076">
        <f>HYPERLINK("https://www.youtube.com/watch?v=9MfQSVLH3pA", "Video")</f>
        <v/>
      </c>
      <c r="B2076" t="inlineStr">
        <is>
          <t>1:04</t>
        </is>
      </c>
      <c r="C2076" t="inlineStr">
        <is>
          <t>email is something that is a bit more</t>
        </is>
      </c>
      <c r="D2076">
        <f>HYPERLINK("https://www.youtube.com/watch?v=9MfQSVLH3pA&amp;t=64s", "Go to time")</f>
        <v/>
      </c>
    </row>
    <row r="2077">
      <c r="A2077">
        <f>HYPERLINK("https://www.youtube.com/watch?v=9MfQSVLH3pA", "Video")</f>
        <v/>
      </c>
      <c r="B2077" t="inlineStr">
        <is>
          <t>4:51</t>
        </is>
      </c>
      <c r="C2077" t="inlineStr">
        <is>
          <t>however for for Content that is a bit</t>
        </is>
      </c>
      <c r="D2077">
        <f>HYPERLINK("https://www.youtube.com/watch?v=9MfQSVLH3pA&amp;t=291s", "Go to time")</f>
        <v/>
      </c>
    </row>
    <row r="2078">
      <c r="A2078">
        <f>HYPERLINK("https://www.youtube.com/watch?v=5CFKEnOh8R0", "Video")</f>
        <v/>
      </c>
      <c r="B2078" t="inlineStr">
        <is>
          <t>2:47</t>
        </is>
      </c>
      <c r="C2078" t="inlineStr">
        <is>
          <t>And this is very bitter.</t>
        </is>
      </c>
      <c r="D2078">
        <f>HYPERLINK("https://www.youtube.com/watch?v=5CFKEnOh8R0&amp;t=167s", "Go to time")</f>
        <v/>
      </c>
    </row>
    <row r="2079">
      <c r="A2079">
        <f>HYPERLINK("https://www.youtube.com/watch?v=P449lL7Thgw", "Video")</f>
        <v/>
      </c>
      <c r="B2079" t="inlineStr">
        <is>
          <t>5:35</t>
        </is>
      </c>
      <c r="C2079" t="inlineStr">
        <is>
          <t>We need to allow chickens to
live a bit longer in order</t>
        </is>
      </c>
      <c r="D2079">
        <f>HYPERLINK("https://www.youtube.com/watch?v=P449lL7Thgw&amp;t=335s", "Go to time")</f>
        <v/>
      </c>
    </row>
    <row r="2080">
      <c r="A2080">
        <f>HYPERLINK("https://www.youtube.com/watch?v=P449lL7Thgw", "Video")</f>
        <v/>
      </c>
      <c r="B2080" t="inlineStr">
        <is>
          <t>8:12</t>
        </is>
      </c>
      <c r="C2080" t="inlineStr">
        <is>
          <t>It costs a bit more, nevermind,</t>
        </is>
      </c>
      <c r="D2080">
        <f>HYPERLINK("https://www.youtube.com/watch?v=P449lL7Thgw&amp;t=492s", "Go to time")</f>
        <v/>
      </c>
    </row>
    <row r="2081">
      <c r="A2081">
        <f>HYPERLINK("https://www.youtube.com/watch?v=tHezC0vBtds", "Video")</f>
        <v/>
      </c>
      <c r="B2081" t="inlineStr">
        <is>
          <t>15:13</t>
        </is>
      </c>
      <c r="C2081" t="inlineStr">
        <is>
          <t>those styles are sometimes a little bit</t>
        </is>
      </c>
      <c r="D2081">
        <f>HYPERLINK("https://www.youtube.com/watch?v=tHezC0vBtds&amp;t=913s", "Go to time")</f>
        <v/>
      </c>
    </row>
    <row r="2082">
      <c r="A2082">
        <f>HYPERLINK("https://www.youtube.com/watch?v=WF-4W6qizVo", "Video")</f>
        <v/>
      </c>
      <c r="B2082" t="inlineStr">
        <is>
          <t>16:24</t>
        </is>
      </c>
      <c r="C2082" t="inlineStr">
        <is>
          <t>bit into the background sometimes we we</t>
        </is>
      </c>
      <c r="D2082">
        <f>HYPERLINK("https://www.youtube.com/watch?v=WF-4W6qizVo&amp;t=984s", "Go to time")</f>
        <v/>
      </c>
    </row>
    <row r="2083">
      <c r="A2083">
        <f>HYPERLINK("https://www.youtube.com/watch?v=rohgVwQ57uM", "Video")</f>
        <v/>
      </c>
      <c r="B2083" t="inlineStr">
        <is>
          <t>2:01</t>
        </is>
      </c>
      <c r="C2083" t="inlineStr">
        <is>
          <t>And where you get into
a little bit of tension</t>
        </is>
      </c>
      <c r="D2083">
        <f>HYPERLINK("https://www.youtube.com/watch?v=rohgVwQ57uM&amp;t=121s", "Go to time")</f>
        <v/>
      </c>
    </row>
    <row r="2084">
      <c r="A2084">
        <f>HYPERLINK("https://www.youtube.com/watch?v=RpdPT9V76wY", "Video")</f>
        <v/>
      </c>
      <c r="B2084" t="inlineStr">
        <is>
          <t>0:15</t>
        </is>
      </c>
      <c r="C2084" t="inlineStr">
        <is>
          <t>happen I think a little bit more ad hoc</t>
        </is>
      </c>
      <c r="D2084">
        <f>HYPERLINK("https://www.youtube.com/watch?v=RpdPT9V76wY&amp;t=15s", "Go to time")</f>
        <v/>
      </c>
    </row>
    <row r="2085">
      <c r="A2085">
        <f>HYPERLINK("https://www.youtube.com/watch?v=N_d5EHfvR-k", "Video")</f>
        <v/>
      </c>
      <c r="B2085" t="inlineStr">
        <is>
          <t>2:43</t>
        </is>
      </c>
      <c r="C2085" t="inlineStr">
        <is>
          <t>better uh that I think is a fair bit</t>
        </is>
      </c>
      <c r="D2085">
        <f>HYPERLINK("https://www.youtube.com/watch?v=N_d5EHfvR-k&amp;t=163s", "Go to time")</f>
        <v/>
      </c>
    </row>
    <row r="2086">
      <c r="A2086">
        <f>HYPERLINK("https://www.youtube.com/watch?v=N_d5EHfvR-k", "Video")</f>
        <v/>
      </c>
      <c r="B2086" t="inlineStr">
        <is>
          <t>2:46</t>
        </is>
      </c>
      <c r="C2086" t="inlineStr">
        <is>
          <t>there's a fair bit of wishful thinking</t>
        </is>
      </c>
      <c r="D2086">
        <f>HYPERLINK("https://www.youtube.com/watch?v=N_d5EHfvR-k&amp;t=166s", "Go to time")</f>
        <v/>
      </c>
    </row>
    <row r="2087">
      <c r="A2087">
        <f>HYPERLINK("https://www.youtube.com/watch?v=CgcHlwGuElo", "Video")</f>
        <v/>
      </c>
      <c r="B2087" t="inlineStr">
        <is>
          <t>0:28</t>
        </is>
      </c>
      <c r="C2087" t="inlineStr">
        <is>
          <t>gone down quite a bit and they're in</t>
        </is>
      </c>
      <c r="D2087">
        <f>HYPERLINK("https://www.youtube.com/watch?v=CgcHlwGuElo&amp;t=28s", "Go to time")</f>
        <v/>
      </c>
    </row>
    <row r="2088">
      <c r="A2088">
        <f>HYPERLINK("https://www.youtube.com/watch?v=bpXtyydwsmY", "Video")</f>
        <v/>
      </c>
      <c r="B2088" t="inlineStr">
        <is>
          <t>1:16</t>
        </is>
      </c>
      <c r="C2088" t="inlineStr">
        <is>
          <t>Protocol your bits aren't going anywhere</t>
        </is>
      </c>
      <c r="D2088">
        <f>HYPERLINK("https://www.youtube.com/watch?v=bpXtyydwsmY&amp;t=76s", "Go to time")</f>
        <v/>
      </c>
    </row>
    <row r="2089">
      <c r="A2089">
        <f>HYPERLINK("https://www.youtube.com/watch?v=sZJBUkTTOyM", "Video")</f>
        <v/>
      </c>
      <c r="B2089" t="inlineStr">
        <is>
          <t>0:44</t>
        </is>
      </c>
      <c r="C2089" t="inlineStr">
        <is>
          <t>habitat destruction. We are transforming</t>
        </is>
      </c>
      <c r="D2089">
        <f>HYPERLINK("https://www.youtube.com/watch?v=sZJBUkTTOyM&amp;t=44s", "Go to time")</f>
        <v/>
      </c>
    </row>
    <row r="2090">
      <c r="A2090">
        <f>HYPERLINK("https://www.youtube.com/watch?v=lGuMbFX1whs", "Video")</f>
        <v/>
      </c>
      <c r="B2090" t="inlineStr">
        <is>
          <t>1:00</t>
        </is>
      </c>
      <c r="C2090" t="inlineStr">
        <is>
          <t>uh that that does have a little bit of a</t>
        </is>
      </c>
      <c r="D2090">
        <f>HYPERLINK("https://www.youtube.com/watch?v=lGuMbFX1whs&amp;t=60s", "Go to time")</f>
        <v/>
      </c>
    </row>
    <row r="2091">
      <c r="A2091">
        <f>HYPERLINK("https://www.youtube.com/watch?v=v1SGYabxvPM", "Video")</f>
        <v/>
      </c>
      <c r="B2091" t="inlineStr">
        <is>
          <t>1:21</t>
        </is>
      </c>
      <c r="C2091" t="inlineStr">
        <is>
          <t>And it’s a bit of an ironic term for reasons
that I will get to you in a second, but he</t>
        </is>
      </c>
      <c r="D2091">
        <f>HYPERLINK("https://www.youtube.com/watch?v=v1SGYabxvPM&amp;t=81s", "Go to time")</f>
        <v/>
      </c>
    </row>
    <row r="2092">
      <c r="A2092">
        <f>HYPERLINK("https://www.youtube.com/watch?v=Y59-WoID2MU", "Video")</f>
        <v/>
      </c>
      <c r="B2092" t="inlineStr">
        <is>
          <t>4:41</t>
        </is>
      </c>
      <c r="C2092" t="inlineStr">
        <is>
          <t>to bed a little bit earlier uh these</t>
        </is>
      </c>
      <c r="D2092">
        <f>HYPERLINK("https://www.youtube.com/watch?v=Y59-WoID2MU&amp;t=281s", "Go to time")</f>
        <v/>
      </c>
    </row>
    <row r="2093">
      <c r="A2093">
        <f>HYPERLINK("https://www.youtube.com/watch?v=tR4w2nAkDNc", "Video")</f>
        <v/>
      </c>
      <c r="B2093" t="inlineStr">
        <is>
          <t>1:00</t>
        </is>
      </c>
      <c r="C2093" t="inlineStr">
        <is>
          <t>you at all, I apologize. I'm not trying to cut 
you off. There's just a little bit of a lag.</t>
        </is>
      </c>
      <c r="D2093">
        <f>HYPERLINK("https://www.youtube.com/watch?v=tR4w2nAkDNc&amp;t=60s", "Go to time")</f>
        <v/>
      </c>
    </row>
    <row r="2094">
      <c r="A2094">
        <f>HYPERLINK("https://www.youtube.com/watch?v=tR4w2nAkDNc", "Video")</f>
        <v/>
      </c>
      <c r="B2094" t="inlineStr">
        <is>
          <t>3:21</t>
        </is>
      </c>
      <c r="C2094" t="inlineStr">
        <is>
          <t>Honestly, that was kind of my first encounter 
with a bit of misogyny. Gosh, I learned a lot.</t>
        </is>
      </c>
      <c r="D2094">
        <f>HYPERLINK("https://www.youtube.com/watch?v=tR4w2nAkDNc&amp;t=201s", "Go to time")</f>
        <v/>
      </c>
    </row>
    <row r="2095">
      <c r="A2095">
        <f>HYPERLINK("https://www.youtube.com/watch?v=k_Qb990_4Co", "Video")</f>
        <v/>
      </c>
      <c r="B2095" t="inlineStr">
        <is>
          <t>0:55</t>
        </is>
      </c>
      <c r="C2095" t="inlineStr">
        <is>
          <t>after weeks of trying to write this bit</t>
        </is>
      </c>
      <c r="D2095">
        <f>HYPERLINK("https://www.youtube.com/watch?v=k_Qb990_4Co&amp;t=55s", "Go to time")</f>
        <v/>
      </c>
    </row>
    <row r="2096">
      <c r="A2096">
        <f>HYPERLINK("https://www.youtube.com/watch?v=r-8_zXBXF5s", "Video")</f>
        <v/>
      </c>
      <c r="B2096" t="inlineStr">
        <is>
          <t>0:53</t>
        </is>
      </c>
      <c r="C2096" t="inlineStr">
        <is>
          <t>heard, they're they're a little bit</t>
        </is>
      </c>
      <c r="D2096">
        <f>HYPERLINK("https://www.youtube.com/watch?v=r-8_zXBXF5s&amp;t=53s", "Go to time")</f>
        <v/>
      </c>
    </row>
    <row r="2097">
      <c r="A2097">
        <f>HYPERLINK("https://www.youtube.com/watch?v=rqhiFZi04Tc", "Video")</f>
        <v/>
      </c>
      <c r="B2097" t="inlineStr">
        <is>
          <t>1:36</t>
        </is>
      </c>
      <c r="C2097" t="inlineStr">
        <is>
          <t>practically seem to be in the habitable</t>
        </is>
      </c>
      <c r="D2097">
        <f>HYPERLINK("https://www.youtube.com/watch?v=rqhiFZi04Tc&amp;t=96s", "Go to time")</f>
        <v/>
      </c>
    </row>
    <row r="2098">
      <c r="A2098">
        <f>HYPERLINK("https://www.youtube.com/watch?v=KYs3M_qB6hs", "Video")</f>
        <v/>
      </c>
      <c r="B2098" t="inlineStr">
        <is>
          <t>6:50</t>
        </is>
      </c>
      <c r="C2098" t="inlineStr">
        <is>
          <t>And when bad stuff happens to you, you're
allowed to be down for a bit. People think</t>
        </is>
      </c>
      <c r="D2098">
        <f>HYPERLINK("https://www.youtube.com/watch?v=KYs3M_qB6hs&amp;t=410s", "Go to time")</f>
        <v/>
      </c>
    </row>
    <row r="2099">
      <c r="A2099">
        <f>HYPERLINK("https://www.youtube.com/watch?v=KYs3M_qB6hs", "Video")</f>
        <v/>
      </c>
      <c r="B2099" t="inlineStr">
        <is>
          <t>7:23</t>
        </is>
      </c>
      <c r="C2099" t="inlineStr">
        <is>
          <t>But more than that, they are just going to
happen if you have ambition.</t>
        </is>
      </c>
      <c r="D2099">
        <f>HYPERLINK("https://www.youtube.com/watch?v=KYs3M_qB6hs&amp;t=443s", "Go to time")</f>
        <v/>
      </c>
    </row>
    <row r="2100">
      <c r="A2100">
        <f>HYPERLINK("https://www.youtube.com/watch?v=J_LdqDnuNUk", "Video")</f>
        <v/>
      </c>
      <c r="B2100" t="inlineStr">
        <is>
          <t>4:17</t>
        </is>
      </c>
      <c r="C2100" t="inlineStr">
        <is>
          <t>ideas there's a lot out there and I ask
us all to to maintain a little bit of</t>
        </is>
      </c>
      <c r="D2100">
        <f>HYPERLINK("https://www.youtube.com/watch?v=J_LdqDnuNUk&amp;t=257s", "Go to time")</f>
        <v/>
      </c>
    </row>
    <row r="2101">
      <c r="A2101">
        <f>HYPERLINK("https://www.youtube.com/watch?v=BHEhxPuMmQI", "Video")</f>
        <v/>
      </c>
      <c r="B2101" t="inlineStr">
        <is>
          <t>2:02</t>
        </is>
      </c>
      <c r="C2101" t="inlineStr">
        <is>
          <t>With the electrons, let's say
orbiting in inverted commas</t>
        </is>
      </c>
      <c r="D2101">
        <f>HYPERLINK("https://www.youtube.com/watch?v=BHEhxPuMmQI&amp;t=122s", "Go to time")</f>
        <v/>
      </c>
    </row>
    <row r="2102">
      <c r="A2102">
        <f>HYPERLINK("https://www.youtube.com/watch?v=BHEhxPuMmQI", "Video")</f>
        <v/>
      </c>
      <c r="B2102" t="inlineStr">
        <is>
          <t>2:27</t>
        </is>
      </c>
      <c r="C2102" t="inlineStr">
        <is>
          <t>which we now call "orbitals"
around the atomic nucleus.</t>
        </is>
      </c>
      <c r="D2102">
        <f>HYPERLINK("https://www.youtube.com/watch?v=BHEhxPuMmQI&amp;t=147s", "Go to time")</f>
        <v/>
      </c>
    </row>
    <row r="2103">
      <c r="A2103">
        <f>HYPERLINK("https://www.youtube.com/watch?v=BHEhxPuMmQI", "Video")</f>
        <v/>
      </c>
      <c r="B2103" t="inlineStr">
        <is>
          <t>3:07</t>
        </is>
      </c>
      <c r="C2103" t="inlineStr">
        <is>
          <t>So you might call these things a "qubit."</t>
        </is>
      </c>
      <c r="D2103">
        <f>HYPERLINK("https://www.youtube.com/watch?v=BHEhxPuMmQI&amp;t=187s", "Go to time")</f>
        <v/>
      </c>
    </row>
    <row r="2104">
      <c r="A2104">
        <f>HYPERLINK("https://www.youtube.com/watch?v=BHEhxPuMmQI", "Video")</f>
        <v/>
      </c>
      <c r="B2104" t="inlineStr">
        <is>
          <t>3:10</t>
        </is>
      </c>
      <c r="C2104" t="inlineStr">
        <is>
          <t>So what is a qubit?</t>
        </is>
      </c>
      <c r="D2104">
        <f>HYPERLINK("https://www.youtube.com/watch?v=BHEhxPuMmQI&amp;t=190s", "Go to time")</f>
        <v/>
      </c>
    </row>
    <row r="2105">
      <c r="A2105">
        <f>HYPERLINK("https://www.youtube.com/watch?v=BHEhxPuMmQI", "Video")</f>
        <v/>
      </c>
      <c r="B2105" t="inlineStr">
        <is>
          <t>3:55</t>
        </is>
      </c>
      <c r="C2105" t="inlineStr">
        <is>
          <t>we'll talk about that a bit later,</t>
        </is>
      </c>
      <c r="D2105">
        <f>HYPERLINK("https://www.youtube.com/watch?v=BHEhxPuMmQI&amp;t=235s", "Go to time")</f>
        <v/>
      </c>
    </row>
    <row r="2106">
      <c r="A2106">
        <f>HYPERLINK("https://www.youtube.com/watch?v=BHEhxPuMmQI", "Video")</f>
        <v/>
      </c>
      <c r="B2106" t="inlineStr">
        <is>
          <t>7:44</t>
        </is>
      </c>
      <c r="C2106" t="inlineStr">
        <is>
          <t>around a little bit when
they go through the slits.</t>
        </is>
      </c>
      <c r="D2106">
        <f>HYPERLINK("https://www.youtube.com/watch?v=BHEhxPuMmQI&amp;t=464s", "Go to time")</f>
        <v/>
      </c>
    </row>
    <row r="2107">
      <c r="A2107">
        <f>HYPERLINK("https://www.youtube.com/watch?v=BHEhxPuMmQI", "Video")</f>
        <v/>
      </c>
      <c r="B2107" t="inlineStr">
        <is>
          <t>7:53</t>
        </is>
      </c>
      <c r="C2107" t="inlineStr">
        <is>
          <t>or the other of the slits
with maybe a bit of a spread</t>
        </is>
      </c>
      <c r="D2107">
        <f>HYPERLINK("https://www.youtube.com/watch?v=BHEhxPuMmQI&amp;t=473s", "Go to time")</f>
        <v/>
      </c>
    </row>
    <row r="2108">
      <c r="A2108">
        <f>HYPERLINK("https://www.youtube.com/watch?v=BHEhxPuMmQI", "Video")</f>
        <v/>
      </c>
      <c r="B2108" t="inlineStr">
        <is>
          <t>7:56</t>
        </is>
      </c>
      <c r="C2108" t="inlineStr">
        <is>
          <t>because they rattle around
a bit when they go through.</t>
        </is>
      </c>
      <c r="D2108">
        <f>HYPERLINK("https://www.youtube.com/watch?v=BHEhxPuMmQI&amp;t=476s", "Go to time")</f>
        <v/>
      </c>
    </row>
    <row r="2109">
      <c r="A2109">
        <f>HYPERLINK("https://www.youtube.com/watch?v=BHEhxPuMmQI", "Video")</f>
        <v/>
      </c>
      <c r="B2109" t="inlineStr">
        <is>
          <t>14:56</t>
        </is>
      </c>
      <c r="C2109" t="inlineStr">
        <is>
          <t>and it's all a bit whatever, and we,</t>
        </is>
      </c>
      <c r="D2109">
        <f>HYPERLINK("https://www.youtube.com/watch?v=BHEhxPuMmQI&amp;t=896s", "Go to time")</f>
        <v/>
      </c>
    </row>
    <row r="2110">
      <c r="A2110">
        <f>HYPERLINK("https://www.youtube.com/watch?v=BHEhxPuMmQI", "Video")</f>
        <v/>
      </c>
      <c r="B2110" t="inlineStr">
        <is>
          <t>16:02</t>
        </is>
      </c>
      <c r="C2110" t="inlineStr">
        <is>
          <t>is a device which is built out of qubits.</t>
        </is>
      </c>
      <c r="D2110">
        <f>HYPERLINK("https://www.youtube.com/watch?v=BHEhxPuMmQI&amp;t=962s", "Go to time")</f>
        <v/>
      </c>
    </row>
    <row r="2111">
      <c r="A2111">
        <f>HYPERLINK("https://www.youtube.com/watch?v=BHEhxPuMmQI", "Video")</f>
        <v/>
      </c>
      <c r="B2111" t="inlineStr">
        <is>
          <t>16:06</t>
        </is>
      </c>
      <c r="C2111" t="inlineStr">
        <is>
          <t>So remember qubit, an
example would be an electron,</t>
        </is>
      </c>
      <c r="D2111">
        <f>HYPERLINK("https://www.youtube.com/watch?v=BHEhxPuMmQI&amp;t=966s", "Go to time")</f>
        <v/>
      </c>
    </row>
    <row r="2112">
      <c r="A2112">
        <f>HYPERLINK("https://www.youtube.com/watch?v=BHEhxPuMmQI", "Video")</f>
        <v/>
      </c>
      <c r="B2112" t="inlineStr">
        <is>
          <t>17:05</t>
        </is>
      </c>
      <c r="C2112" t="inlineStr">
        <is>
          <t>So the system of these two qubits,</t>
        </is>
      </c>
      <c r="D2112">
        <f>HYPERLINK("https://www.youtube.com/watch?v=BHEhxPuMmQI&amp;t=1025s", "Go to time")</f>
        <v/>
      </c>
    </row>
    <row r="2113">
      <c r="A2113">
        <f>HYPERLINK("https://www.youtube.com/watch?v=BHEhxPuMmQI", "Video")</f>
        <v/>
      </c>
      <c r="B2113" t="inlineStr">
        <is>
          <t>19:17</t>
        </is>
      </c>
      <c r="C2113" t="inlineStr">
        <is>
          <t>of two qubits, I think about it.</t>
        </is>
      </c>
      <c r="D2113">
        <f>HYPERLINK("https://www.youtube.com/watch?v=BHEhxPuMmQI&amp;t=1157s", "Go to time")</f>
        <v/>
      </c>
    </row>
    <row r="2114">
      <c r="A2114">
        <f>HYPERLINK("https://www.youtube.com/watch?v=BHEhxPuMmQI", "Video")</f>
        <v/>
      </c>
      <c r="B2114" t="inlineStr">
        <is>
          <t>19:31</t>
        </is>
      </c>
      <c r="C2114" t="inlineStr">
        <is>
          <t>or down, down, four for
the two qubit system.</t>
        </is>
      </c>
      <c r="D2114">
        <f>HYPERLINK("https://www.youtube.com/watch?v=BHEhxPuMmQI&amp;t=1171s", "Go to time")</f>
        <v/>
      </c>
    </row>
    <row r="2115">
      <c r="A2115">
        <f>HYPERLINK("https://www.youtube.com/watch?v=BHEhxPuMmQI", "Video")</f>
        <v/>
      </c>
      <c r="B2115" t="inlineStr">
        <is>
          <t>19:35</t>
        </is>
      </c>
      <c r="C2115" t="inlineStr">
        <is>
          <t>For a three qubit system,</t>
        </is>
      </c>
      <c r="D2115">
        <f>HYPERLINK("https://www.youtube.com/watch?v=BHEhxPuMmQI&amp;t=1175s", "Go to time")</f>
        <v/>
      </c>
    </row>
    <row r="2116">
      <c r="A2116">
        <f>HYPERLINK("https://www.youtube.com/watch?v=BHEhxPuMmQI", "Video")</f>
        <v/>
      </c>
      <c r="B2116" t="inlineStr">
        <is>
          <t>19:45</t>
        </is>
      </c>
      <c r="C2116" t="inlineStr">
        <is>
          <t>For four qubits,</t>
        </is>
      </c>
      <c r="D2116">
        <f>HYPERLINK("https://www.youtube.com/watch?v=BHEhxPuMmQI&amp;t=1185s", "Go to time")</f>
        <v/>
      </c>
    </row>
    <row r="2117">
      <c r="A2117">
        <f>HYPERLINK("https://www.youtube.com/watch?v=BHEhxPuMmQI", "Video")</f>
        <v/>
      </c>
      <c r="B2117" t="inlineStr">
        <is>
          <t>19:55</t>
        </is>
      </c>
      <c r="C2117" t="inlineStr">
        <is>
          <t>in which we have a 100, 200, 300 qubits,</t>
        </is>
      </c>
      <c r="D2117">
        <f>HYPERLINK("https://www.youtube.com/watch?v=BHEhxPuMmQI&amp;t=1195s", "Go to time")</f>
        <v/>
      </c>
    </row>
    <row r="2118">
      <c r="A2118">
        <f>HYPERLINK("https://www.youtube.com/watch?v=BHEhxPuMmQI", "Video")</f>
        <v/>
      </c>
      <c r="B2118" t="inlineStr">
        <is>
          <t>20:19</t>
        </is>
      </c>
      <c r="C2118" t="inlineStr">
        <is>
          <t>So pretty soon, two to the
power 100, for a 100 qubits.</t>
        </is>
      </c>
      <c r="D2118">
        <f>HYPERLINK("https://www.youtube.com/watch?v=BHEhxPuMmQI&amp;t=1219s", "Go to time")</f>
        <v/>
      </c>
    </row>
    <row r="2119">
      <c r="A2119">
        <f>HYPERLINK("https://www.youtube.com/watch?v=BHEhxPuMmQI", "Video")</f>
        <v/>
      </c>
      <c r="B2119" t="inlineStr">
        <is>
          <t>20:28</t>
        </is>
      </c>
      <c r="C2119" t="inlineStr">
        <is>
          <t>If you had two to the 500,
you'd far exceed 500 qubits.</t>
        </is>
      </c>
      <c r="D2119">
        <f>HYPERLINK("https://www.youtube.com/watch?v=BHEhxPuMmQI&amp;t=1228s", "Go to time")</f>
        <v/>
      </c>
    </row>
    <row r="2120">
      <c r="A2120">
        <f>HYPERLINK("https://www.youtube.com/watch?v=BHEhxPuMmQI", "Video")</f>
        <v/>
      </c>
      <c r="B2120" t="inlineStr">
        <is>
          <t>20:47</t>
        </is>
      </c>
      <c r="C2120" t="inlineStr">
        <is>
          <t>at least of a network of 500 qubits.</t>
        </is>
      </c>
      <c r="D2120">
        <f>HYPERLINK("https://www.youtube.com/watch?v=BHEhxPuMmQI&amp;t=1247s", "Go to time")</f>
        <v/>
      </c>
    </row>
    <row r="2121">
      <c r="A2121">
        <f>HYPERLINK("https://www.youtube.com/watch?v=41y5KNAW8Aw", "Video")</f>
        <v/>
      </c>
      <c r="B2121" t="inlineStr">
        <is>
          <t>0:04</t>
        </is>
      </c>
      <c r="C2121" t="inlineStr">
        <is>
          <t>I think it varies a little bit with age</t>
        </is>
      </c>
      <c r="D2121">
        <f>HYPERLINK("https://www.youtube.com/watch?v=41y5KNAW8Aw&amp;t=4s", "Go to time")</f>
        <v/>
      </c>
    </row>
    <row r="2122">
      <c r="A2122">
        <f>HYPERLINK("https://www.youtube.com/watch?v=utyGXL8IXAo", "Video")</f>
        <v/>
      </c>
      <c r="B2122" t="inlineStr">
        <is>
          <t>0:10</t>
        </is>
      </c>
      <c r="C2122" t="inlineStr">
        <is>
          <t>orbits the sun in a shooting gallery and asteroids
hit Earth.</t>
        </is>
      </c>
      <c r="D2122">
        <f>HYPERLINK("https://www.youtube.com/watch?v=utyGXL8IXAo&amp;t=10s", "Go to time")</f>
        <v/>
      </c>
    </row>
    <row r="2123">
      <c r="A2123">
        <f>HYPERLINK("https://www.youtube.com/watch?v=bs2IognqkJI", "Video")</f>
        <v/>
      </c>
      <c r="B2123" t="inlineStr">
        <is>
          <t>2:41</t>
        </is>
      </c>
      <c r="C2123" t="inlineStr">
        <is>
          <t>And I can’t begin to write something until
I feel like I’ve become a bit of an expert</t>
        </is>
      </c>
      <c r="D2123">
        <f>HYPERLINK("https://www.youtube.com/watch?v=bs2IognqkJI&amp;t=161s", "Go to time")</f>
        <v/>
      </c>
    </row>
    <row r="2124">
      <c r="A2124">
        <f>HYPERLINK("https://www.youtube.com/watch?v=bs2IognqkJI", "Video")</f>
        <v/>
      </c>
      <c r="B2124" t="inlineStr">
        <is>
          <t>21:50</t>
        </is>
      </c>
      <c r="C2124" t="inlineStr">
        <is>
          <t>There’s a certain ambition, an eagerness,
and excitement.</t>
        </is>
      </c>
      <c r="D2124">
        <f>HYPERLINK("https://www.youtube.com/watch?v=bs2IognqkJI&amp;t=1310s", "Go to time")</f>
        <v/>
      </c>
    </row>
    <row r="2125">
      <c r="A2125">
        <f>HYPERLINK("https://www.youtube.com/watch?v=bs2IognqkJI", "Video")</f>
        <v/>
      </c>
      <c r="B2125" t="inlineStr">
        <is>
          <t>24:35</t>
        </is>
      </c>
      <c r="C2125" t="inlineStr">
        <is>
          <t>Look, something happened to me but even saying
that, kind of puts it in a little bit too</t>
        </is>
      </c>
      <c r="D2125">
        <f>HYPERLINK("https://www.youtube.com/watch?v=bs2IognqkJI&amp;t=1475s", "Go to time")</f>
        <v/>
      </c>
    </row>
    <row r="2126">
      <c r="A2126">
        <f>HYPERLINK("https://www.youtube.com/watch?v=bs2IognqkJI", "Video")</f>
        <v/>
      </c>
      <c r="B2126" t="inlineStr">
        <is>
          <t>27:21</t>
        </is>
      </c>
      <c r="C2126" t="inlineStr">
        <is>
          <t>And when I find myself kind of spinning out
of orbit, you know, there’s like a tether,</t>
        </is>
      </c>
      <c r="D2126">
        <f>HYPERLINK("https://www.youtube.com/watch?v=bs2IognqkJI&amp;t=1641s", "Go to time")</f>
        <v/>
      </c>
    </row>
    <row r="2127">
      <c r="A2127">
        <f>HYPERLINK("https://www.youtube.com/watch?v=bs2IognqkJI", "Video")</f>
        <v/>
      </c>
      <c r="B2127" t="inlineStr">
        <is>
          <t>28:08</t>
        </is>
      </c>
      <c r="C2127" t="inlineStr">
        <is>
          <t>And you have to be a little bit nimble and
a little flexible to kind of figure out what</t>
        </is>
      </c>
      <c r="D2127">
        <f>HYPERLINK("https://www.youtube.com/watch?v=bs2IognqkJI&amp;t=1688s", "Go to time")</f>
        <v/>
      </c>
    </row>
    <row r="2128">
      <c r="A2128">
        <f>HYPERLINK("https://www.youtube.com/watch?v=bs2IognqkJI", "Video")</f>
        <v/>
      </c>
      <c r="B2128" t="inlineStr">
        <is>
          <t>32:06</t>
        </is>
      </c>
      <c r="C2128" t="inlineStr">
        <is>
          <t>where I became a man for a week, like inhabiting
it in this really intense and direct way,</t>
        </is>
      </c>
      <c r="D2128">
        <f>HYPERLINK("https://www.youtube.com/watch?v=bs2IognqkJI&amp;t=1926s", "Go to time")</f>
        <v/>
      </c>
    </row>
    <row r="2129">
      <c r="A2129">
        <f>HYPERLINK("https://www.youtube.com/watch?v=bs2IognqkJI", "Video")</f>
        <v/>
      </c>
      <c r="B2129" t="inlineStr">
        <is>
          <t>34:31</t>
        </is>
      </c>
      <c r="C2129" t="inlineStr">
        <is>
          <t>experiment, which is what happens if you give
women a little bit of power, what happens</t>
        </is>
      </c>
      <c r="D2129">
        <f>HYPERLINK("https://www.youtube.com/watch?v=bs2IognqkJI&amp;t=2071s", "Go to time")</f>
        <v/>
      </c>
    </row>
    <row r="2130">
      <c r="A2130">
        <f>HYPERLINK("https://www.youtube.com/watch?v=bs2IognqkJI", "Video")</f>
        <v/>
      </c>
      <c r="B2130" t="inlineStr">
        <is>
          <t>45:04</t>
        </is>
      </c>
      <c r="C2130" t="inlineStr">
        <is>
          <t>I think I was kind of wishing I would be a
little bit more objectified.</t>
        </is>
      </c>
      <c r="D2130">
        <f>HYPERLINK("https://www.youtube.com/watch?v=bs2IognqkJI&amp;t=2704s", "Go to time")</f>
        <v/>
      </c>
    </row>
    <row r="2131">
      <c r="A2131">
        <f>HYPERLINK("https://www.youtube.com/watch?v=bs2IognqkJI", "Video")</f>
        <v/>
      </c>
      <c r="B2131" t="inlineStr">
        <is>
          <t>47:37</t>
        </is>
      </c>
      <c r="C2131" t="inlineStr">
        <is>
          <t>always waiting for the other shoe to drop
a little bit.</t>
        </is>
      </c>
      <c r="D2131">
        <f>HYPERLINK("https://www.youtube.com/watch?v=bs2IognqkJI&amp;t=2857s", "Go to time")</f>
        <v/>
      </c>
    </row>
    <row r="2132">
      <c r="A2132">
        <f>HYPERLINK("https://www.youtube.com/watch?v=VlSFszeZDL8", "Video")</f>
        <v/>
      </c>
      <c r="B2132" t="inlineStr">
        <is>
          <t>6:59</t>
        </is>
      </c>
      <c r="C2132" t="inlineStr">
        <is>
          <t>consumer habits had shifted that</t>
        </is>
      </c>
      <c r="D2132">
        <f>HYPERLINK("https://www.youtube.com/watch?v=VlSFszeZDL8&amp;t=419s", "Go to time")</f>
        <v/>
      </c>
    </row>
    <row r="2133">
      <c r="A2133">
        <f>HYPERLINK("https://www.youtube.com/watch?v=esneN8HQKeY", "Video")</f>
        <v/>
      </c>
      <c r="B2133" t="inlineStr">
        <is>
          <t>4:12</t>
        </is>
      </c>
      <c r="C2133" t="inlineStr">
        <is>
          <t>And I think happiness is
a little bit like that.</t>
        </is>
      </c>
      <c r="D2133">
        <f>HYPERLINK("https://www.youtube.com/watch?v=esneN8HQKeY&amp;t=252s", "Go to time")</f>
        <v/>
      </c>
    </row>
    <row r="2134">
      <c r="A2134">
        <f>HYPERLINK("https://www.youtube.com/watch?v=esneN8HQKeY", "Video")</f>
        <v/>
      </c>
      <c r="B2134" t="inlineStr">
        <is>
          <t>24:25</t>
        </is>
      </c>
      <c r="C2134" t="inlineStr">
        <is>
          <t>And that this bearer is entitled
to bit is really important</t>
        </is>
      </c>
      <c r="D2134">
        <f>HYPERLINK("https://www.youtube.com/watch?v=esneN8HQKeY&amp;t=1465s", "Go to time")</f>
        <v/>
      </c>
    </row>
    <row r="2135">
      <c r="A2135">
        <f>HYPERLINK("https://www.youtube.com/watch?v=23hhZbvFoBs", "Video")</f>
        <v/>
      </c>
      <c r="B2135" t="inlineStr">
        <is>
          <t>0:56</t>
        </is>
      </c>
      <c r="C2135" t="inlineStr">
        <is>
          <t>The very best people at the top of teams
or organizations are doing a little bit of</t>
        </is>
      </c>
      <c r="D2135">
        <f>HYPERLINK("https://www.youtube.com/watch?v=23hhZbvFoBs&amp;t=56s", "Go to time")</f>
        <v/>
      </c>
    </row>
    <row r="2136">
      <c r="A2136">
        <f>HYPERLINK("https://www.youtube.com/watch?v=23hhZbvFoBs", "Video")</f>
        <v/>
      </c>
      <c r="B2136" t="inlineStr">
        <is>
          <t>1:00</t>
        </is>
      </c>
      <c r="C2136" t="inlineStr">
        <is>
          <t>managing and a little bit of leading.</t>
        </is>
      </c>
      <c r="D2136">
        <f>HYPERLINK("https://www.youtube.com/watch?v=23hhZbvFoBs&amp;t=60s", "Go to time")</f>
        <v/>
      </c>
    </row>
    <row r="2137">
      <c r="A2137">
        <f>HYPERLINK("https://www.youtube.com/watch?v=Smua_-aVOjE", "Video")</f>
        <v/>
      </c>
      <c r="B2137" t="inlineStr">
        <is>
          <t>0:58</t>
        </is>
      </c>
      <c r="C2137" t="inlineStr">
        <is>
          <t>of pain a little bit and I you know the</t>
        </is>
      </c>
      <c r="D2137">
        <f>HYPERLINK("https://www.youtube.com/watch?v=Smua_-aVOjE&amp;t=58s", "Go to time")</f>
        <v/>
      </c>
    </row>
    <row r="2138">
      <c r="A2138">
        <f>HYPERLINK("https://www.youtube.com/watch?v=QPuea7gQXz8", "Video")</f>
        <v/>
      </c>
      <c r="B2138" t="inlineStr">
        <is>
          <t>2:57</t>
        </is>
      </c>
      <c r="C2138" t="inlineStr">
        <is>
          <t>gone a little bit too far um because</t>
        </is>
      </c>
      <c r="D2138">
        <f>HYPERLINK("https://www.youtube.com/watch?v=QPuea7gQXz8&amp;t=177s", "Go to time")</f>
        <v/>
      </c>
    </row>
    <row r="2139">
      <c r="A2139">
        <f>HYPERLINK("https://www.youtube.com/watch?v=JkQ_zABVO9c", "Video")</f>
        <v/>
      </c>
      <c r="B2139" t="inlineStr">
        <is>
          <t>0:46</t>
        </is>
      </c>
      <c r="C2139" t="inlineStr">
        <is>
          <t>growing up I felt um a little bit</t>
        </is>
      </c>
      <c r="D2139">
        <f>HYPERLINK("https://www.youtube.com/watch?v=JkQ_zABVO9c&amp;t=46s", "Go to time")</f>
        <v/>
      </c>
    </row>
    <row r="2140">
      <c r="A2140">
        <f>HYPERLINK("https://www.youtube.com/watch?v=JkQ_zABVO9c", "Video")</f>
        <v/>
      </c>
      <c r="B2140" t="inlineStr">
        <is>
          <t>6:20</t>
        </is>
      </c>
      <c r="C2140" t="inlineStr">
        <is>
          <t>little bit different for women and</t>
        </is>
      </c>
      <c r="D2140">
        <f>HYPERLINK("https://www.youtube.com/watch?v=JkQ_zABVO9c&amp;t=380s", "Go to time")</f>
        <v/>
      </c>
    </row>
    <row r="2141">
      <c r="A2141">
        <f>HYPERLINK("https://www.youtube.com/watch?v=TW0S8VgRAyE", "Video")</f>
        <v/>
      </c>
      <c r="B2141" t="inlineStr">
        <is>
          <t>3:33</t>
        </is>
      </c>
      <c r="C2141" t="inlineStr">
        <is>
          <t>little bit and I haven't to this day I</t>
        </is>
      </c>
      <c r="D2141">
        <f>HYPERLINK("https://www.youtube.com/watch?v=TW0S8VgRAyE&amp;t=213s", "Go to time")</f>
        <v/>
      </c>
    </row>
    <row r="2142">
      <c r="A2142">
        <f>HYPERLINK("https://www.youtube.com/watch?v=DKEi0kyXt3M", "Video")</f>
        <v/>
      </c>
      <c r="B2142" t="inlineStr">
        <is>
          <t>0:10</t>
        </is>
      </c>
      <c r="C2142" t="inlineStr">
        <is>
          <t>a little bit of a no-brainer;</t>
        </is>
      </c>
      <c r="D2142">
        <f>HYPERLINK("https://www.youtube.com/watch?v=DKEi0kyXt3M&amp;t=10s", "Go to time")</f>
        <v/>
      </c>
    </row>
    <row r="2143">
      <c r="A2143">
        <f>HYPERLINK("https://www.youtube.com/watch?v=Q4QMZFo90bo", "Video")</f>
        <v/>
      </c>
      <c r="B2143" t="inlineStr">
        <is>
          <t>0:52</t>
        </is>
      </c>
      <c r="C2143" t="inlineStr">
        <is>
          <t>I decided uh just uh take a little bit</t>
        </is>
      </c>
      <c r="D2143">
        <f>HYPERLINK("https://www.youtube.com/watch?v=Q4QMZFo90bo&amp;t=52s", "Go to time")</f>
        <v/>
      </c>
    </row>
    <row r="2144">
      <c r="A2144">
        <f>HYPERLINK("https://www.youtube.com/watch?v=8D4AHrKAYig", "Video")</f>
        <v/>
      </c>
      <c r="B2144" t="inlineStr">
        <is>
          <t>5:48</t>
        </is>
      </c>
      <c r="C2144" t="inlineStr">
        <is>
          <t>I'm working on an art exhibit right now,
and that means I have</t>
        </is>
      </c>
      <c r="D2144">
        <f>HYPERLINK("https://www.youtube.com/watch?v=8D4AHrKAYig&amp;t=348s", "Go to time")</f>
        <v/>
      </c>
    </row>
    <row r="2145">
      <c r="A2145">
        <f>HYPERLINK("https://www.youtube.com/watch?v=qIeXVer33Ag", "Video")</f>
        <v/>
      </c>
      <c r="B2145" t="inlineStr">
        <is>
          <t>1:07</t>
        </is>
      </c>
      <c r="C2145" t="inlineStr">
        <is>
          <t>beginning to understand a little bit</t>
        </is>
      </c>
      <c r="D2145">
        <f>HYPERLINK("https://www.youtube.com/watch?v=qIeXVer33Ag&amp;t=67s", "Go to time")</f>
        <v/>
      </c>
    </row>
    <row r="2146">
      <c r="A2146">
        <f>HYPERLINK("https://www.youtube.com/watch?v=3KeqjT2xyM0", "Video")</f>
        <v/>
      </c>
      <c r="B2146" t="inlineStr">
        <is>
          <t>0:45</t>
        </is>
      </c>
      <c r="C2146" t="inlineStr">
        <is>
          <t>has a bit of that character.</t>
        </is>
      </c>
      <c r="D2146">
        <f>HYPERLINK("https://www.youtube.com/watch?v=3KeqjT2xyM0&amp;t=45s", "Go to time")</f>
        <v/>
      </c>
    </row>
    <row r="2147">
      <c r="A2147">
        <f>HYPERLINK("https://www.youtube.com/watch?v=3KeqjT2xyM0", "Video")</f>
        <v/>
      </c>
      <c r="B2147" t="inlineStr">
        <is>
          <t>0:53</t>
        </is>
      </c>
      <c r="C2147" t="inlineStr">
        <is>
          <t>can feel a little bit forbidding,</t>
        </is>
      </c>
      <c r="D2147">
        <f>HYPERLINK("https://www.youtube.com/watch?v=3KeqjT2xyM0&amp;t=53s", "Go to time")</f>
        <v/>
      </c>
    </row>
    <row r="2148">
      <c r="A2148">
        <f>HYPERLINK("https://www.youtube.com/watch?v=3KeqjT2xyM0", "Video")</f>
        <v/>
      </c>
      <c r="B2148" t="inlineStr">
        <is>
          <t>4:44</t>
        </is>
      </c>
      <c r="C2148" t="inlineStr">
        <is>
          <t>of geometry shall not
enter," which is a bit harsh.</t>
        </is>
      </c>
      <c r="D2148">
        <f>HYPERLINK("https://www.youtube.com/watch?v=3KeqjT2xyM0&amp;t=284s", "Go to time")</f>
        <v/>
      </c>
    </row>
    <row r="2149">
      <c r="A2149">
        <f>HYPERLINK("https://www.youtube.com/watch?v=3KeqjT2xyM0", "Video")</f>
        <v/>
      </c>
      <c r="B2149" t="inlineStr">
        <is>
          <t>7:10</t>
        </is>
      </c>
      <c r="C2149" t="inlineStr">
        <is>
          <t>you've drunk a little bit too
much of your own Kool-Aid.</t>
        </is>
      </c>
      <c r="D2149">
        <f>HYPERLINK("https://www.youtube.com/watch?v=3KeqjT2xyM0&amp;t=430s", "Go to time")</f>
        <v/>
      </c>
    </row>
    <row r="2150">
      <c r="A2150">
        <f>HYPERLINK("https://www.youtube.com/watch?v=3KeqjT2xyM0", "Video")</f>
        <v/>
      </c>
      <c r="B2150" t="inlineStr">
        <is>
          <t>14:36</t>
        </is>
      </c>
      <c r="C2150" t="inlineStr">
        <is>
          <t>as love is a bit surprising.</t>
        </is>
      </c>
      <c r="D2150">
        <f>HYPERLINK("https://www.youtube.com/watch?v=3KeqjT2xyM0&amp;t=876s", "Go to time")</f>
        <v/>
      </c>
    </row>
    <row r="2151">
      <c r="A2151">
        <f>HYPERLINK("https://www.youtube.com/watch?v=3KeqjT2xyM0", "Video")</f>
        <v/>
      </c>
      <c r="B2151" t="inlineStr">
        <is>
          <t>29:49</t>
        </is>
      </c>
      <c r="C2151" t="inlineStr">
        <is>
          <t>But to be able to do ones bit,</t>
        </is>
      </c>
      <c r="D2151">
        <f>HYPERLINK("https://www.youtube.com/watch?v=3KeqjT2xyM0&amp;t=1789s", "Go to time")</f>
        <v/>
      </c>
    </row>
    <row r="2152">
      <c r="A2152">
        <f>HYPERLINK("https://www.youtube.com/watch?v=3KeqjT2xyM0", "Video")</f>
        <v/>
      </c>
      <c r="B2152" t="inlineStr">
        <is>
          <t>36:30</t>
        </is>
      </c>
      <c r="C2152" t="inlineStr">
        <is>
          <t>Could you talk a little bit
about what life actually is,</t>
        </is>
      </c>
      <c r="D2152">
        <f>HYPERLINK("https://www.youtube.com/watch?v=3KeqjT2xyM0&amp;t=2190s", "Go to time")</f>
        <v/>
      </c>
    </row>
    <row r="2153">
      <c r="A2153">
        <f>HYPERLINK("https://www.youtube.com/watch?v=3KeqjT2xyM0", "Video")</f>
        <v/>
      </c>
      <c r="B2153" t="inlineStr">
        <is>
          <t>41:49</t>
        </is>
      </c>
      <c r="C2153" t="inlineStr">
        <is>
          <t>and we've done a bit of stargazing.</t>
        </is>
      </c>
      <c r="D2153">
        <f>HYPERLINK("https://www.youtube.com/watch?v=3KeqjT2xyM0&amp;t=2509s", "Go to time")</f>
        <v/>
      </c>
    </row>
    <row r="2154">
      <c r="A2154">
        <f>HYPERLINK("https://www.youtube.com/watch?v=lOh9uI-UGws", "Video")</f>
        <v/>
      </c>
      <c r="B2154" t="inlineStr">
        <is>
          <t>0:38</t>
        </is>
      </c>
      <c r="C2154" t="inlineStr">
        <is>
          <t>constantly inhibiting this prepotent uh</t>
        </is>
      </c>
      <c r="D2154">
        <f>HYPERLINK("https://www.youtube.com/watch?v=lOh9uI-UGws&amp;t=38s", "Go to time")</f>
        <v/>
      </c>
    </row>
    <row r="2155">
      <c r="A2155">
        <f>HYPERLINK("https://www.youtube.com/watch?v=R-sqJ0dePoo", "Video")</f>
        <v/>
      </c>
      <c r="B2155" t="inlineStr">
        <is>
          <t>0:02</t>
        </is>
      </c>
      <c r="C2155" t="inlineStr">
        <is>
          <t>just wrap a little bit it's no</t>
        </is>
      </c>
      <c r="D2155">
        <f>HYPERLINK("https://www.youtube.com/watch?v=R-sqJ0dePoo&amp;t=2s", "Go to time")</f>
        <v/>
      </c>
    </row>
    <row r="2156">
      <c r="A2156">
        <f>HYPERLINK("https://www.youtube.com/watch?v=R-sqJ0dePoo", "Video")</f>
        <v/>
      </c>
      <c r="B2156" t="inlineStr">
        <is>
          <t>0:20</t>
        </is>
      </c>
      <c r="C2156" t="inlineStr">
        <is>
          <t>sit don't bite</t>
        </is>
      </c>
      <c r="D2156">
        <f>HYPERLINK("https://www.youtube.com/watch?v=R-sqJ0dePoo&amp;t=20s", "Go to time")</f>
        <v/>
      </c>
    </row>
    <row r="2157">
      <c r="A2157">
        <f>HYPERLINK("https://www.youtube.com/watch?v=_s_55cKycdA", "Video")</f>
        <v/>
      </c>
      <c r="B2157" t="inlineStr">
        <is>
          <t>3:36</t>
        </is>
      </c>
      <c r="C2157" t="inlineStr">
        <is>
          <t>we sure took a bite out of crime tonight</t>
        </is>
      </c>
      <c r="D2157">
        <f>HYPERLINK("https://www.youtube.com/watch?v=_s_55cKycdA&amp;t=216s", "Go to time")</f>
        <v/>
      </c>
    </row>
    <row r="2158">
      <c r="A2158">
        <f>HYPERLINK("https://www.youtube.com/watch?v=_s_55cKycdA", "Video")</f>
        <v/>
      </c>
      <c r="B2158" t="inlineStr">
        <is>
          <t>8:07</t>
        </is>
      </c>
      <c r="C2158" t="inlineStr">
        <is>
          <t>misappropriated miss bitsui's</t>
        </is>
      </c>
      <c r="D2158">
        <f>HYPERLINK("https://www.youtube.com/watch?v=_s_55cKycdA&amp;t=487s", "Go to time")</f>
        <v/>
      </c>
    </row>
    <row r="2159">
      <c r="A2159">
        <f>HYPERLINK("https://www.youtube.com/watch?v=IFt6Dm3UBf8", "Video")</f>
        <v/>
      </c>
      <c r="B2159" t="inlineStr">
        <is>
          <t>2:35</t>
        </is>
      </c>
      <c r="C2159" t="inlineStr">
        <is>
          <t>we sure took a bite out of crime tonight</t>
        </is>
      </c>
      <c r="D2159">
        <f>HYPERLINK("https://www.youtube.com/watch?v=IFt6Dm3UBf8&amp;t=155s", "Go to time")</f>
        <v/>
      </c>
    </row>
    <row r="2160">
      <c r="A2160">
        <f>HYPERLINK("https://www.youtube.com/watch?v=_LlVU-nWTQs", "Video")</f>
        <v/>
      </c>
      <c r="B2160" t="inlineStr">
        <is>
          <t>17:45</t>
        </is>
      </c>
      <c r="C2160" t="inlineStr">
        <is>
          <t>meant this is a mistake it's a bit big</t>
        </is>
      </c>
      <c r="D2160">
        <f>HYPERLINK("https://www.youtube.com/watch?v=_LlVU-nWTQs&amp;t=1065s", "Go to time")</f>
        <v/>
      </c>
    </row>
    <row r="2161">
      <c r="A2161">
        <f>HYPERLINK("https://www.youtube.com/watch?v=PVeTDxCwGLE", "Video")</f>
        <v/>
      </c>
      <c r="B2161" t="inlineStr">
        <is>
          <t>0:27</t>
        </is>
      </c>
      <c r="C2161" t="inlineStr">
        <is>
          <t>and just a little bit</t>
        </is>
      </c>
      <c r="D2161">
        <f>HYPERLINK("https://www.youtube.com/watch?v=PVeTDxCwGLE&amp;t=27s", "Go to time")</f>
        <v/>
      </c>
    </row>
    <row r="2162">
      <c r="A2162">
        <f>HYPERLINK("https://www.youtube.com/watch?v=PVeTDxCwGLE", "Video")</f>
        <v/>
      </c>
      <c r="B2162" t="inlineStr">
        <is>
          <t>0:35</t>
        </is>
      </c>
      <c r="C2162" t="inlineStr">
        <is>
          <t>and just a little bit of rain</t>
        </is>
      </c>
      <c r="D2162">
        <f>HYPERLINK("https://www.youtube.com/watch?v=PVeTDxCwGLE&amp;t=35s", "Go to time")</f>
        <v/>
      </c>
    </row>
    <row r="2163">
      <c r="A2163">
        <f>HYPERLINK("https://www.youtube.com/watch?v=PVeTDxCwGLE", "Video")</f>
        <v/>
      </c>
      <c r="B2163" t="inlineStr">
        <is>
          <t>0:43</t>
        </is>
      </c>
      <c r="C2163" t="inlineStr">
        <is>
          <t>and just a little bit</t>
        </is>
      </c>
      <c r="D2163">
        <f>HYPERLINK("https://www.youtube.com/watch?v=PVeTDxCwGLE&amp;t=43s", "Go to time")</f>
        <v/>
      </c>
    </row>
    <row r="2164">
      <c r="A2164">
        <f>HYPERLINK("https://www.youtube.com/watch?v=ySs3T3tc_bQ", "Video")</f>
        <v/>
      </c>
      <c r="B2164" t="inlineStr">
        <is>
          <t>7:36</t>
        </is>
      </c>
      <c r="C2164" t="inlineStr">
        <is>
          <t>I if I was known but hurt me a bit too</t>
        </is>
      </c>
      <c r="D2164">
        <f>HYPERLINK("https://www.youtube.com/watch?v=ySs3T3tc_bQ&amp;t=456s", "Go to time")</f>
        <v/>
      </c>
    </row>
    <row r="2165">
      <c r="A2165">
        <f>HYPERLINK("https://www.youtube.com/watch?v=ySs3T3tc_bQ", "Video")</f>
        <v/>
      </c>
      <c r="B2165" t="inlineStr">
        <is>
          <t>7:51</t>
        </is>
      </c>
      <c r="C2165" t="inlineStr">
        <is>
          <t>a bit Margarita</t>
        </is>
      </c>
      <c r="D2165">
        <f>HYPERLINK("https://www.youtube.com/watch?v=ySs3T3tc_bQ&amp;t=471s", "Go to time")</f>
        <v/>
      </c>
    </row>
    <row r="2166">
      <c r="A2166">
        <f>HYPERLINK("https://www.youtube.com/watch?v=NDbg6WWsYoc", "Video")</f>
        <v/>
      </c>
      <c r="B2166" t="inlineStr">
        <is>
          <t>0:25</t>
        </is>
      </c>
      <c r="C2166" t="inlineStr">
        <is>
          <t>some bittersweet news to share I'm sorry</t>
        </is>
      </c>
      <c r="D2166">
        <f>HYPERLINK("https://www.youtube.com/watch?v=NDbg6WWsYoc&amp;t=25s", "Go to time")</f>
        <v/>
      </c>
    </row>
    <row r="2167">
      <c r="A2167">
        <f>HYPERLINK("https://www.youtube.com/watch?v=jHJnsHl7mYI", "Video")</f>
        <v/>
      </c>
      <c r="B2167" t="inlineStr">
        <is>
          <t>15:36</t>
        </is>
      </c>
      <c r="C2167" t="inlineStr">
        <is>
          <t>you're a two-bit bus bench lawyer</t>
        </is>
      </c>
      <c r="D2167">
        <f>HYPERLINK("https://www.youtube.com/watch?v=jHJnsHl7mYI&amp;t=936s", "Go to time")</f>
        <v/>
      </c>
    </row>
    <row r="2168">
      <c r="A2168">
        <f>HYPERLINK("https://www.youtube.com/watch?v=cTCp6IIu6DM", "Video")</f>
        <v/>
      </c>
      <c r="B2168" t="inlineStr">
        <is>
          <t>2:03</t>
        </is>
      </c>
      <c r="C2168" t="inlineStr">
        <is>
          <t>the loudest bark with zero bites you</t>
        </is>
      </c>
      <c r="D2168">
        <f>HYPERLINK("https://www.youtube.com/watch?v=cTCp6IIu6DM&amp;t=123s", "Go to time")</f>
        <v/>
      </c>
    </row>
    <row r="2169">
      <c r="A2169">
        <f>HYPERLINK("https://www.youtube.com/watch?v=zVjCYOKPzjg", "Video")</f>
        <v/>
      </c>
      <c r="B2169" t="inlineStr">
        <is>
          <t>2:43</t>
        </is>
      </c>
      <c r="C2169" t="inlineStr">
        <is>
          <t>bitterness yuck so I pull a mild vacuum</t>
        </is>
      </c>
      <c r="D2169">
        <f>HYPERLINK("https://www.youtube.com/watch?v=zVjCYOKPzjg&amp;t=163s", "Go to time")</f>
        <v/>
      </c>
    </row>
    <row r="2170">
      <c r="A2170">
        <f>HYPERLINK("https://www.youtube.com/watch?v=ScsUMSLokSk", "Video")</f>
        <v/>
      </c>
      <c r="B2170" t="inlineStr">
        <is>
          <t>18:01</t>
        </is>
      </c>
      <c r="C2170" t="inlineStr">
        <is>
          <t>we don't bite our</t>
        </is>
      </c>
      <c r="D2170">
        <f>HYPERLINK("https://www.youtube.com/watch?v=ScsUMSLokSk&amp;t=1081s", "Go to time")</f>
        <v/>
      </c>
    </row>
    <row r="2171">
      <c r="A2171">
        <f>HYPERLINK("https://www.youtube.com/watch?v=pyttU8uIwE0", "Video")</f>
        <v/>
      </c>
      <c r="B2171" t="inlineStr">
        <is>
          <t>0:03</t>
        </is>
      </c>
      <c r="C2171" t="inlineStr">
        <is>
          <t>we have had a bit of a</t>
        </is>
      </c>
      <c r="D2171">
        <f>HYPERLINK("https://www.youtube.com/watch?v=pyttU8uIwE0&amp;t=3s", "Go to time")</f>
        <v/>
      </c>
    </row>
    <row r="2172">
      <c r="A2172">
        <f>HYPERLINK("https://www.youtube.com/watch?v=aeDdVJ4dqVA", "Video")</f>
        <v/>
      </c>
      <c r="B2172" t="inlineStr">
        <is>
          <t>1:05</t>
        </is>
      </c>
      <c r="C2172" t="inlineStr">
        <is>
          <t>Abita she drives a car that's a whole</t>
        </is>
      </c>
      <c r="D2172">
        <f>HYPERLINK("https://www.youtube.com/watch?v=aeDdVJ4dqVA&amp;t=65s", "Go to time")</f>
        <v/>
      </c>
    </row>
    <row r="2173">
      <c r="A2173">
        <f>HYPERLINK("https://www.youtube.com/watch?v=wdQ7hug2IG8", "Video")</f>
        <v/>
      </c>
      <c r="B2173" t="inlineStr">
        <is>
          <t>2:04</t>
        </is>
      </c>
      <c r="C2173" t="inlineStr">
        <is>
          <t>my clients exhibiting extremely poor</t>
        </is>
      </c>
      <c r="D2173">
        <f>HYPERLINK("https://www.youtube.com/watch?v=wdQ7hug2IG8&amp;t=124s", "Go to time")</f>
        <v/>
      </c>
    </row>
    <row r="2174">
      <c r="A2174">
        <f>HYPERLINK("https://www.youtube.com/watch?v=MhTdJC_tScg", "Video")</f>
        <v/>
      </c>
      <c r="B2174" t="inlineStr">
        <is>
          <t>12:59</t>
        </is>
      </c>
      <c r="C2174" t="inlineStr">
        <is>
          <t>bits just little bits of bacon just</t>
        </is>
      </c>
      <c r="D2174">
        <f>HYPERLINK("https://www.youtube.com/watch?v=MhTdJC_tScg&amp;t=779s", "Go to time")</f>
        <v/>
      </c>
    </row>
    <row r="2175">
      <c r="A2175">
        <f>HYPERLINK("https://www.youtube.com/watch?v=MhTdJC_tScg", "Video")</f>
        <v/>
      </c>
      <c r="B2175" t="inlineStr">
        <is>
          <t>16:46</t>
        </is>
      </c>
      <c r="C2175" t="inlineStr">
        <is>
          <t>a little bit straight around</t>
        </is>
      </c>
      <c r="D2175">
        <f>HYPERLINK("https://www.youtube.com/watch?v=MhTdJC_tScg&amp;t=1006s", "Go to time")</f>
        <v/>
      </c>
    </row>
    <row r="2176">
      <c r="A2176">
        <f>HYPERLINK("https://www.youtube.com/watch?v=JDdqvbP_7t4", "Video")</f>
        <v/>
      </c>
      <c r="B2176" t="inlineStr">
        <is>
          <t>2:52</t>
        </is>
      </c>
      <c r="C2176" t="inlineStr">
        <is>
          <t>it's a bit Hush Hush at the moment but</t>
        </is>
      </c>
      <c r="D2176">
        <f>HYPERLINK("https://www.youtube.com/watch?v=JDdqvbP_7t4&amp;t=172s", "Go to time")</f>
        <v/>
      </c>
    </row>
    <row r="2177">
      <c r="A2177">
        <f>HYPERLINK("https://www.youtube.com/watch?v=Vgqz8kB1Pxg", "Video")</f>
        <v/>
      </c>
      <c r="B2177" t="inlineStr">
        <is>
          <t>4:33</t>
        </is>
      </c>
      <c r="C2177" t="inlineStr">
        <is>
          <t>it down just for a little bit of</t>
        </is>
      </c>
      <c r="D2177">
        <f>HYPERLINK("https://www.youtube.com/watch?v=Vgqz8kB1Pxg&amp;t=273s", "Go to time")</f>
        <v/>
      </c>
    </row>
    <row r="2178">
      <c r="A2178">
        <f>HYPERLINK("https://www.youtube.com/watch?v=Vgqz8kB1Pxg", "Video")</f>
        <v/>
      </c>
      <c r="B2178" t="inlineStr">
        <is>
          <t>7:56</t>
        </is>
      </c>
      <c r="C2178" t="inlineStr">
        <is>
          <t>always do it's a habit right so it was</t>
        </is>
      </c>
      <c r="D2178">
        <f>HYPERLINK("https://www.youtube.com/watch?v=Vgqz8kB1Pxg&amp;t=476s", "Go to time")</f>
        <v/>
      </c>
    </row>
    <row r="2179">
      <c r="A2179">
        <f>HYPERLINK("https://www.youtube.com/watch?v=dJiKo44QQps", "Video")</f>
        <v/>
      </c>
      <c r="B2179" t="inlineStr">
        <is>
          <t>10:53</t>
        </is>
      </c>
      <c r="C2179" t="inlineStr">
        <is>
          <t>but he was pissed right a little bit</t>
        </is>
      </c>
      <c r="D2179">
        <f>HYPERLINK("https://www.youtube.com/watch?v=dJiKo44QQps&amp;t=653s", "Go to time")</f>
        <v/>
      </c>
    </row>
    <row r="2180">
      <c r="A2180">
        <f>HYPERLINK("https://www.youtube.com/watch?v=dJiKo44QQps", "Video")</f>
        <v/>
      </c>
      <c r="B2180" t="inlineStr">
        <is>
          <t>12:50</t>
        </is>
      </c>
      <c r="C2180" t="inlineStr">
        <is>
          <t>one bit never have never will bottom</t>
        </is>
      </c>
      <c r="D2180">
        <f>HYPERLINK("https://www.youtube.com/watch?v=dJiKo44QQps&amp;t=770s", "Go to time")</f>
        <v/>
      </c>
    </row>
    <row r="2181">
      <c r="A2181">
        <f>HYPERLINK("https://www.youtube.com/watch?v=C4yenXwx7ao", "Video")</f>
        <v/>
      </c>
      <c r="B2181" t="inlineStr">
        <is>
          <t>7:25</t>
        </is>
      </c>
      <c r="C2181" t="inlineStr">
        <is>
          <t>ambitious young woman jimmy meets in the</t>
        </is>
      </c>
      <c r="D2181">
        <f>HYPERLINK("https://www.youtube.com/watch?v=C4yenXwx7ao&amp;t=445s", "Go to time")</f>
        <v/>
      </c>
    </row>
    <row r="2182">
      <c r="A2182">
        <f>HYPERLINK("https://www.youtube.com/watch?v=XQQI72wQjEA", "Video")</f>
        <v/>
      </c>
      <c r="B2182" t="inlineStr">
        <is>
          <t>3:51</t>
        </is>
      </c>
      <c r="C2182" t="inlineStr">
        <is>
          <t>I ain't gonna bite</t>
        </is>
      </c>
      <c r="D2182">
        <f>HYPERLINK("https://www.youtube.com/watch?v=XQQI72wQjEA&amp;t=231s", "Go to time")</f>
        <v/>
      </c>
    </row>
    <row r="2183">
      <c r="A2183">
        <f>HYPERLINK("https://www.youtube.com/watch?v=wIvddp-ASLc", "Video")</f>
        <v/>
      </c>
      <c r="B2183" t="inlineStr">
        <is>
          <t>1:15</t>
        </is>
      </c>
      <c r="C2183" t="inlineStr">
        <is>
          <t>prohibition hey hey back in mcla you</t>
        </is>
      </c>
      <c r="D2183">
        <f>HYPERLINK("https://www.youtube.com/watch?v=wIvddp-ASLc&amp;t=75s", "Go to time")</f>
        <v/>
      </c>
    </row>
    <row r="2184">
      <c r="A2184">
        <f>HYPERLINK("https://www.youtube.com/watch?v=k82Vo4d3-tQ", "Video")</f>
        <v/>
      </c>
      <c r="B2184" t="inlineStr">
        <is>
          <t>2:18</t>
        </is>
      </c>
      <c r="C2184" t="inlineStr">
        <is>
          <t>buzzing around you bite you on the ass</t>
        </is>
      </c>
      <c r="D2184">
        <f>HYPERLINK("https://www.youtube.com/watch?v=k82Vo4d3-tQ&amp;t=138s", "Go to time")</f>
        <v/>
      </c>
    </row>
    <row r="2185">
      <c r="A2185">
        <f>HYPERLINK("https://www.youtube.com/watch?v=-kSTI5yyBM0", "Video")</f>
        <v/>
      </c>
      <c r="B2185" t="inlineStr">
        <is>
          <t>0:10</t>
        </is>
      </c>
      <c r="C2185" t="inlineStr">
        <is>
          <t>i can't eat another bite</t>
        </is>
      </c>
      <c r="D2185">
        <f>HYPERLINK("https://www.youtube.com/watch?v=-kSTI5yyBM0&amp;t=10s", "Go to time")</f>
        <v/>
      </c>
    </row>
    <row r="2186">
      <c r="A2186">
        <f>HYPERLINK("https://www.youtube.com/watch?v=_1Dq59svlIU", "Video")</f>
        <v/>
      </c>
      <c r="B2186" t="inlineStr">
        <is>
          <t>2:01</t>
        </is>
      </c>
      <c r="C2186" t="inlineStr">
        <is>
          <t>took a little bit of time i think the</t>
        </is>
      </c>
      <c r="D2186">
        <f>HYPERLINK("https://www.youtube.com/watch?v=_1Dq59svlIU&amp;t=121s", "Go to time")</f>
        <v/>
      </c>
    </row>
    <row r="2187">
      <c r="A2187">
        <f>HYPERLINK("https://www.youtube.com/watch?v=_1Dq59svlIU", "Video")</f>
        <v/>
      </c>
      <c r="B2187" t="inlineStr">
        <is>
          <t>4:40</t>
        </is>
      </c>
      <c r="C2187" t="inlineStr">
        <is>
          <t>i become a little bit manipulative i get</t>
        </is>
      </c>
      <c r="D2187">
        <f>HYPERLINK("https://www.youtube.com/watch?v=_1Dq59svlIU&amp;t=280s", "Go to time")</f>
        <v/>
      </c>
    </row>
    <row r="2188">
      <c r="A2188">
        <f>HYPERLINK("https://www.youtube.com/watch?v=_1Dq59svlIU", "Video")</f>
        <v/>
      </c>
      <c r="B2188" t="inlineStr">
        <is>
          <t>5:36</t>
        </is>
      </c>
      <c r="C2188" t="inlineStr">
        <is>
          <t>crew but my day will get a bit more</t>
        </is>
      </c>
      <c r="D2188">
        <f>HYPERLINK("https://www.youtube.com/watch?v=_1Dq59svlIU&amp;t=336s", "Go to time")</f>
        <v/>
      </c>
    </row>
    <row r="2189">
      <c r="A2189">
        <f>HYPERLINK("https://www.youtube.com/watch?v=_1Dq59svlIU", "Video")</f>
        <v/>
      </c>
      <c r="B2189" t="inlineStr">
        <is>
          <t>7:57</t>
        </is>
      </c>
      <c r="C2189" t="inlineStr">
        <is>
          <t>gored up and grayed up a bit</t>
        </is>
      </c>
      <c r="D2189">
        <f>HYPERLINK("https://www.youtube.com/watch?v=_1Dq59svlIU&amp;t=477s", "Go to time")</f>
        <v/>
      </c>
    </row>
    <row r="2190">
      <c r="A2190">
        <f>HYPERLINK("https://www.youtube.com/watch?v=_1Dq59svlIU", "Video")</f>
        <v/>
      </c>
      <c r="B2190" t="inlineStr">
        <is>
          <t>8:16</t>
        </is>
      </c>
      <c r="C2190" t="inlineStr">
        <is>
          <t>and we can make a little bit bigger</t>
        </is>
      </c>
      <c r="D2190">
        <f>HYPERLINK("https://www.youtube.com/watch?v=_1Dq59svlIU&amp;t=496s", "Go to time")</f>
        <v/>
      </c>
    </row>
    <row r="2191">
      <c r="A2191">
        <f>HYPERLINK("https://www.youtube.com/watch?v=_1Dq59svlIU", "Video")</f>
        <v/>
      </c>
      <c r="B2191" t="inlineStr">
        <is>
          <t>10:16</t>
        </is>
      </c>
      <c r="C2191" t="inlineStr">
        <is>
          <t>will come out a little bit sideways like</t>
        </is>
      </c>
      <c r="D2191">
        <f>HYPERLINK("https://www.youtube.com/watch?v=_1Dq59svlIU&amp;t=616s", "Go to time")</f>
        <v/>
      </c>
    </row>
    <row r="2192">
      <c r="A2192">
        <f>HYPERLINK("https://www.youtube.com/watch?v=_1Dq59svlIU", "Video")</f>
        <v/>
      </c>
      <c r="B2192" t="inlineStr">
        <is>
          <t>11:00</t>
        </is>
      </c>
      <c r="C2192" t="inlineStr">
        <is>
          <t>you can see a little bit oh that's very</t>
        </is>
      </c>
      <c r="D2192">
        <f>HYPERLINK("https://www.youtube.com/watch?v=_1Dq59svlIU&amp;t=660s", "Go to time")</f>
        <v/>
      </c>
    </row>
    <row r="2193">
      <c r="A2193">
        <f>HYPERLINK("https://www.youtube.com/watch?v=fcLoxIxdogU", "Video")</f>
        <v/>
      </c>
      <c r="B2193" t="inlineStr">
        <is>
          <t>1:09</t>
        </is>
      </c>
      <c r="C2193" t="inlineStr">
        <is>
          <t>bit you really did it what</t>
        </is>
      </c>
      <c r="D2193">
        <f>HYPERLINK("https://www.youtube.com/watch?v=fcLoxIxdogU&amp;t=69s", "Go to time")</f>
        <v/>
      </c>
    </row>
    <row r="2194">
      <c r="A2194">
        <f>HYPERLINK("https://www.youtube.com/watch?v=LFoZR0Ln1h0", "Video")</f>
        <v/>
      </c>
      <c r="B2194" t="inlineStr">
        <is>
          <t>1:50</t>
        </is>
      </c>
      <c r="C2194" t="inlineStr">
        <is>
          <t>always do it's a habit right so it was</t>
        </is>
      </c>
      <c r="D2194">
        <f>HYPERLINK("https://www.youtube.com/watch?v=LFoZR0Ln1h0&amp;t=110s", "Go to time")</f>
        <v/>
      </c>
    </row>
    <row r="2195">
      <c r="A2195">
        <f>HYPERLINK("https://www.youtube.com/watch?v=j-SM3qy7B20", "Video")</f>
        <v/>
      </c>
      <c r="B2195" t="inlineStr">
        <is>
          <t>0:49</t>
        </is>
      </c>
      <c r="C2195" t="inlineStr">
        <is>
          <t>you bite</t>
        </is>
      </c>
      <c r="D2195">
        <f>HYPERLINK("https://www.youtube.com/watch?v=j-SM3qy7B20&amp;t=49s", "Go to time")</f>
        <v/>
      </c>
    </row>
    <row r="2196">
      <c r="A2196">
        <f>HYPERLINK("https://www.youtube.com/watch?v=0Kf3A7b6acE", "Video")</f>
        <v/>
      </c>
      <c r="B2196" t="inlineStr">
        <is>
          <t>4:09</t>
        </is>
      </c>
      <c r="C2196" t="inlineStr">
        <is>
          <t>who bites</t>
        </is>
      </c>
      <c r="D2196">
        <f>HYPERLINK("https://www.youtube.com/watch?v=0Kf3A7b6acE&amp;t=249s", "Go to time")</f>
        <v/>
      </c>
    </row>
    <row r="2197">
      <c r="A2197">
        <f>HYPERLINK("https://www.youtube.com/watch?v=55rxOIcp4hY", "Video")</f>
        <v/>
      </c>
      <c r="B2197" t="inlineStr">
        <is>
          <t>4:35</t>
        </is>
      </c>
      <c r="C2197" t="inlineStr">
        <is>
          <t>who bites every owner he's had</t>
        </is>
      </c>
      <c r="D2197">
        <f>HYPERLINK("https://www.youtube.com/watch?v=55rxOIcp4hY&amp;t=275s", "Go to time")</f>
        <v/>
      </c>
    </row>
    <row r="2198">
      <c r="A2198">
        <f>HYPERLINK("https://www.youtube.com/watch?v=scp7-i6fkVc", "Video")</f>
        <v/>
      </c>
      <c r="B2198" t="inlineStr">
        <is>
          <t>5:45</t>
        </is>
      </c>
      <c r="C2198" t="inlineStr">
        <is>
          <t>bitamin</t>
        </is>
      </c>
      <c r="D2198">
        <f>HYPERLINK("https://www.youtube.com/watch?v=scp7-i6fkVc&amp;t=345s", "Go to time")</f>
        <v/>
      </c>
    </row>
    <row r="2199">
      <c r="A2199">
        <f>HYPERLINK("https://www.youtube.com/watch?v=VhdwIPdjDjM", "Video")</f>
        <v/>
      </c>
      <c r="B2199" t="inlineStr">
        <is>
          <t>4:18</t>
        </is>
      </c>
      <c r="C2199" t="inlineStr">
        <is>
          <t>bit keep in mind he will be well</t>
        </is>
      </c>
      <c r="D2199">
        <f>HYPERLINK("https://www.youtube.com/watch?v=VhdwIPdjDjM&amp;t=258s", "Go to time")</f>
        <v/>
      </c>
    </row>
    <row r="2200">
      <c r="A2200">
        <f>HYPERLINK("https://www.youtube.com/watch?v=TND2oDcbpTc", "Video")</f>
        <v/>
      </c>
      <c r="B2200" t="inlineStr">
        <is>
          <t>12:27</t>
        </is>
      </c>
      <c r="C2200" t="inlineStr">
        <is>
          <t>i don't like waiting one bit never have</t>
        </is>
      </c>
      <c r="D2200">
        <f>HYPERLINK("https://www.youtube.com/watch?v=TND2oDcbpTc&amp;t=747s", "Go to time")</f>
        <v/>
      </c>
    </row>
    <row r="2201">
      <c r="A2201">
        <f>HYPERLINK("https://www.youtube.com/watch?v=t5acRWXF4XY", "Video")</f>
        <v/>
      </c>
      <c r="B2201" t="inlineStr">
        <is>
          <t>3:32</t>
        </is>
      </c>
      <c r="C2201" t="inlineStr">
        <is>
          <t>i did lousy in school i lacked ambition</t>
        </is>
      </c>
      <c r="D2201">
        <f>HYPERLINK("https://www.youtube.com/watch?v=t5acRWXF4XY&amp;t=212s", "Go to time")</f>
        <v/>
      </c>
    </row>
    <row r="2202">
      <c r="A2202">
        <f>HYPERLINK("https://www.youtube.com/watch?v=bnzyjWEyQc8", "Video")</f>
        <v/>
      </c>
      <c r="B2202" t="inlineStr">
        <is>
          <t>1:16</t>
        </is>
      </c>
      <c r="C2202" t="inlineStr">
        <is>
          <t>prohibition hey hey back in mcla you</t>
        </is>
      </c>
      <c r="D2202">
        <f>HYPERLINK("https://www.youtube.com/watch?v=bnzyjWEyQc8&amp;t=76s", "Go to time")</f>
        <v/>
      </c>
    </row>
    <row r="2203">
      <c r="A2203">
        <f>HYPERLINK("https://www.youtube.com/watch?v=bnzyjWEyQc8", "Video")</f>
        <v/>
      </c>
      <c r="B2203" t="inlineStr">
        <is>
          <t>8:14</t>
        </is>
      </c>
      <c r="C2203" t="inlineStr">
        <is>
          <t>sounds a bit Baroque but when you see</t>
        </is>
      </c>
      <c r="D2203">
        <f>HYPERLINK("https://www.youtube.com/watch?v=bnzyjWEyQc8&amp;t=494s", "Go to time")</f>
        <v/>
      </c>
    </row>
    <row r="2204">
      <c r="A2204">
        <f>HYPERLINK("https://www.youtube.com/watch?v=bnzyjWEyQc8", "Video")</f>
        <v/>
      </c>
      <c r="B2204" t="inlineStr">
        <is>
          <t>41:27</t>
        </is>
      </c>
      <c r="C2204" t="inlineStr">
        <is>
          <t>a fair bit um how much cashh uh I don't</t>
        </is>
      </c>
      <c r="D2204">
        <f>HYPERLINK("https://www.youtube.com/watch?v=bnzyjWEyQc8&amp;t=2487s", "Go to time")</f>
        <v/>
      </c>
    </row>
    <row r="2205">
      <c r="A2205">
        <f>HYPERLINK("https://www.youtube.com/watch?v=i_NB9j4axxk", "Video")</f>
        <v/>
      </c>
      <c r="B2205" t="inlineStr">
        <is>
          <t>1:07</t>
        </is>
      </c>
      <c r="C2205" t="inlineStr">
        <is>
          <t>trick he used to do it had a habit</t>
        </is>
      </c>
      <c r="D2205">
        <f>HYPERLINK("https://www.youtube.com/watch?v=i_NB9j4axxk&amp;t=67s", "Go to time")</f>
        <v/>
      </c>
    </row>
    <row r="2206">
      <c r="A2206">
        <f>HYPERLINK("https://www.youtube.com/watch?v=L8L6eU32Dk8", "Video")</f>
        <v/>
      </c>
      <c r="B2206" t="inlineStr">
        <is>
          <t>0:37</t>
        </is>
      </c>
      <c r="C2206" t="inlineStr">
        <is>
          <t>we don't bite no judgments</t>
        </is>
      </c>
      <c r="D2206">
        <f>HYPERLINK("https://www.youtube.com/watch?v=L8L6eU32Dk8&amp;t=37s", "Go to time")</f>
        <v/>
      </c>
    </row>
    <row r="2207">
      <c r="A2207">
        <f>HYPERLINK("https://www.youtube.com/watch?v=XHImphmiPxI", "Video")</f>
        <v/>
      </c>
      <c r="B2207" t="inlineStr">
        <is>
          <t>1:58</t>
        </is>
      </c>
      <c r="C2207" t="inlineStr">
        <is>
          <t>bit no my name's ken by the way</t>
        </is>
      </c>
      <c r="D2207">
        <f>HYPERLINK("https://www.youtube.com/watch?v=XHImphmiPxI&amp;t=118s", "Go to time")</f>
        <v/>
      </c>
    </row>
    <row r="2208">
      <c r="A2208">
        <f>HYPERLINK("https://www.youtube.com/watch?v=XHImphmiPxI", "Video")</f>
        <v/>
      </c>
      <c r="B2208" t="inlineStr">
        <is>
          <t>2:21</t>
        </is>
      </c>
      <c r="C2208" t="inlineStr">
        <is>
          <t>there to just keep it down for a bit</t>
        </is>
      </c>
      <c r="D2208">
        <f>HYPERLINK("https://www.youtube.com/watch?v=XHImphmiPxI&amp;t=141s", "Go to time")</f>
        <v/>
      </c>
    </row>
    <row r="2209">
      <c r="A2209">
        <f>HYPERLINK("https://www.youtube.com/watch?v=7dlhvWgowFk", "Video")</f>
        <v/>
      </c>
      <c r="B2209" t="inlineStr">
        <is>
          <t>1:46</t>
        </is>
      </c>
      <c r="C2209" t="inlineStr">
        <is>
          <t>Clarence darl Saul you're a two-bit bus</t>
        </is>
      </c>
      <c r="D2209">
        <f>HYPERLINK("https://www.youtube.com/watch?v=7dlhvWgowFk&amp;t=106s", "Go to time")</f>
        <v/>
      </c>
    </row>
    <row r="2210">
      <c r="A2210">
        <f>HYPERLINK("https://www.youtube.com/watch?v=bj2GHAWnj0A", "Video")</f>
        <v/>
      </c>
      <c r="B2210" t="inlineStr">
        <is>
          <t>0:42</t>
        </is>
      </c>
      <c r="C2210" t="inlineStr">
        <is>
          <t>maybe chill for a little bit I'm sure</t>
        </is>
      </c>
      <c r="D2210">
        <f>HYPERLINK("https://www.youtube.com/watch?v=bj2GHAWnj0A&amp;t=42s", "Go to time")</f>
        <v/>
      </c>
    </row>
    <row r="2211">
      <c r="A2211">
        <f>HYPERLINK("https://www.youtube.com/watch?v=GY5IpwIcZTo", "Video")</f>
        <v/>
      </c>
      <c r="B2211" t="inlineStr">
        <is>
          <t>5:36</t>
        </is>
      </c>
      <c r="C2211" t="inlineStr">
        <is>
          <t>prohibition hey hey back in MCL you were</t>
        </is>
      </c>
      <c r="D2211">
        <f>HYPERLINK("https://www.youtube.com/watch?v=GY5IpwIcZTo&amp;t=336s", "Go to time")</f>
        <v/>
      </c>
    </row>
    <row r="2212">
      <c r="A2212">
        <f>HYPERLINK("https://www.youtube.com/watch?v=GjIKnpjUZP0", "Video")</f>
        <v/>
      </c>
      <c r="B2212" t="inlineStr">
        <is>
          <t>2:30</t>
        </is>
      </c>
      <c r="C2212" t="inlineStr">
        <is>
          <t>olivia bitsui she's a photographer in</t>
        </is>
      </c>
      <c r="D2212">
        <f>HYPERLINK("https://www.youtube.com/watch?v=GjIKnpjUZP0&amp;t=150s", "Go to time")</f>
        <v/>
      </c>
    </row>
    <row r="2213">
      <c r="A2213">
        <f>HYPERLINK("https://www.youtube.com/watch?v=GjIKnpjUZP0", "Video")</f>
        <v/>
      </c>
      <c r="B2213" t="inlineStr">
        <is>
          <t>2:51</t>
        </is>
      </c>
      <c r="C2213" t="inlineStr">
        <is>
          <t>copy of olivia bitsui's photo a photo</t>
        </is>
      </c>
      <c r="D2213">
        <f>HYPERLINK("https://www.youtube.com/watch?v=GjIKnpjUZP0&amp;t=171s", "Go to time")</f>
        <v/>
      </c>
    </row>
    <row r="2214">
      <c r="A2214">
        <f>HYPERLINK("https://www.youtube.com/watch?v=GjIKnpjUZP0", "Video")</f>
        <v/>
      </c>
      <c r="B2214" t="inlineStr">
        <is>
          <t>3:15</t>
        </is>
      </c>
      <c r="C2214" t="inlineStr">
        <is>
          <t>misappropriated miss bitsui's</t>
        </is>
      </c>
      <c r="D2214">
        <f>HYPERLINK("https://www.youtube.com/watch?v=GjIKnpjUZP0&amp;t=195s", "Go to time")</f>
        <v/>
      </c>
    </row>
    <row r="2215">
      <c r="A2215">
        <f>HYPERLINK("https://www.youtube.com/watch?v=O-DovnJlDNc", "Video")</f>
        <v/>
      </c>
      <c r="B2215" t="inlineStr">
        <is>
          <t>1:14</t>
        </is>
      </c>
      <c r="C2215" t="inlineStr">
        <is>
          <t>rotten you sumbitch sorry you feel that</t>
        </is>
      </c>
      <c r="D2215">
        <f>HYPERLINK("https://www.youtube.com/watch?v=O-DovnJlDNc&amp;t=74s", "Go to time")</f>
        <v/>
      </c>
    </row>
    <row r="2216">
      <c r="A2216">
        <f>HYPERLINK("https://www.youtube.com/watch?v=lG1dHkCN0jQ", "Video")</f>
        <v/>
      </c>
      <c r="B2216" t="inlineStr">
        <is>
          <t>1:48</t>
        </is>
      </c>
      <c r="C2216" t="inlineStr">
        <is>
          <t>you still got a little bit of</t>
        </is>
      </c>
      <c r="D2216">
        <f>HYPERLINK("https://www.youtube.com/watch?v=lG1dHkCN0jQ&amp;t=108s", "Go to time")</f>
        <v/>
      </c>
    </row>
    <row r="2217">
      <c r="A2217">
        <f>HYPERLINK("https://www.youtube.com/watch?v=4gxxSO3rSb0", "Video")</f>
        <v/>
      </c>
      <c r="B2217" t="inlineStr">
        <is>
          <t>2:11</t>
        </is>
      </c>
      <c r="C2217" t="inlineStr">
        <is>
          <t>bedroom pretty bitching</t>
        </is>
      </c>
      <c r="D2217">
        <f>HYPERLINK("https://www.youtube.com/watch?v=4gxxSO3rSb0&amp;t=131s", "Go to time")</f>
        <v/>
      </c>
    </row>
    <row r="2218">
      <c r="A2218">
        <f>HYPERLINK("https://www.youtube.com/watch?v=zxCFzctD-IU", "Video")</f>
        <v/>
      </c>
      <c r="B2218" t="inlineStr">
        <is>
          <t>8:46</t>
        </is>
      </c>
      <c r="C2218" t="inlineStr">
        <is>
          <t>we don't bite no judgments</t>
        </is>
      </c>
      <c r="D2218">
        <f>HYPERLINK("https://www.youtube.com/watch?v=zxCFzctD-IU&amp;t=526s", "Go to time")</f>
        <v/>
      </c>
    </row>
    <row r="2219">
      <c r="A2219">
        <f>HYPERLINK("https://www.youtube.com/watch?v=X76OE_9SF7U", "Video")</f>
        <v/>
      </c>
      <c r="B2219" t="inlineStr">
        <is>
          <t>0:01</t>
        </is>
      </c>
      <c r="C2219" t="inlineStr">
        <is>
          <t>we have had a bit of a</t>
        </is>
      </c>
      <c r="D2219">
        <f>HYPERLINK("https://www.youtube.com/watch?v=X76OE_9SF7U&amp;t=1s", "Go to time")</f>
        <v/>
      </c>
    </row>
    <row r="2220">
      <c r="A2220">
        <f>HYPERLINK("https://www.youtube.com/watch?v=X76OE_9SF7U", "Video")</f>
        <v/>
      </c>
      <c r="B2220" t="inlineStr">
        <is>
          <t>15:27</t>
        </is>
      </c>
      <c r="C2220" t="inlineStr">
        <is>
          <t>chill for a little bit sure the smell is</t>
        </is>
      </c>
      <c r="D2220">
        <f>HYPERLINK("https://www.youtube.com/watch?v=X76OE_9SF7U&amp;t=927s", "Go to time")</f>
        <v/>
      </c>
    </row>
    <row r="2221">
      <c r="A2221">
        <f>HYPERLINK("https://www.youtube.com/watch?v=wRePmzcusJo", "Video")</f>
        <v/>
      </c>
      <c r="B2221" t="inlineStr">
        <is>
          <t>12:58</t>
        </is>
      </c>
      <c r="C2221" t="inlineStr">
        <is>
          <t>none but hear me a bit too it's been</t>
        </is>
      </c>
      <c r="D2221">
        <f>HYPERLINK("https://www.youtube.com/watch?v=wRePmzcusJo&amp;t=778s", "Go to time")</f>
        <v/>
      </c>
    </row>
    <row r="2222">
      <c r="A2222">
        <f>HYPERLINK("https://www.youtube.com/watch?v=-w9mGjSyPog", "Video")</f>
        <v/>
      </c>
      <c r="B2222" t="inlineStr">
        <is>
          <t>16:14</t>
        </is>
      </c>
      <c r="C2222" t="inlineStr">
        <is>
          <t>topic this is Olivia bitsui she's a</t>
        </is>
      </c>
      <c r="D2222">
        <f>HYPERLINK("https://www.youtube.com/watch?v=-w9mGjSyPog&amp;t=974s", "Go to time")</f>
        <v/>
      </c>
    </row>
    <row r="2223">
      <c r="A2223">
        <f>HYPERLINK("https://www.youtube.com/watch?v=0jKiIUkd9Yo", "Video")</f>
        <v/>
      </c>
      <c r="B2223" t="inlineStr">
        <is>
          <t>0:37</t>
        </is>
      </c>
      <c r="C2223" t="inlineStr">
        <is>
          <t>i ain't gonna bite</t>
        </is>
      </c>
      <c r="D2223">
        <f>HYPERLINK("https://www.youtube.com/watch?v=0jKiIUkd9Yo&amp;t=37s", "Go to time")</f>
        <v/>
      </c>
    </row>
    <row r="2224">
      <c r="A2224">
        <f>HYPERLINK("https://www.youtube.com/watch?v=TPpxV8na2yo", "Video")</f>
        <v/>
      </c>
      <c r="B2224" t="inlineStr">
        <is>
          <t>11:22</t>
        </is>
      </c>
      <c r="C2224" t="inlineStr">
        <is>
          <t>ambition I always cut Corners I mean for</t>
        </is>
      </c>
      <c r="D2224">
        <f>HYPERLINK("https://www.youtube.com/watch?v=TPpxV8na2yo&amp;t=682s", "Go to time")</f>
        <v/>
      </c>
    </row>
    <row r="2225">
      <c r="A2225">
        <f>HYPERLINK("https://www.youtube.com/watch?v=uqAq1gSUhkg", "Video")</f>
        <v/>
      </c>
      <c r="B2225" t="inlineStr">
        <is>
          <t>1:22</t>
        </is>
      </c>
      <c r="C2225" t="inlineStr">
        <is>
          <t>duster a fist bite I'm thinking you</t>
        </is>
      </c>
      <c r="D2225">
        <f>HYPERLINK("https://www.youtube.com/watch?v=uqAq1gSUhkg&amp;t=82s", "Go to time")</f>
        <v/>
      </c>
    </row>
    <row r="2226">
      <c r="A2226">
        <f>HYPERLINK("https://www.youtube.com/watch?v=0du6q-gAO8w", "Video")</f>
        <v/>
      </c>
      <c r="B2226" t="inlineStr">
        <is>
          <t>2:37</t>
        </is>
      </c>
      <c r="C2226" t="inlineStr">
        <is>
          <t>you ever seen me exhibit any sign any</t>
        </is>
      </c>
      <c r="D2226">
        <f>HYPERLINK("https://www.youtube.com/watch?v=0du6q-gAO8w&amp;t=157s", "Go to time")</f>
        <v/>
      </c>
    </row>
    <row r="2227">
      <c r="A2227">
        <f>HYPERLINK("https://www.youtube.com/watch?v=aDk9neKA-ew", "Video")</f>
        <v/>
      </c>
      <c r="B2227" t="inlineStr">
        <is>
          <t>0:26</t>
        </is>
      </c>
      <c r="C2227" t="inlineStr">
        <is>
          <t>duster a piss bite I'm thinking you</t>
        </is>
      </c>
      <c r="D2227">
        <f>HYPERLINK("https://www.youtube.com/watch?v=aDk9neKA-ew&amp;t=26s", "Go to time")</f>
        <v/>
      </c>
    </row>
    <row r="2228">
      <c r="A2228">
        <f>HYPERLINK("https://www.youtube.com/watch?v=aDk9neKA-ew", "Video")</f>
        <v/>
      </c>
      <c r="B2228" t="inlineStr">
        <is>
          <t>5:00</t>
        </is>
      </c>
      <c r="C2228" t="inlineStr">
        <is>
          <t>Olivia bitsui she's a photographer in</t>
        </is>
      </c>
      <c r="D2228">
        <f>HYPERLINK("https://www.youtube.com/watch?v=aDk9neKA-ew&amp;t=300s", "Go to time")</f>
        <v/>
      </c>
    </row>
    <row r="2229">
      <c r="A2229">
        <f>HYPERLINK("https://www.youtube.com/watch?v=9ruvD1ADe9w", "Video")</f>
        <v/>
      </c>
      <c r="B2229" t="inlineStr">
        <is>
          <t>3:14</t>
        </is>
      </c>
      <c r="C2229" t="inlineStr">
        <is>
          <t>ambition I always cut Corners I mean for</t>
        </is>
      </c>
      <c r="D2229">
        <f>HYPERLINK("https://www.youtube.com/watch?v=9ruvD1ADe9w&amp;t=194s", "Go to time")</f>
        <v/>
      </c>
    </row>
    <row r="2230">
      <c r="A2230">
        <f>HYPERLINK("https://www.youtube.com/watch?v=D0xqxijYULk", "Video")</f>
        <v/>
      </c>
      <c r="B2230" t="inlineStr">
        <is>
          <t>0:22</t>
        </is>
      </c>
      <c r="C2230" t="inlineStr">
        <is>
          <t>a little bit scared</t>
        </is>
      </c>
      <c r="D2230">
        <f>HYPERLINK("https://www.youtube.com/watch?v=D0xqxijYULk&amp;t=22s", "Go to time")</f>
        <v/>
      </c>
    </row>
    <row r="2231">
      <c r="A2231">
        <f>HYPERLINK("https://www.youtube.com/watch?v=D206oB-_lSw", "Video")</f>
        <v/>
      </c>
      <c r="B2231" t="inlineStr">
        <is>
          <t>2:03</t>
        </is>
      </c>
      <c r="C2231" t="inlineStr">
        <is>
          <t>bitch-slap you till you can't see wow</t>
        </is>
      </c>
      <c r="D2231">
        <f>HYPERLINK("https://www.youtube.com/watch?v=D206oB-_lSw&amp;t=123s", "Go to time")</f>
        <v/>
      </c>
    </row>
    <row r="2232">
      <c r="A2232">
        <f>HYPERLINK("https://www.youtube.com/watch?v=Qv1i-wYHNQ0", "Video")</f>
        <v/>
      </c>
      <c r="B2232" t="inlineStr">
        <is>
          <t>0:54</t>
        </is>
      </c>
      <c r="C2232" t="inlineStr">
        <is>
          <t>expand your thinking a little bit</t>
        </is>
      </c>
      <c r="D2232">
        <f>HYPERLINK("https://www.youtube.com/watch?v=Qv1i-wYHNQ0&amp;t=54s", "Go to time")</f>
        <v/>
      </c>
    </row>
    <row r="2233">
      <c r="A2233">
        <f>HYPERLINK("https://www.youtube.com/watch?v=gESyRUghwKE", "Video")</f>
        <v/>
      </c>
      <c r="B2233" t="inlineStr">
        <is>
          <t>0:34</t>
        </is>
      </c>
      <c r="C2233" t="inlineStr">
        <is>
          <t>expected we're not going to make a habit</t>
        </is>
      </c>
      <c r="D2233">
        <f>HYPERLINK("https://www.youtube.com/watch?v=gESyRUghwKE&amp;t=34s", "Go to time")</f>
        <v/>
      </c>
    </row>
    <row r="2234">
      <c r="A2234">
        <f>HYPERLINK("https://www.youtube.com/watch?v=rFItPUSkrk8", "Video")</f>
        <v/>
      </c>
      <c r="B2234" t="inlineStr">
        <is>
          <t>0:56</t>
        </is>
      </c>
      <c r="C2234" t="inlineStr">
        <is>
          <t>bit I'll I'll catch up with</t>
        </is>
      </c>
      <c r="D2234">
        <f>HYPERLINK("https://www.youtube.com/watch?v=rFItPUSkrk8&amp;t=56s", "Go to time")</f>
        <v/>
      </c>
    </row>
    <row r="2235">
      <c r="A2235">
        <f>HYPERLINK("https://www.youtube.com/watch?v=QI0-d3cCaj4", "Video")</f>
        <v/>
      </c>
      <c r="B2235" t="inlineStr">
        <is>
          <t>3:19</t>
        </is>
      </c>
      <c r="C2235" t="inlineStr">
        <is>
          <t>sounds a bit Baroque but when you see</t>
        </is>
      </c>
      <c r="D2235">
        <f>HYPERLINK("https://www.youtube.com/watch?v=QI0-d3cCaj4&amp;t=199s", "Go to time")</f>
        <v/>
      </c>
    </row>
    <row r="2236">
      <c r="A2236">
        <f>HYPERLINK("https://www.youtube.com/watch?v=dDfGg7LBZRc", "Video")</f>
        <v/>
      </c>
      <c r="B2236" t="inlineStr">
        <is>
          <t>4:00</t>
        </is>
      </c>
      <c r="C2236" t="inlineStr">
        <is>
          <t>just rap a little bit no my name's ken</t>
        </is>
      </c>
      <c r="D2236">
        <f>HYPERLINK("https://www.youtube.com/watch?v=dDfGg7LBZRc&amp;t=240s", "Go to time")</f>
        <v/>
      </c>
    </row>
    <row r="2237">
      <c r="A2237">
        <f>HYPERLINK("https://www.youtube.com/watch?v=dDfGg7LBZRc", "Video")</f>
        <v/>
      </c>
      <c r="B2237" t="inlineStr">
        <is>
          <t>4:20</t>
        </is>
      </c>
      <c r="C2237" t="inlineStr">
        <is>
          <t>i won't bite</t>
        </is>
      </c>
      <c r="D2237">
        <f>HYPERLINK("https://www.youtube.com/watch?v=dDfGg7LBZRc&amp;t=260s", "Go to time")</f>
        <v/>
      </c>
    </row>
    <row r="2238">
      <c r="A2238">
        <f>HYPERLINK("https://www.youtube.com/watch?v=6ErBOaY1yX4", "Video")</f>
        <v/>
      </c>
      <c r="B2238" t="inlineStr">
        <is>
          <t>3:33</t>
        </is>
      </c>
      <c r="C2238" t="inlineStr">
        <is>
          <t>we creep in on gene who exhibits the</t>
        </is>
      </c>
      <c r="D2238">
        <f>HYPERLINK("https://www.youtube.com/watch?v=6ErBOaY1yX4&amp;t=213s", "Go to time")</f>
        <v/>
      </c>
    </row>
    <row r="2239">
      <c r="A2239">
        <f>HYPERLINK("https://www.youtube.com/watch?v=6ErBOaY1yX4", "Video")</f>
        <v/>
      </c>
      <c r="B2239" t="inlineStr">
        <is>
          <t>6:21</t>
        </is>
      </c>
      <c r="C2239" t="inlineStr">
        <is>
          <t>which is that gradually a bit of color</t>
        </is>
      </c>
      <c r="D2239">
        <f>HYPERLINK("https://www.youtube.com/watch?v=6ErBOaY1yX4&amp;t=381s", "Go to time")</f>
        <v/>
      </c>
    </row>
    <row r="2240">
      <c r="A2240">
        <f>HYPERLINK("https://www.youtube.com/watch?v=6ErBOaY1yX4", "Video")</f>
        <v/>
      </c>
      <c r="B2240" t="inlineStr">
        <is>
          <t>29:31</t>
        </is>
      </c>
      <c r="C2240" t="inlineStr">
        <is>
          <t>the moment he has a bit of privacy as</t>
        </is>
      </c>
      <c r="D2240">
        <f>HYPERLINK("https://www.youtube.com/watch?v=6ErBOaY1yX4&amp;t=1771s", "Go to time")</f>
        <v/>
      </c>
    </row>
    <row r="2241">
      <c r="A2241">
        <f>HYPERLINK("https://www.youtube.com/watch?v=6ErBOaY1yX4", "Video")</f>
        <v/>
      </c>
      <c r="B2241" t="inlineStr">
        <is>
          <t>36:01</t>
        </is>
      </c>
      <c r="C2241" t="inlineStr">
        <is>
          <t>little bit of</t>
        </is>
      </c>
      <c r="D2241">
        <f>HYPERLINK("https://www.youtube.com/watch?v=6ErBOaY1yX4&amp;t=2161s", "Go to time")</f>
        <v/>
      </c>
    </row>
    <row r="2242">
      <c r="A2242">
        <f>HYPERLINK("https://www.youtube.com/watch?v=4t2qOTKOWlY", "Video")</f>
        <v/>
      </c>
      <c r="B2242" t="inlineStr">
        <is>
          <t>2:09</t>
        </is>
      </c>
      <c r="C2242" t="inlineStr">
        <is>
          <t>uh it's a bit of a reach don't you think</t>
        </is>
      </c>
      <c r="D2242">
        <f>HYPERLINK("https://www.youtube.com/watch?v=4t2qOTKOWlY&amp;t=129s", "Go to time")</f>
        <v/>
      </c>
    </row>
    <row r="2243">
      <c r="A2243">
        <f>HYPERLINK("https://www.youtube.com/watch?v=mckFFOB6DJY", "Video")</f>
        <v/>
      </c>
      <c r="B2243" t="inlineStr">
        <is>
          <t>0:47</t>
        </is>
      </c>
      <c r="C2243" t="inlineStr">
        <is>
          <t>a fair bit um how much cash uh I don't</t>
        </is>
      </c>
      <c r="D2243">
        <f>HYPERLINK("https://www.youtube.com/watch?v=mckFFOB6DJY&amp;t=47s", "Go to time")</f>
        <v/>
      </c>
    </row>
    <row r="2244">
      <c r="A2244">
        <f>HYPERLINK("https://www.youtube.com/watch?v=8WX47UZmU3A", "Video")</f>
        <v/>
      </c>
      <c r="B2244" t="inlineStr">
        <is>
          <t>1:18</t>
        </is>
      </c>
      <c r="C2244" t="inlineStr">
        <is>
          <t>as you can see I'm in a a bit of a</t>
        </is>
      </c>
      <c r="D2244">
        <f>HYPERLINK("https://www.youtube.com/watch?v=8WX47UZmU3A&amp;t=78s", "Go to time")</f>
        <v/>
      </c>
    </row>
    <row r="2245">
      <c r="A2245">
        <f>HYPERLINK("https://www.youtube.com/watch?v=B0bnsYzJqYk", "Video")</f>
        <v/>
      </c>
      <c r="B2245" t="inlineStr">
        <is>
          <t>1:13</t>
        </is>
      </c>
      <c r="C2245" t="inlineStr">
        <is>
          <t>photographer Olivia bitsui is</t>
        </is>
      </c>
      <c r="D2245">
        <f>HYPERLINK("https://www.youtube.com/watch?v=B0bnsYzJqYk&amp;t=73s", "Go to time")</f>
        <v/>
      </c>
    </row>
    <row r="2246">
      <c r="A2246">
        <f>HYPERLINK("https://www.youtube.com/watch?v=B0bnsYzJqYk", "Video")</f>
        <v/>
      </c>
      <c r="B2246" t="inlineStr">
        <is>
          <t>1:29</t>
        </is>
      </c>
      <c r="C2246" t="inlineStr">
        <is>
          <t>public apology for for Miss bitsuie</t>
        </is>
      </c>
      <c r="D2246">
        <f>HYPERLINK("https://www.youtube.com/watch?v=B0bnsYzJqYk&amp;t=89s", "Go to time")</f>
        <v/>
      </c>
    </row>
    <row r="2247">
      <c r="A2247">
        <f>HYPERLINK("https://www.youtube.com/watch?v=oBQW815_pb0", "Video")</f>
        <v/>
      </c>
      <c r="B2247" t="inlineStr">
        <is>
          <t>1:04</t>
        </is>
      </c>
      <c r="C2247" t="inlineStr">
        <is>
          <t>it a little bit and put wax on the ends</t>
        </is>
      </c>
      <c r="D2247">
        <f>HYPERLINK("https://www.youtube.com/watch?v=oBQW815_pb0&amp;t=64s", "Go to time")</f>
        <v/>
      </c>
    </row>
    <row r="2248">
      <c r="A2248">
        <f>HYPERLINK("https://www.youtube.com/watch?v=oBQW815_pb0", "Video")</f>
        <v/>
      </c>
      <c r="B2248" t="inlineStr">
        <is>
          <t>1:18</t>
        </is>
      </c>
      <c r="C2248" t="inlineStr">
        <is>
          <t>this might take a little bit let's keep</t>
        </is>
      </c>
      <c r="D2248">
        <f>HYPERLINK("https://www.youtube.com/watch?v=oBQW815_pb0&amp;t=78s", "Go to time")</f>
        <v/>
      </c>
    </row>
    <row r="2249">
      <c r="A2249">
        <f>HYPERLINK("https://www.youtube.com/watch?v=RUKDxeLdB2E", "Video")</f>
        <v/>
      </c>
      <c r="B2249" t="inlineStr">
        <is>
          <t>0:08</t>
        </is>
      </c>
      <c r="C2249" t="inlineStr">
        <is>
          <t>rules a wee bit</t>
        </is>
      </c>
      <c r="D2249">
        <f>HYPERLINK("https://www.youtube.com/watch?v=RUKDxeLdB2E&amp;t=8s", "Go to time")</f>
        <v/>
      </c>
    </row>
    <row r="2250">
      <c r="A2250">
        <f>HYPERLINK("https://www.youtube.com/watch?v=qkQDIl8UgQA", "Video")</f>
        <v/>
      </c>
      <c r="B2250" t="inlineStr">
        <is>
          <t>0:52</t>
        </is>
      </c>
      <c r="C2250" t="inlineStr">
        <is>
          <t>just wrap a little bits no my name's</t>
        </is>
      </c>
      <c r="D2250">
        <f>HYPERLINK("https://www.youtube.com/watch?v=qkQDIl8UgQA&amp;t=52s", "Go to time")</f>
        <v/>
      </c>
    </row>
    <row r="2251">
      <c r="A2251">
        <f>HYPERLINK("https://www.youtube.com/watch?v=vnUnT4soGtA", "Video")</f>
        <v/>
      </c>
      <c r="B2251" t="inlineStr">
        <is>
          <t>3:12</t>
        </is>
      </c>
      <c r="C2251" t="inlineStr">
        <is>
          <t>that's so sweet got to admit I'm a bit</t>
        </is>
      </c>
      <c r="D2251">
        <f>HYPERLINK("https://www.youtube.com/watch?v=vnUnT4soGtA&amp;t=192s", "Go to time")</f>
        <v/>
      </c>
    </row>
    <row r="2252">
      <c r="A2252">
        <f>HYPERLINK("https://www.youtube.com/watch?v=vnUnT4soGtA", "Video")</f>
        <v/>
      </c>
      <c r="B2252" t="inlineStr">
        <is>
          <t>6:22</t>
        </is>
      </c>
      <c r="C2252" t="inlineStr">
        <is>
          <t>starting to get a little bit nervous</t>
        </is>
      </c>
      <c r="D2252">
        <f>HYPERLINK("https://www.youtube.com/watch?v=vnUnT4soGtA&amp;t=382s", "Go to time")</f>
        <v/>
      </c>
    </row>
    <row r="2253">
      <c r="A2253">
        <f>HYPERLINK("https://www.youtube.com/watch?v=NLKDm-PW18o", "Video")</f>
        <v/>
      </c>
      <c r="B2253" t="inlineStr">
        <is>
          <t>4:02</t>
        </is>
      </c>
      <c r="C2253" t="inlineStr">
        <is>
          <t>I guess our "buzz"
has faded a bit.</t>
        </is>
      </c>
      <c r="D2253">
        <f>HYPERLINK("https://www.youtube.com/watch?v=NLKDm-PW18o&amp;t=242s", "Go to time")</f>
        <v/>
      </c>
    </row>
    <row r="2254">
      <c r="A2254">
        <f>HYPERLINK("https://www.youtube.com/watch?v=NLKDm-PW18o", "Video")</f>
        <v/>
      </c>
      <c r="B2254" t="inlineStr">
        <is>
          <t>7:01</t>
        </is>
      </c>
      <c r="C2254" t="inlineStr">
        <is>
          <t>[♪ 8-bit instrumental music
playing "Underverse"]</t>
        </is>
      </c>
      <c r="D2254">
        <f>HYPERLINK("https://www.youtube.com/watch?v=NLKDm-PW18o&amp;t=421s", "Go to time")</f>
        <v/>
      </c>
    </row>
    <row r="2255">
      <c r="A2255">
        <f>HYPERLINK("https://www.youtube.com/watch?v=opAd34sohjI", "Video")</f>
        <v/>
      </c>
      <c r="B2255" t="inlineStr">
        <is>
          <t>0:00</t>
        </is>
      </c>
      <c r="C2255" t="inlineStr">
        <is>
          <t>Disney Channel's got a mini bite from</t>
        </is>
      </c>
      <c r="D2255">
        <f>HYPERLINK("https://www.youtube.com/watch?v=opAd34sohjI&amp;t=0s", "Go to time")</f>
        <v/>
      </c>
    </row>
    <row r="2256">
      <c r="A2256">
        <f>HYPERLINK("https://www.youtube.com/watch?v=mXCs-oGMRLY", "Video")</f>
        <v/>
      </c>
      <c r="B2256" t="inlineStr">
        <is>
          <t>1:33</t>
        </is>
      </c>
      <c r="C2256" t="inlineStr">
        <is>
          <t>gorgeous Carson scooch a bit more to the</t>
        </is>
      </c>
      <c r="D2256">
        <f>HYPERLINK("https://www.youtube.com/watch?v=mXCs-oGMRLY&amp;t=93s", "Go to time")</f>
        <v/>
      </c>
    </row>
    <row r="2257">
      <c r="A2257">
        <f>HYPERLINK("https://www.youtube.com/watch?v=86xB9V0_U7w", "Video")</f>
        <v/>
      </c>
      <c r="B2257" t="inlineStr">
        <is>
          <t>7:43</t>
        </is>
      </c>
      <c r="C2257" t="inlineStr">
        <is>
          <t>what isn't that taking it a bit too far</t>
        </is>
      </c>
      <c r="D2257">
        <f>HYPERLINK("https://www.youtube.com/watch?v=86xB9V0_U7w&amp;t=463s", "Go to time")</f>
        <v/>
      </c>
    </row>
    <row r="2258">
      <c r="A2258">
        <f>HYPERLINK("https://www.youtube.com/watch?v=86xB9V0_U7w", "Video")</f>
        <v/>
      </c>
      <c r="B2258" t="inlineStr">
        <is>
          <t>20:50</t>
        </is>
      </c>
      <c r="C2258" t="inlineStr">
        <is>
          <t>apart bit by bit can you actually do</t>
        </is>
      </c>
      <c r="D2258">
        <f>HYPERLINK("https://www.youtube.com/watch?v=86xB9V0_U7w&amp;t=1250s", "Go to time")</f>
        <v/>
      </c>
    </row>
    <row r="2259">
      <c r="A2259">
        <f>HYPERLINK("https://www.youtube.com/watch?v=gpfUQSWmoBk", "Video")</f>
        <v/>
      </c>
      <c r="B2259" t="inlineStr">
        <is>
          <t>0:30</t>
        </is>
      </c>
      <c r="C2259" t="inlineStr">
        <is>
          <t>celebration coming up here in just a bit</t>
        </is>
      </c>
      <c r="D2259">
        <f>HYPERLINK("https://www.youtube.com/watch?v=gpfUQSWmoBk&amp;t=30s", "Go to time")</f>
        <v/>
      </c>
    </row>
    <row r="2260">
      <c r="A2260">
        <f>HYPERLINK("https://www.youtube.com/watch?v=gpfUQSWmoBk", "Video")</f>
        <v/>
      </c>
      <c r="B2260" t="inlineStr">
        <is>
          <t>0:42</t>
        </is>
      </c>
      <c r="C2260" t="inlineStr">
        <is>
          <t>that is happening just a little bit and</t>
        </is>
      </c>
      <c r="D2260">
        <f>HYPERLINK("https://www.youtube.com/watch?v=gpfUQSWmoBk&amp;t=42s", "Go to time")</f>
        <v/>
      </c>
    </row>
    <row r="2261">
      <c r="A2261">
        <f>HYPERLINK("https://www.youtube.com/watch?v=gpfUQSWmoBk", "Video")</f>
        <v/>
      </c>
      <c r="B2261" t="inlineStr">
        <is>
          <t>3:50</t>
        </is>
      </c>
      <c r="C2261" t="inlineStr">
        <is>
          <t>little bit sad this week i know all of</t>
        </is>
      </c>
      <c r="D2261">
        <f>HYPERLINK("https://www.youtube.com/watch?v=gpfUQSWmoBk&amp;t=230s", "Go to time")</f>
        <v/>
      </c>
    </row>
    <row r="2262">
      <c r="A2262">
        <f>HYPERLINK("https://www.youtube.com/watch?v=gpfUQSWmoBk", "Video")</f>
        <v/>
      </c>
      <c r="B2262" t="inlineStr">
        <is>
          <t>3:57</t>
        </is>
      </c>
      <c r="C2262" t="inlineStr">
        <is>
          <t>everybody but just tell me a little bit</t>
        </is>
      </c>
      <c r="D2262">
        <f>HYPERLINK("https://www.youtube.com/watch?v=gpfUQSWmoBk&amp;t=237s", "Go to time")</f>
        <v/>
      </c>
    </row>
    <row r="2263">
      <c r="A2263">
        <f>HYPERLINK("https://www.youtube.com/watch?v=gpfUQSWmoBk", "Video")</f>
        <v/>
      </c>
      <c r="B2263" t="inlineStr">
        <is>
          <t>16:56</t>
        </is>
      </c>
      <c r="C2263" t="inlineStr">
        <is>
          <t>in just a little bit ladies and</t>
        </is>
      </c>
      <c r="D2263">
        <f>HYPERLINK("https://www.youtube.com/watch?v=gpfUQSWmoBk&amp;t=1016s", "Go to time")</f>
        <v/>
      </c>
    </row>
    <row r="2264">
      <c r="A2264">
        <f>HYPERLINK("https://www.youtube.com/watch?v=gpfUQSWmoBk", "Video")</f>
        <v/>
      </c>
      <c r="B2264" t="inlineStr">
        <is>
          <t>19:25</t>
        </is>
      </c>
      <c r="C2264" t="inlineStr">
        <is>
          <t>i'll take a little bit from everybody</t>
        </is>
      </c>
      <c r="D2264">
        <f>HYPERLINK("https://www.youtube.com/watch?v=gpfUQSWmoBk&amp;t=1165s", "Go to time")</f>
        <v/>
      </c>
    </row>
    <row r="2265">
      <c r="A2265">
        <f>HYPERLINK("https://www.youtube.com/watch?v=gpfUQSWmoBk", "Video")</f>
        <v/>
      </c>
      <c r="B2265" t="inlineStr">
        <is>
          <t>23:06</t>
        </is>
      </c>
      <c r="C2265" t="inlineStr">
        <is>
          <t>gonna be up here performing a little bit</t>
        </is>
      </c>
      <c r="D2265">
        <f>HYPERLINK("https://www.youtube.com/watch?v=gpfUQSWmoBk&amp;t=1386s", "Go to time")</f>
        <v/>
      </c>
    </row>
    <row r="2266">
      <c r="A2266">
        <f>HYPERLINK("https://www.youtube.com/watch?v=gpfUQSWmoBk", "Video")</f>
        <v/>
      </c>
      <c r="B2266" t="inlineStr">
        <is>
          <t>23:07</t>
        </is>
      </c>
      <c r="C2266" t="inlineStr">
        <is>
          <t>later on tell us a little bit about your</t>
        </is>
      </c>
      <c r="D2266">
        <f>HYPERLINK("https://www.youtube.com/watch?v=gpfUQSWmoBk&amp;t=1387s", "Go to time")</f>
        <v/>
      </c>
    </row>
    <row r="2267">
      <c r="A2267">
        <f>HYPERLINK("https://www.youtube.com/watch?v=gpfUQSWmoBk", "Video")</f>
        <v/>
      </c>
      <c r="B2267" t="inlineStr">
        <is>
          <t>26:14</t>
        </is>
      </c>
      <c r="C2267" t="inlineStr">
        <is>
          <t>comfort zone a little bit which</t>
        </is>
      </c>
      <c r="D2267">
        <f>HYPERLINK("https://www.youtube.com/watch?v=gpfUQSWmoBk&amp;t=1574s", "Go to time")</f>
        <v/>
      </c>
    </row>
    <row r="2268">
      <c r="A2268">
        <f>HYPERLINK("https://www.youtube.com/watch?v=gpfUQSWmoBk", "Video")</f>
        <v/>
      </c>
      <c r="B2268" t="inlineStr">
        <is>
          <t>27:04</t>
        </is>
      </c>
      <c r="C2268" t="inlineStr">
        <is>
          <t>bit more safe jason you almost made it</t>
        </is>
      </c>
      <c r="D2268">
        <f>HYPERLINK("https://www.youtube.com/watch?v=gpfUQSWmoBk&amp;t=1624s", "Go to time")</f>
        <v/>
      </c>
    </row>
    <row r="2269">
      <c r="A2269">
        <f>HYPERLINK("https://www.youtube.com/watch?v=gpfUQSWmoBk", "Video")</f>
        <v/>
      </c>
      <c r="B2269" t="inlineStr">
        <is>
          <t>31:16</t>
        </is>
      </c>
      <c r="C2269" t="inlineStr">
        <is>
          <t>here in just a little bit oh i'm about</t>
        </is>
      </c>
      <c r="D2269">
        <f>HYPERLINK("https://www.youtube.com/watch?v=gpfUQSWmoBk&amp;t=1876s", "Go to time")</f>
        <v/>
      </c>
    </row>
    <row r="2270">
      <c r="A2270">
        <f>HYPERLINK("https://www.youtube.com/watch?v=Ha1aBfxlf0g", "Video")</f>
        <v/>
      </c>
      <c r="B2270" t="inlineStr">
        <is>
          <t>11:18</t>
        </is>
      </c>
      <c r="C2270" t="inlineStr">
        <is>
          <t>AND PLAY A COUPLE SONGS,
WARM UP THE CROWD A LITTLE BIT.</t>
        </is>
      </c>
      <c r="D2270">
        <f>HYPERLINK("https://www.youtube.com/watch?v=Ha1aBfxlf0g&amp;t=678s", "Go to time")</f>
        <v/>
      </c>
    </row>
    <row r="2271">
      <c r="A2271">
        <f>HYPERLINK("https://www.youtube.com/watch?v=Ha1aBfxlf0g", "Video")</f>
        <v/>
      </c>
      <c r="B2271" t="inlineStr">
        <is>
          <t>11:59</t>
        </is>
      </c>
      <c r="C2271" t="inlineStr">
        <is>
          <t>OKAY, CHILL, GUYS,
THEY'LL BE OUT IN JUST A BIT.</t>
        </is>
      </c>
      <c r="D2271">
        <f>HYPERLINK("https://www.youtube.com/watch?v=Ha1aBfxlf0g&amp;t=719s", "Go to time")</f>
        <v/>
      </c>
    </row>
    <row r="2272">
      <c r="A2272">
        <f>HYPERLINK("https://www.youtube.com/watch?v=BmlvfAZvXlc", "Video")</f>
        <v/>
      </c>
      <c r="B2272" t="inlineStr">
        <is>
          <t>0:02</t>
        </is>
      </c>
      <c r="C2272" t="inlineStr">
        <is>
          <t>bite from Phineas and Ferb good morning</t>
        </is>
      </c>
      <c r="D2272">
        <f>HYPERLINK("https://www.youtube.com/watch?v=BmlvfAZvXlc&amp;t=2s", "Go to time")</f>
        <v/>
      </c>
    </row>
    <row r="2273">
      <c r="A2273">
        <f>HYPERLINK("https://www.youtube.com/watch?v=sGVg4MgHZ20", "Video")</f>
        <v/>
      </c>
      <c r="B2273" t="inlineStr">
        <is>
          <t>0:50</t>
        </is>
      </c>
      <c r="C2273" t="inlineStr">
        <is>
          <t>too what the that's a bit rude oh Tyler</t>
        </is>
      </c>
      <c r="D2273">
        <f>HYPERLINK("https://www.youtube.com/watch?v=sGVg4MgHZ20&amp;t=50s", "Go to time")</f>
        <v/>
      </c>
    </row>
    <row r="2274">
      <c r="A2274">
        <f>HYPERLINK("https://www.youtube.com/watch?v=HsIGTag5cmg", "Video")</f>
        <v/>
      </c>
      <c r="B2274" t="inlineStr">
        <is>
          <t>1:21</t>
        </is>
      </c>
      <c r="C2274" t="inlineStr">
        <is>
          <t>you bite me I'm eating chocolate like</t>
        </is>
      </c>
      <c r="D2274">
        <f>HYPERLINK("https://www.youtube.com/watch?v=HsIGTag5cmg&amp;t=81s", "Go to time")</f>
        <v/>
      </c>
    </row>
    <row r="2275">
      <c r="A2275">
        <f>HYPERLINK("https://www.youtube.com/watch?v=HsIGTag5cmg", "Video")</f>
        <v/>
      </c>
      <c r="B2275" t="inlineStr">
        <is>
          <t>1:41</t>
        </is>
      </c>
      <c r="C2275" t="inlineStr">
        <is>
          <t>it it didn't go crazy it just bitter oh</t>
        </is>
      </c>
      <c r="D2275">
        <f>HYPERLINK("https://www.youtube.com/watch?v=HsIGTag5cmg&amp;t=101s", "Go to time")</f>
        <v/>
      </c>
    </row>
    <row r="2276">
      <c r="A2276">
        <f>HYPERLINK("https://www.youtube.com/watch?v=HsIGTag5cmg", "Video")</f>
        <v/>
      </c>
      <c r="B2276" t="inlineStr">
        <is>
          <t>1:50</t>
        </is>
      </c>
      <c r="C2276" t="inlineStr">
        <is>
          <t>great with my eyes can I have a bite to</t>
        </is>
      </c>
      <c r="D2276">
        <f>HYPERLINK("https://www.youtube.com/watch?v=HsIGTag5cmg&amp;t=110s", "Go to time")</f>
        <v/>
      </c>
    </row>
    <row r="2277">
      <c r="A2277">
        <f>HYPERLINK("https://www.youtube.com/watch?v=HsIGTag5cmg", "Video")</f>
        <v/>
      </c>
      <c r="B2277" t="inlineStr">
        <is>
          <t>5:11</t>
        </is>
      </c>
      <c r="C2277" t="inlineStr">
        <is>
          <t>orbitor</t>
        </is>
      </c>
      <c r="D2277">
        <f>HYPERLINK("https://www.youtube.com/watch?v=HsIGTag5cmg&amp;t=311s", "Go to time")</f>
        <v/>
      </c>
    </row>
    <row r="2278">
      <c r="A2278">
        <f>HYPERLINK("https://www.youtube.com/watch?v=qnRNAeVoG84", "Video")</f>
        <v/>
      </c>
      <c r="B2278" t="inlineStr">
        <is>
          <t>0:02</t>
        </is>
      </c>
      <c r="C2278" t="inlineStr">
        <is>
          <t>bite from jesse right now</t>
        </is>
      </c>
      <c r="D2278">
        <f>HYPERLINK("https://www.youtube.com/watch?v=qnRNAeVoG84&amp;t=2s", "Go to time")</f>
        <v/>
      </c>
    </row>
    <row r="2279">
      <c r="A2279">
        <f>HYPERLINK("https://www.youtube.com/watch?v=vlb_DR7_Z4k", "Video")</f>
        <v/>
      </c>
      <c r="B2279" t="inlineStr">
        <is>
          <t>1:00</t>
        </is>
      </c>
      <c r="C2279" t="inlineStr">
        <is>
          <t>it takes the pressure off a little bit i</t>
        </is>
      </c>
      <c r="D2279">
        <f>HYPERLINK("https://www.youtube.com/watch?v=vlb_DR7_Z4k&amp;t=60s", "Go to time")</f>
        <v/>
      </c>
    </row>
    <row r="2280">
      <c r="A2280">
        <f>HYPERLINK("https://www.youtube.com/watch?v=wYO2Z0w-XGE", "Video")</f>
        <v/>
      </c>
      <c r="B2280" t="inlineStr">
        <is>
          <t>0:00</t>
        </is>
      </c>
      <c r="C2280" t="inlineStr">
        <is>
          <t>here's a disney channel mini bite from</t>
        </is>
      </c>
      <c r="D2280">
        <f>HYPERLINK("https://www.youtube.com/watch?v=wYO2Z0w-XGE&amp;t=0s", "Go to time")</f>
        <v/>
      </c>
    </row>
    <row r="2281">
      <c r="A2281">
        <f>HYPERLINK("https://www.youtube.com/watch?v=ywhFSvwA3uw", "Video")</f>
        <v/>
      </c>
      <c r="B2281" t="inlineStr">
        <is>
          <t>0:41</t>
        </is>
      </c>
      <c r="C2281" t="inlineStr">
        <is>
          <t>celebration here in just a little bit of</t>
        </is>
      </c>
      <c r="D2281">
        <f>HYPERLINK("https://www.youtube.com/watch?v=ywhFSvwA3uw&amp;t=41s", "Go to time")</f>
        <v/>
      </c>
    </row>
    <row r="2282">
      <c r="A2282">
        <f>HYPERLINK("https://www.youtube.com/watch?v=ywhFSvwA3uw", "Video")</f>
        <v/>
      </c>
      <c r="B2282" t="inlineStr">
        <is>
          <t>0:49</t>
        </is>
      </c>
      <c r="C2282" t="inlineStr">
        <is>
          <t>this stage in just a little bit some of</t>
        </is>
      </c>
      <c r="D2282">
        <f>HYPERLINK("https://www.youtube.com/watch?v=ywhFSvwA3uw&amp;t=49s", "Go to time")</f>
        <v/>
      </c>
    </row>
    <row r="2283">
      <c r="A2283">
        <f>HYPERLINK("https://www.youtube.com/watch?v=ywhFSvwA3uw", "Video")</f>
        <v/>
      </c>
      <c r="B2283" t="inlineStr">
        <is>
          <t>1:57</t>
        </is>
      </c>
      <c r="C2283" t="inlineStr">
        <is>
          <t>for a little bit enjoy the day it is</t>
        </is>
      </c>
      <c r="D2283">
        <f>HYPERLINK("https://www.youtube.com/watch?v=ywhFSvwA3uw&amp;t=117s", "Go to time")</f>
        <v/>
      </c>
    </row>
    <row r="2284">
      <c r="A2284">
        <f>HYPERLINK("https://www.youtube.com/watch?v=ywhFSvwA3uw", "Video")</f>
        <v/>
      </c>
      <c r="B2284" t="inlineStr">
        <is>
          <t>2:48</t>
        </is>
      </c>
      <c r="C2284" t="inlineStr">
        <is>
          <t>tell me a little bit about what it's</t>
        </is>
      </c>
      <c r="D2284">
        <f>HYPERLINK("https://www.youtube.com/watch?v=ywhFSvwA3uw&amp;t=168s", "Go to time")</f>
        <v/>
      </c>
    </row>
    <row r="2285">
      <c r="A2285">
        <f>HYPERLINK("https://www.youtube.com/watch?v=ywhFSvwA3uw", "Video")</f>
        <v/>
      </c>
      <c r="B2285" t="inlineStr">
        <is>
          <t>5:15</t>
        </is>
      </c>
      <c r="C2285" t="inlineStr">
        <is>
          <t>character a little bit more yeah you get</t>
        </is>
      </c>
      <c r="D2285">
        <f>HYPERLINK("https://www.youtube.com/watch?v=ywhFSvwA3uw&amp;t=315s", "Go to time")</f>
        <v/>
      </c>
    </row>
    <row r="2286">
      <c r="A2286">
        <f>HYPERLINK("https://www.youtube.com/watch?v=ywhFSvwA3uw", "Video")</f>
        <v/>
      </c>
      <c r="B2286" t="inlineStr">
        <is>
          <t>6:17</t>
        </is>
      </c>
      <c r="C2286" t="inlineStr">
        <is>
          <t>competitive yeah pretty ambitious</t>
        </is>
      </c>
      <c r="D2286">
        <f>HYPERLINK("https://www.youtube.com/watch?v=ywhFSvwA3uw&amp;t=377s", "Go to time")</f>
        <v/>
      </c>
    </row>
    <row r="2287">
      <c r="A2287">
        <f>HYPERLINK("https://www.youtube.com/watch?v=ywhFSvwA3uw", "Video")</f>
        <v/>
      </c>
      <c r="B2287" t="inlineStr">
        <is>
          <t>7:03</t>
        </is>
      </c>
      <c r="C2287" t="inlineStr">
        <is>
          <t>rehearsal tell us a little bit about how</t>
        </is>
      </c>
      <c r="D2287">
        <f>HYPERLINK("https://www.youtube.com/watch?v=ywhFSvwA3uw&amp;t=423s", "Go to time")</f>
        <v/>
      </c>
    </row>
    <row r="2288">
      <c r="A2288">
        <f>HYPERLINK("https://www.youtube.com/watch?v=ywhFSvwA3uw", "Video")</f>
        <v/>
      </c>
      <c r="B2288" t="inlineStr">
        <is>
          <t>14:47</t>
        </is>
      </c>
      <c r="C2288" t="inlineStr">
        <is>
          <t>you in just a little bit all right thank</t>
        </is>
      </c>
      <c r="D2288">
        <f>HYPERLINK("https://www.youtube.com/watch?v=ywhFSvwA3uw&amp;t=887s", "Go to time")</f>
        <v/>
      </c>
    </row>
    <row r="2289">
      <c r="A2289">
        <f>HYPERLINK("https://www.youtube.com/watch?v=ywhFSvwA3uw", "Video")</f>
        <v/>
      </c>
      <c r="B2289" t="inlineStr">
        <is>
          <t>16:24</t>
        </is>
      </c>
      <c r="C2289" t="inlineStr">
        <is>
          <t>fans a little bit about what it's like</t>
        </is>
      </c>
      <c r="D2289">
        <f>HYPERLINK("https://www.youtube.com/watch?v=ywhFSvwA3uw&amp;t=984s", "Go to time")</f>
        <v/>
      </c>
    </row>
    <row r="2290">
      <c r="A2290">
        <f>HYPERLINK("https://www.youtube.com/watch?v=ywhFSvwA3uw", "Video")</f>
        <v/>
      </c>
      <c r="B2290" t="inlineStr">
        <is>
          <t>16:44</t>
        </is>
      </c>
      <c r="C2290" t="inlineStr">
        <is>
          <t>bit about the new campers okay so</t>
        </is>
      </c>
      <c r="D2290">
        <f>HYPERLINK("https://www.youtube.com/watch?v=ywhFSvwA3uw&amp;t=1004s", "Go to time")</f>
        <v/>
      </c>
    </row>
    <row r="2291">
      <c r="A2291">
        <f>HYPERLINK("https://www.youtube.com/watch?v=hm0uQPCliQw", "Video")</f>
        <v/>
      </c>
      <c r="B2291" t="inlineStr">
        <is>
          <t>0:13</t>
        </is>
      </c>
      <c r="C2291" t="inlineStr">
        <is>
          <t>new fat gear hit the gym a little bit</t>
        </is>
      </c>
      <c r="D2291">
        <f>HYPERLINK("https://www.youtube.com/watch?v=hm0uQPCliQw&amp;t=13s", "Go to time")</f>
        <v/>
      </c>
    </row>
    <row r="2292">
      <c r="A2292">
        <f>HYPERLINK("https://www.youtube.com/watch?v=5T6tgcosb9M", "Video")</f>
        <v/>
      </c>
      <c r="B2292" t="inlineStr">
        <is>
          <t>0:23</t>
        </is>
      </c>
      <c r="C2292" t="inlineStr">
        <is>
          <t>a little bit I think he still his fun</t>
        </is>
      </c>
      <c r="D2292">
        <f>HYPERLINK("https://www.youtube.com/watch?v=5T6tgcosb9M&amp;t=23s", "Go to time")</f>
        <v/>
      </c>
    </row>
    <row r="2293">
      <c r="A2293">
        <f>HYPERLINK("https://www.youtube.com/watch?v=fgmFhjAaWFQ", "Video")</f>
        <v/>
      </c>
      <c r="B2293" t="inlineStr">
        <is>
          <t>1:14</t>
        </is>
      </c>
      <c r="C2293" t="inlineStr">
        <is>
          <t>a bit young to be toy designers well I</t>
        </is>
      </c>
      <c r="D2293">
        <f>HYPERLINK("https://www.youtube.com/watch?v=fgmFhjAaWFQ&amp;t=74s", "Go to time")</f>
        <v/>
      </c>
    </row>
    <row r="2294">
      <c r="A2294">
        <f>HYPERLINK("https://www.youtube.com/watch?v=fgmFhjAaWFQ", "Video")</f>
        <v/>
      </c>
      <c r="B2294" t="inlineStr">
        <is>
          <t>2:30</t>
        </is>
      </c>
      <c r="C2294" t="inlineStr">
        <is>
          <t>about and they had a bit of a butchers</t>
        </is>
      </c>
      <c r="D2294">
        <f>HYPERLINK("https://www.youtube.com/watch?v=fgmFhjAaWFQ&amp;t=150s", "Go to time")</f>
        <v/>
      </c>
    </row>
    <row r="2295">
      <c r="A2295">
        <f>HYPERLINK("https://www.youtube.com/watch?v=fgmFhjAaWFQ", "Video")</f>
        <v/>
      </c>
      <c r="B2295" t="inlineStr">
        <is>
          <t>2:35</t>
        </is>
      </c>
      <c r="C2295" t="inlineStr">
        <is>
          <t>o aren't they a bit harsh for them kind</t>
        </is>
      </c>
      <c r="D2295">
        <f>HYPERLINK("https://www.youtube.com/watch?v=fgmFhjAaWFQ&amp;t=155s", "Go to time")</f>
        <v/>
      </c>
    </row>
    <row r="2296">
      <c r="A2296">
        <f>HYPERLINK("https://www.youtube.com/watch?v=fgmFhjAaWFQ", "Video")</f>
        <v/>
      </c>
      <c r="B2296" t="inlineStr">
        <is>
          <t>3:56</t>
        </is>
      </c>
      <c r="C2296" t="inlineStr">
        <is>
          <t>it just me or does he look a little bit</t>
        </is>
      </c>
      <c r="D2296">
        <f>HYPERLINK("https://www.youtube.com/watch?v=fgmFhjAaWFQ&amp;t=236s", "Go to time")</f>
        <v/>
      </c>
    </row>
    <row r="2297">
      <c r="A2297">
        <f>HYPERLINK("https://www.youtube.com/watch?v=fgmFhjAaWFQ", "Video")</f>
        <v/>
      </c>
      <c r="B2297" t="inlineStr">
        <is>
          <t>5:51</t>
        </is>
      </c>
      <c r="C2297" t="inlineStr">
        <is>
          <t>ambitious a little bigger than his</t>
        </is>
      </c>
      <c r="D2297">
        <f>HYPERLINK("https://www.youtube.com/watch?v=fgmFhjAaWFQ&amp;t=351s", "Go to time")</f>
        <v/>
      </c>
    </row>
    <row r="2298">
      <c r="A2298">
        <f>HYPERLINK("https://www.youtube.com/watch?v=ZJMiF1cfSdI", "Video")</f>
        <v/>
      </c>
      <c r="B2298" t="inlineStr">
        <is>
          <t>0:29</t>
        </is>
      </c>
      <c r="C2298" t="inlineStr">
        <is>
          <t>bit except no it wouldn't because i have</t>
        </is>
      </c>
      <c r="D2298">
        <f>HYPERLINK("https://www.youtube.com/watch?v=ZJMiF1cfSdI&amp;t=29s", "Go to time")</f>
        <v/>
      </c>
    </row>
    <row r="2299">
      <c r="A2299">
        <f>HYPERLINK("https://www.youtube.com/watch?v=KOnoaTd13os", "Video")</f>
        <v/>
      </c>
      <c r="B2299" t="inlineStr">
        <is>
          <t>0:15</t>
        </is>
      </c>
      <c r="C2299" t="inlineStr">
        <is>
          <t>Sailor Twift always
includes tidbits</t>
        </is>
      </c>
      <c r="D2299">
        <f>HYPERLINK("https://www.youtube.com/watch?v=KOnoaTd13os&amp;t=15s", "Go to time")</f>
        <v/>
      </c>
    </row>
    <row r="2300">
      <c r="A2300">
        <f>HYPERLINK("https://www.youtube.com/watch?v=bdqrXVz_k4Y", "Video")</f>
        <v/>
      </c>
      <c r="B2300" t="inlineStr">
        <is>
          <t>0:27</t>
        </is>
      </c>
      <c r="C2300" t="inlineStr">
        <is>
          <t>- Do you want a snack?
- I'd have a bite of something,</t>
        </is>
      </c>
      <c r="D2300">
        <f>HYPERLINK("https://www.youtube.com/watch?v=bdqrXVz_k4Y&amp;t=27s", "Go to time")</f>
        <v/>
      </c>
    </row>
    <row r="2301">
      <c r="A2301">
        <f>HYPERLINK("https://www.youtube.com/watch?v=xZ-WtR9tV-I", "Video")</f>
        <v/>
      </c>
      <c r="B2301" t="inlineStr">
        <is>
          <t>0:37</t>
        </is>
      </c>
      <c r="C2301" t="inlineStr">
        <is>
          <t>little bit of a light start our sources</t>
        </is>
      </c>
      <c r="D2301">
        <f>HYPERLINK("https://www.youtube.com/watch?v=xZ-WtR9tV-I&amp;t=37s", "Go to time")</f>
        <v/>
      </c>
    </row>
    <row r="2302">
      <c r="A2302">
        <f>HYPERLINK("https://www.youtube.com/watch?v=GLNPEx_lBg8", "Video")</f>
        <v/>
      </c>
      <c r="B2302" t="inlineStr">
        <is>
          <t>0:15</t>
        </is>
      </c>
      <c r="C2302" t="inlineStr">
        <is>
          <t>into a little bit of a bit of trouble</t>
        </is>
      </c>
      <c r="D2302">
        <f>HYPERLINK("https://www.youtube.com/watch?v=GLNPEx_lBg8&amp;t=15s", "Go to time")</f>
        <v/>
      </c>
    </row>
    <row r="2303">
      <c r="A2303">
        <f>HYPERLINK("https://www.youtube.com/watch?v=GLNPEx_lBg8", "Video")</f>
        <v/>
      </c>
      <c r="B2303" t="inlineStr">
        <is>
          <t>0:27</t>
        </is>
      </c>
      <c r="C2303" t="inlineStr">
        <is>
          <t>activities I'm gonna be a little bit of</t>
        </is>
      </c>
      <c r="D2303">
        <f>HYPERLINK("https://www.youtube.com/watch?v=GLNPEx_lBg8&amp;t=27s", "Go to time")</f>
        <v/>
      </c>
    </row>
    <row r="2304">
      <c r="A2304">
        <f>HYPERLINK("https://www.youtube.com/watch?v=GLNPEx_lBg8", "Video")</f>
        <v/>
      </c>
      <c r="B2304" t="inlineStr">
        <is>
          <t>1:10</t>
        </is>
      </c>
      <c r="C2304" t="inlineStr">
        <is>
          <t>bit of fizzy chick faces</t>
        </is>
      </c>
      <c r="D2304">
        <f>HYPERLINK("https://www.youtube.com/watch?v=GLNPEx_lBg8&amp;t=70s", "Go to time")</f>
        <v/>
      </c>
    </row>
    <row r="2305">
      <c r="A2305">
        <f>HYPERLINK("https://www.youtube.com/watch?v=qjdfDd5IA2M", "Video")</f>
        <v/>
      </c>
      <c r="B2305" t="inlineStr">
        <is>
          <t>2:53</t>
        </is>
      </c>
      <c r="C2305" t="inlineStr">
        <is>
          <t>but is no one else
even a little bit concerned</t>
        </is>
      </c>
      <c r="D2305">
        <f>HYPERLINK("https://www.youtube.com/watch?v=qjdfDd5IA2M&amp;t=173s", "Go to time")</f>
        <v/>
      </c>
    </row>
    <row r="2306">
      <c r="A2306">
        <f>HYPERLINK("https://www.youtube.com/watch?v=lIFa8peE2_8", "Video")</f>
        <v/>
      </c>
      <c r="B2306" t="inlineStr">
        <is>
          <t>1:24</t>
        </is>
      </c>
      <c r="C2306" t="inlineStr">
        <is>
          <t>be a little bit scary</t>
        </is>
      </c>
      <c r="D2306">
        <f>HYPERLINK("https://www.youtube.com/watch?v=lIFa8peE2_8&amp;t=84s", "Go to time")</f>
        <v/>
      </c>
    </row>
    <row r="2307">
      <c r="A2307">
        <f>HYPERLINK("https://www.youtube.com/watch?v=--_wPGbUGt0", "Video")</f>
        <v/>
      </c>
      <c r="B2307" t="inlineStr">
        <is>
          <t>0:27</t>
        </is>
      </c>
      <c r="C2307" t="inlineStr">
        <is>
          <t>feeling a bit lonely without you and I'm</t>
        </is>
      </c>
      <c r="D2307">
        <f>HYPERLINK("https://www.youtube.com/watch?v=--_wPGbUGt0&amp;t=27s", "Go to time")</f>
        <v/>
      </c>
    </row>
    <row r="2308">
      <c r="A2308">
        <f>HYPERLINK("https://www.youtube.com/watch?v=TJnZTOEtQfQ", "Video")</f>
        <v/>
      </c>
      <c r="B2308" t="inlineStr">
        <is>
          <t>1:36</t>
        </is>
      </c>
      <c r="C2308" t="inlineStr">
        <is>
          <t>I--you need to make sure
it crumbles just a little bit.</t>
        </is>
      </c>
      <c r="D2308">
        <f>HYPERLINK("https://www.youtube.com/watch?v=TJnZTOEtQfQ&amp;t=96s", "Go to time")</f>
        <v/>
      </c>
    </row>
    <row r="2309">
      <c r="A2309">
        <f>HYPERLINK("https://www.youtube.com/watch?v=TJnZTOEtQfQ", "Video")</f>
        <v/>
      </c>
      <c r="B2309" t="inlineStr">
        <is>
          <t>3:49</t>
        </is>
      </c>
      <c r="C2309" t="inlineStr">
        <is>
          <t>and she's gonna enjoy
every bit of this cake.</t>
        </is>
      </c>
      <c r="D2309">
        <f>HYPERLINK("https://www.youtube.com/watch?v=TJnZTOEtQfQ&amp;t=229s", "Go to time")</f>
        <v/>
      </c>
    </row>
    <row r="2310">
      <c r="A2310">
        <f>HYPERLINK("https://www.youtube.com/watch?v=_b013vbcgk0", "Video")</f>
        <v/>
      </c>
      <c r="B2310" t="inlineStr">
        <is>
          <t>4:45</t>
        </is>
      </c>
      <c r="C2310" t="inlineStr">
        <is>
          <t>draw po itty bitty baby legs baby legs</t>
        </is>
      </c>
      <c r="D2310">
        <f>HYPERLINK("https://www.youtube.com/watch?v=_b013vbcgk0&amp;t=285s", "Go to time")</f>
        <v/>
      </c>
    </row>
    <row r="2311">
      <c r="A2311">
        <f>HYPERLINK("https://www.youtube.com/watch?v=Cvc28Ia3PuM", "Video")</f>
        <v/>
      </c>
      <c r="B2311" t="inlineStr">
        <is>
          <t>1:49</t>
        </is>
      </c>
      <c r="C2311" t="inlineStr">
        <is>
          <t>man students this may come as a bit of a</t>
        </is>
      </c>
      <c r="D2311">
        <f>HYPERLINK("https://www.youtube.com/watch?v=Cvc28Ia3PuM&amp;t=109s", "Go to time")</f>
        <v/>
      </c>
    </row>
    <row r="2312">
      <c r="A2312">
        <f>HYPERLINK("https://www.youtube.com/watch?v=ShMlaWwLDio", "Video")</f>
        <v/>
      </c>
      <c r="B2312" t="inlineStr">
        <is>
          <t>0:13</t>
        </is>
      </c>
      <c r="C2312" t="inlineStr">
        <is>
          <t>REAL RABBIT.
DUPLICATE...RABBIT.</t>
        </is>
      </c>
      <c r="D2312">
        <f>HYPERLINK("https://www.youtube.com/watch?v=ShMlaWwLDio&amp;t=13s", "Go to time")</f>
        <v/>
      </c>
    </row>
    <row r="2313">
      <c r="A2313">
        <f>HYPERLINK("https://www.youtube.com/watch?v=ShMlaWwLDio", "Video")</f>
        <v/>
      </c>
      <c r="B2313" t="inlineStr">
        <is>
          <t>0:15</t>
        </is>
      </c>
      <c r="C2313" t="inlineStr">
        <is>
          <t>DUPLICATE RABBIT.
REAL...</t>
        </is>
      </c>
      <c r="D2313">
        <f>HYPERLINK("https://www.youtube.com/watch?v=ShMlaWwLDio&amp;t=15s", "Go to time")</f>
        <v/>
      </c>
    </row>
    <row r="2314">
      <c r="A2314">
        <f>HYPERLINK("https://www.youtube.com/watch?v=ShMlaWwLDio", "Video")</f>
        <v/>
      </c>
      <c r="B2314" t="inlineStr">
        <is>
          <t>0:20</t>
        </is>
      </c>
      <c r="C2314" t="inlineStr">
        <is>
          <t>WHAT'S THE BIG DEAL?
THEY'RE RABBITS.</t>
        </is>
      </c>
      <c r="D2314">
        <f>HYPERLINK("https://www.youtube.com/watch?v=ShMlaWwLDio&amp;t=20s", "Go to time")</f>
        <v/>
      </c>
    </row>
    <row r="2315">
      <c r="A2315">
        <f>HYPERLINK("https://www.youtube.com/watch?v=ShMlaWwLDio", "Video")</f>
        <v/>
      </c>
      <c r="B2315" t="inlineStr">
        <is>
          <t>0:35</t>
        </is>
      </c>
      <c r="C2315" t="inlineStr">
        <is>
          <t>I'VE ALWAYS WANTED
A GUARD RABBIT.</t>
        </is>
      </c>
      <c r="D2315">
        <f>HYPERLINK("https://www.youtube.com/watch?v=ShMlaWwLDio&amp;t=35s", "Go to time")</f>
        <v/>
      </c>
    </row>
    <row r="2316">
      <c r="A2316">
        <f>HYPERLINK("https://www.youtube.com/watch?v=ShMlaWwLDio", "Video")</f>
        <v/>
      </c>
      <c r="B2316" t="inlineStr">
        <is>
          <t>8:48</t>
        </is>
      </c>
      <c r="C2316" t="inlineStr">
        <is>
          <t>YOUR STUPID
BARKING RABBIT.</t>
        </is>
      </c>
      <c r="D2316">
        <f>HYPERLINK("https://www.youtube.com/watch?v=ShMlaWwLDio&amp;t=528s", "Go to time")</f>
        <v/>
      </c>
    </row>
    <row r="2317">
      <c r="A2317">
        <f>HYPERLINK("https://www.youtube.com/watch?v=3fnjuFdeW98", "Video")</f>
        <v/>
      </c>
      <c r="B2317" t="inlineStr">
        <is>
          <t>0:53</t>
        </is>
      </c>
      <c r="C2317" t="inlineStr">
        <is>
          <t>why are you biting me you food humans</t>
        </is>
      </c>
      <c r="D2317">
        <f>HYPERLINK("https://www.youtube.com/watch?v=3fnjuFdeW98&amp;t=53s", "Go to time")</f>
        <v/>
      </c>
    </row>
    <row r="2318">
      <c r="A2318">
        <f>HYPERLINK("https://www.youtube.com/watch?v=93yxvoc-tHg", "Video")</f>
        <v/>
      </c>
      <c r="B2318" t="inlineStr">
        <is>
          <t>23:22</t>
        </is>
      </c>
      <c r="C2318" t="inlineStr">
        <is>
          <t>feeling just a bit St crazy not the best</t>
        </is>
      </c>
      <c r="D2318">
        <f>HYPERLINK("https://www.youtube.com/watch?v=93yxvoc-tHg&amp;t=1402s", "Go to time")</f>
        <v/>
      </c>
    </row>
    <row r="2319">
      <c r="A2319">
        <f>HYPERLINK("https://www.youtube.com/watch?v=93yxvoc-tHg", "Video")</f>
        <v/>
      </c>
      <c r="B2319" t="inlineStr">
        <is>
          <t>23:59</t>
        </is>
      </c>
      <c r="C2319" t="inlineStr">
        <is>
          <t>a bit it's not time to go out but we can</t>
        </is>
      </c>
      <c r="D2319">
        <f>HYPERLINK("https://www.youtube.com/watch?v=93yxvoc-tHg&amp;t=1439s", "Go to time")</f>
        <v/>
      </c>
    </row>
    <row r="2320">
      <c r="A2320">
        <f>HYPERLINK("https://www.youtube.com/watch?v=93yxvoc-tHg", "Video")</f>
        <v/>
      </c>
      <c r="B2320" t="inlineStr">
        <is>
          <t>26:00</t>
        </is>
      </c>
      <c r="C2320" t="inlineStr">
        <is>
          <t>this Halloween tale is a bit more</t>
        </is>
      </c>
      <c r="D2320">
        <f>HYPERLINK("https://www.youtube.com/watch?v=93yxvoc-tHg&amp;t=1560s", "Go to time")</f>
        <v/>
      </c>
    </row>
    <row r="2321">
      <c r="A2321">
        <f>HYPERLINK("https://www.youtube.com/watch?v=guxQca_eQk8", "Video")</f>
        <v/>
      </c>
      <c r="B2321" t="inlineStr">
        <is>
          <t>0:06</t>
        </is>
      </c>
      <c r="C2321" t="inlineStr">
        <is>
          <t>Oh, not even one bite?</t>
        </is>
      </c>
      <c r="D2321">
        <f>HYPERLINK("https://www.youtube.com/watch?v=guxQca_eQk8&amp;t=6s", "Go to time")</f>
        <v/>
      </c>
    </row>
    <row r="2322">
      <c r="A2322">
        <f>HYPERLINK("https://www.youtube.com/watch?v=ZQzn_wC82hI", "Video")</f>
        <v/>
      </c>
      <c r="B2322" t="inlineStr">
        <is>
          <t>0:49</t>
        </is>
      </c>
      <c r="C2322" t="inlineStr">
        <is>
          <t>bit nervous not a lot</t>
        </is>
      </c>
      <c r="D2322">
        <f>HYPERLINK("https://www.youtube.com/watch?v=ZQzn_wC82hI&amp;t=49s", "Go to time")</f>
        <v/>
      </c>
    </row>
    <row r="2323">
      <c r="A2323">
        <f>HYPERLINK("https://www.youtube.com/watch?v=-09dM-lIgtg", "Video")</f>
        <v/>
      </c>
      <c r="B2323" t="inlineStr">
        <is>
          <t>18:41</t>
        </is>
      </c>
      <c r="C2323" t="inlineStr">
        <is>
          <t>OH! I--I GOTTA PUT
THIS LITTLE GUY BACK
IN HIS NATURAL HABITAT--</t>
        </is>
      </c>
      <c r="D2323">
        <f>HYPERLINK("https://www.youtube.com/watch?v=-09dM-lIgtg&amp;t=1121s", "Go to time")</f>
        <v/>
      </c>
    </row>
    <row r="2324">
      <c r="A2324">
        <f>HYPERLINK("https://www.youtube.com/watch?v=u32hPP-m3es", "Video")</f>
        <v/>
      </c>
      <c r="B2324" t="inlineStr">
        <is>
          <t>0:13</t>
        </is>
      </c>
      <c r="C2324" t="inlineStr">
        <is>
          <t>calling about something a little bit</t>
        </is>
      </c>
      <c r="D2324">
        <f>HYPERLINK("https://www.youtube.com/watch?v=u32hPP-m3es&amp;t=13s", "Go to time")</f>
        <v/>
      </c>
    </row>
    <row r="2325">
      <c r="A2325">
        <f>HYPERLINK("https://www.youtube.com/watch?v=u32hPP-m3es", "Video")</f>
        <v/>
      </c>
      <c r="B2325" t="inlineStr">
        <is>
          <t>0:14</t>
        </is>
      </c>
      <c r="C2325" t="inlineStr">
        <is>
          <t>bigger and a little bit better i'm</t>
        </is>
      </c>
      <c r="D2325">
        <f>HYPERLINK("https://www.youtube.com/watch?v=u32hPP-m3es&amp;t=14s", "Go to time")</f>
        <v/>
      </c>
    </row>
    <row r="2326">
      <c r="A2326">
        <f>HYPERLINK("https://www.youtube.com/watch?v=dlXNoijmX48", "Video")</f>
        <v/>
      </c>
      <c r="B2326" t="inlineStr">
        <is>
          <t>6:33</t>
        </is>
      </c>
      <c r="C2326" t="inlineStr">
        <is>
          <t>-(screams)
-Ah! Something bit my butt.</t>
        </is>
      </c>
      <c r="D2326">
        <f>HYPERLINK("https://www.youtube.com/watch?v=dlXNoijmX48&amp;t=393s", "Go to time")</f>
        <v/>
      </c>
    </row>
    <row r="2327">
      <c r="A2327">
        <f>HYPERLINK("https://www.youtube.com/watch?v=dlXNoijmX48", "Video")</f>
        <v/>
      </c>
      <c r="B2327" t="inlineStr">
        <is>
          <t>6:34</t>
        </is>
      </c>
      <c r="C2327" t="inlineStr">
        <is>
          <t>Something bit my butt!</t>
        </is>
      </c>
      <c r="D2327">
        <f>HYPERLINK("https://www.youtube.com/watch?v=dlXNoijmX48&amp;t=394s", "Go to time")</f>
        <v/>
      </c>
    </row>
    <row r="2328">
      <c r="A2328">
        <f>HYPERLINK("https://www.youtube.com/watch?v=0x09OWLVrT0", "Video")</f>
        <v/>
      </c>
      <c r="B2328" t="inlineStr">
        <is>
          <t>1:12</t>
        </is>
      </c>
      <c r="C2328" t="inlineStr">
        <is>
          <t>everybody else but you know little bit</t>
        </is>
      </c>
      <c r="D2328">
        <f>HYPERLINK("https://www.youtube.com/watch?v=0x09OWLVrT0&amp;t=72s", "Go to time")</f>
        <v/>
      </c>
    </row>
    <row r="2329">
      <c r="A2329">
        <f>HYPERLINK("https://www.youtube.com/watch?v=aHF-K7WeZQc", "Video")</f>
        <v/>
      </c>
      <c r="B2329" t="inlineStr">
        <is>
          <t>0:23</t>
        </is>
      </c>
      <c r="C2329" t="inlineStr">
        <is>
          <t>Can you tell us a bit
about the open mic</t>
        </is>
      </c>
      <c r="D2329">
        <f>HYPERLINK("https://www.youtube.com/watch?v=aHF-K7WeZQc&amp;t=23s", "Go to time")</f>
        <v/>
      </c>
    </row>
    <row r="2330">
      <c r="A2330">
        <f>HYPERLINK("https://www.youtube.com/watch?v=aHF-K7WeZQc", "Video")</f>
        <v/>
      </c>
      <c r="B2330" t="inlineStr">
        <is>
          <t>0:33</t>
        </is>
      </c>
      <c r="C2330" t="inlineStr">
        <is>
          <t>Can you tell me a bit about
how you two work together?</t>
        </is>
      </c>
      <c r="D2330">
        <f>HYPERLINK("https://www.youtube.com/watch?v=aHF-K7WeZQc&amp;t=33s", "Go to time")</f>
        <v/>
      </c>
    </row>
    <row r="2331">
      <c r="A2331">
        <f>HYPERLINK("https://www.youtube.com/watch?v=aHF-K7WeZQc", "Video")</f>
        <v/>
      </c>
      <c r="B2331" t="inlineStr">
        <is>
          <t>0:36</t>
        </is>
      </c>
      <c r="C2331" t="inlineStr">
        <is>
          <t>I just helped with
the production a bit.</t>
        </is>
      </c>
      <c r="D2331">
        <f>HYPERLINK("https://www.youtube.com/watch?v=aHF-K7WeZQc&amp;t=36s", "Go to time")</f>
        <v/>
      </c>
    </row>
    <row r="2332">
      <c r="A2332">
        <f>HYPERLINK("https://www.youtube.com/watch?v=meWO0RrGHQc", "Video")</f>
        <v/>
      </c>
      <c r="B2332" t="inlineStr">
        <is>
          <t>10:25</t>
        </is>
      </c>
      <c r="C2332" t="inlineStr">
        <is>
          <t>I'M BEING BITTEN
ON THE LEG</t>
        </is>
      </c>
      <c r="D2332">
        <f>HYPERLINK("https://www.youtube.com/watch?v=meWO0RrGHQc&amp;t=625s", "Go to time")</f>
        <v/>
      </c>
    </row>
    <row r="2333">
      <c r="A2333">
        <f>HYPERLINK("https://www.youtube.com/watch?v=meWO0RrGHQc", "Video")</f>
        <v/>
      </c>
      <c r="B2333" t="inlineStr">
        <is>
          <t>11:30</t>
        </is>
      </c>
      <c r="C2333" t="inlineStr">
        <is>
          <t>CURTIS DIDN'T MEAN
 TO BITE MR. HACKETT.</t>
        </is>
      </c>
      <c r="D2333">
        <f>HYPERLINK("https://www.youtube.com/watch?v=meWO0RrGHQc&amp;t=690s", "Go to time")</f>
        <v/>
      </c>
    </row>
    <row r="2334">
      <c r="A2334">
        <f>HYPERLINK("https://www.youtube.com/watch?v=5LPJOklMz4E", "Video")</f>
        <v/>
      </c>
      <c r="B2334" t="inlineStr">
        <is>
          <t>1:35</t>
        </is>
      </c>
      <c r="C2334" t="inlineStr">
        <is>
          <t>Channel Bippity bity</t>
        </is>
      </c>
      <c r="D2334">
        <f>HYPERLINK("https://www.youtube.com/watch?v=5LPJOklMz4E&amp;t=95s", "Go to time")</f>
        <v/>
      </c>
    </row>
    <row r="2335">
      <c r="A2335">
        <f>HYPERLINK("https://www.youtube.com/watch?v=Pp4uPbutaak", "Video")</f>
        <v/>
      </c>
      <c r="B2335" t="inlineStr">
        <is>
          <t>0:00</t>
        </is>
      </c>
      <c r="C2335" t="inlineStr">
        <is>
          <t>and now a tasty mini bite from Sunny</t>
        </is>
      </c>
      <c r="D2335">
        <f>HYPERLINK("https://www.youtube.com/watch?v=Pp4uPbutaak&amp;t=0s", "Go to time")</f>
        <v/>
      </c>
    </row>
    <row r="2336">
      <c r="A2336">
        <f>HYPERLINK("https://www.youtube.com/watch?v=fic2gqu5-tc", "Video")</f>
        <v/>
      </c>
      <c r="B2336" t="inlineStr">
        <is>
          <t>0:31</t>
        </is>
      </c>
      <c r="C2336" t="inlineStr">
        <is>
          <t>let's roll a bit</t>
        </is>
      </c>
      <c r="D2336">
        <f>HYPERLINK("https://www.youtube.com/watch?v=fic2gqu5-tc&amp;t=31s", "Go to time")</f>
        <v/>
      </c>
    </row>
    <row r="2337">
      <c r="A2337">
        <f>HYPERLINK("https://www.youtube.com/watch?v=fic2gqu5-tc", "Video")</f>
        <v/>
      </c>
      <c r="B2337" t="inlineStr">
        <is>
          <t>3:13</t>
        </is>
      </c>
      <c r="C2337" t="inlineStr">
        <is>
          <t>take a big old bite</t>
        </is>
      </c>
      <c r="D2337">
        <f>HYPERLINK("https://www.youtube.com/watch?v=fic2gqu5-tc&amp;t=193s", "Go to time")</f>
        <v/>
      </c>
    </row>
    <row r="2338">
      <c r="A2338">
        <f>HYPERLINK("https://www.youtube.com/watch?v=Qhju3czoHG8", "Video")</f>
        <v/>
      </c>
      <c r="B2338" t="inlineStr">
        <is>
          <t>0:00</t>
        </is>
      </c>
      <c r="C2338" t="inlineStr">
        <is>
          <t>here's a disney channel mini bite from</t>
        </is>
      </c>
      <c r="D2338">
        <f>HYPERLINK("https://www.youtube.com/watch?v=Qhju3czoHG8&amp;t=0s", "Go to time")</f>
        <v/>
      </c>
    </row>
    <row r="2339">
      <c r="A2339">
        <f>HYPERLINK("https://www.youtube.com/watch?v=Qhju3czoHG8", "Video")</f>
        <v/>
      </c>
      <c r="B2339" t="inlineStr">
        <is>
          <t>1:45</t>
        </is>
      </c>
      <c r="C2339" t="inlineStr">
        <is>
          <t>it's a little bit</t>
        </is>
      </c>
      <c r="D2339">
        <f>HYPERLINK("https://www.youtube.com/watch?v=Qhju3czoHG8&amp;t=105s", "Go to time")</f>
        <v/>
      </c>
    </row>
    <row r="2340">
      <c r="A2340">
        <f>HYPERLINK("https://www.youtube.com/watch?v=364z8vBRB1E", "Video")</f>
        <v/>
      </c>
      <c r="B2340" t="inlineStr">
        <is>
          <t>2:12</t>
        </is>
      </c>
      <c r="C2340" t="inlineStr">
        <is>
          <t>Okay, everyone,
a little bit closer</t>
        </is>
      </c>
      <c r="D2340">
        <f>HYPERLINK("https://www.youtube.com/watch?v=364z8vBRB1E&amp;t=132s", "Go to time")</f>
        <v/>
      </c>
    </row>
    <row r="2341">
      <c r="A2341">
        <f>HYPERLINK("https://www.youtube.com/watch?v=IF_kvNREVgw", "Video")</f>
        <v/>
      </c>
      <c r="B2341" t="inlineStr">
        <is>
          <t>0:26</t>
        </is>
      </c>
      <c r="C2341" t="inlineStr">
        <is>
          <t>a bit of an antique</t>
        </is>
      </c>
      <c r="D2341">
        <f>HYPERLINK("https://www.youtube.com/watch?v=IF_kvNREVgw&amp;t=26s", "Go to time")</f>
        <v/>
      </c>
    </row>
    <row r="2342">
      <c r="A2342">
        <f>HYPERLINK("https://www.youtube.com/watch?v=gtuD1u8PWZg", "Video")</f>
        <v/>
      </c>
      <c r="B2342" t="inlineStr">
        <is>
          <t>2:35</t>
        </is>
      </c>
      <c r="C2342" t="inlineStr">
        <is>
          <t>It is ready to go
into orbit at any moment.
It's also edible.</t>
        </is>
      </c>
      <c r="D2342">
        <f>HYPERLINK("https://www.youtube.com/watch?v=gtuD1u8PWZg&amp;t=155s", "Go to time")</f>
        <v/>
      </c>
    </row>
    <row r="2343">
      <c r="A2343">
        <f>HYPERLINK("https://www.youtube.com/watch?v=k2qXtPfiI5o", "Video")</f>
        <v/>
      </c>
      <c r="B2343" t="inlineStr">
        <is>
          <t>0:06</t>
        </is>
      </c>
      <c r="C2343" t="inlineStr">
        <is>
          <t>That logo looks a bit off.</t>
        </is>
      </c>
      <c r="D2343">
        <f>HYPERLINK("https://www.youtube.com/watch?v=k2qXtPfiI5o&amp;t=6s", "Go to time")</f>
        <v/>
      </c>
    </row>
    <row r="2344">
      <c r="A2344">
        <f>HYPERLINK("https://www.youtube.com/watch?v=ljnuNdO1hFs", "Video")</f>
        <v/>
      </c>
      <c r="B2344" t="inlineStr">
        <is>
          <t>0:07</t>
        </is>
      </c>
      <c r="C2344" t="inlineStr">
        <is>
          <t>we've kind of made a little bit of a</t>
        </is>
      </c>
      <c r="D2344">
        <f>HYPERLINK("https://www.youtube.com/watch?v=ljnuNdO1hFs&amp;t=7s", "Go to time")</f>
        <v/>
      </c>
    </row>
    <row r="2345">
      <c r="A2345">
        <f>HYPERLINK("https://www.youtube.com/watch?v=wsQPBS87RGg", "Video")</f>
        <v/>
      </c>
      <c r="B2345" t="inlineStr">
        <is>
          <t>0:56</t>
        </is>
      </c>
      <c r="C2345" t="inlineStr">
        <is>
          <t>could not cross the bottomless bit of</t>
        </is>
      </c>
      <c r="D2345">
        <f>HYPERLINK("https://www.youtube.com/watch?v=wsQPBS87RGg&amp;t=56s", "Go to time")</f>
        <v/>
      </c>
    </row>
    <row r="2346">
      <c r="A2346">
        <f>HYPERLINK("https://www.youtube.com/watch?v=a6K9Vtr24SA", "Video")</f>
        <v/>
      </c>
      <c r="B2346" t="inlineStr">
        <is>
          <t>2:04</t>
        </is>
      </c>
      <c r="C2346" t="inlineStr">
        <is>
          <t>I feel a tiny bit guilty
when they scream in terror.</t>
        </is>
      </c>
      <c r="D2346">
        <f>HYPERLINK("https://www.youtube.com/watch?v=a6K9Vtr24SA&amp;t=124s", "Go to time")</f>
        <v/>
      </c>
    </row>
    <row r="2347">
      <c r="A2347">
        <f>HYPERLINK("https://www.youtube.com/watch?v=a6K9Vtr24SA", "Video")</f>
        <v/>
      </c>
      <c r="B2347" t="inlineStr">
        <is>
          <t>4:35</t>
        </is>
      </c>
      <c r="C2347" t="inlineStr">
        <is>
          <t>You always wear
that big, floppy
rabbit costume,</t>
        </is>
      </c>
      <c r="D2347">
        <f>HYPERLINK("https://www.youtube.com/watch?v=a6K9Vtr24SA&amp;t=275s", "Go to time")</f>
        <v/>
      </c>
    </row>
    <row r="2348">
      <c r="A2348">
        <f>HYPERLINK("https://www.youtube.com/watch?v=iRTEdxpMiRo", "Video")</f>
        <v/>
      </c>
      <c r="B2348" t="inlineStr">
        <is>
          <t>15:03</t>
        </is>
      </c>
      <c r="C2348" t="inlineStr">
        <is>
          <t>ENOUGH! MMF! YOU MADE ME
BITE MY TONGUE!</t>
        </is>
      </c>
      <c r="D2348">
        <f>HYPERLINK("https://www.youtube.com/watch?v=iRTEdxpMiRo&amp;t=903s", "Go to time")</f>
        <v/>
      </c>
    </row>
    <row r="2349">
      <c r="A2349">
        <f>HYPERLINK("https://www.youtube.com/watch?v=iRTEdxpMiRo", "Video")</f>
        <v/>
      </c>
      <c r="B2349" t="inlineStr">
        <is>
          <t>19:54</t>
        </is>
      </c>
      <c r="C2349" t="inlineStr">
        <is>
          <t>SHIBITO!
IGOTA!</t>
        </is>
      </c>
      <c r="D2349">
        <f>HYPERLINK("https://www.youtube.com/watch?v=iRTEdxpMiRo&amp;t=1194s", "Go to time")</f>
        <v/>
      </c>
    </row>
    <row r="2350">
      <c r="A2350">
        <f>HYPERLINK("https://www.youtube.com/watch?v=KeGJMMk2P-U", "Video")</f>
        <v/>
      </c>
      <c r="B2350" t="inlineStr">
        <is>
          <t>0:51</t>
        </is>
      </c>
      <c r="C2350" t="inlineStr">
        <is>
          <t>bit nervous about getting this stuff</t>
        </is>
      </c>
      <c r="D2350">
        <f>HYPERLINK("https://www.youtube.com/watch?v=KeGJMMk2P-U&amp;t=51s", "Go to time")</f>
        <v/>
      </c>
    </row>
    <row r="2351">
      <c r="A2351">
        <f>HYPERLINK("https://www.youtube.com/watch?v=9KxxI9niey8", "Video")</f>
        <v/>
      </c>
      <c r="B2351" t="inlineStr">
        <is>
          <t>5:59</t>
        </is>
      </c>
      <c r="C2351" t="inlineStr">
        <is>
          <t>"Blah blahbitty
blah blah blah."</t>
        </is>
      </c>
      <c r="D2351">
        <f>HYPERLINK("https://www.youtube.com/watch?v=9KxxI9niey8&amp;t=359s", "Go to time")</f>
        <v/>
      </c>
    </row>
    <row r="2352">
      <c r="A2352">
        <f>HYPERLINK("https://www.youtube.com/watch?v=9KxxI9niey8", "Video")</f>
        <v/>
      </c>
      <c r="B2352" t="inlineStr">
        <is>
          <t>27:19</t>
        </is>
      </c>
      <c r="C2352" t="inlineStr">
        <is>
          <t>Hey, uh, how about you let me go
and we grab a bite to eat?</t>
        </is>
      </c>
      <c r="D2352">
        <f>HYPERLINK("https://www.youtube.com/watch?v=9KxxI9niey8&amp;t=1639s", "Go to time")</f>
        <v/>
      </c>
    </row>
    <row r="2353">
      <c r="A2353">
        <f>HYPERLINK("https://www.youtube.com/watch?v=pILQKDSBUZQ", "Video")</f>
        <v/>
      </c>
      <c r="B2353" t="inlineStr">
        <is>
          <t>0:27</t>
        </is>
      </c>
      <c r="C2353" t="inlineStr">
        <is>
          <t>this Flamingo can be a bit of a burden</t>
        </is>
      </c>
      <c r="D2353">
        <f>HYPERLINK("https://www.youtube.com/watch?v=pILQKDSBUZQ&amp;t=27s", "Go to time")</f>
        <v/>
      </c>
    </row>
    <row r="2354">
      <c r="A2354">
        <f>HYPERLINK("https://www.youtube.com/watch?v=fANR8tWWzY4", "Video")</f>
        <v/>
      </c>
      <c r="B2354" t="inlineStr">
        <is>
          <t>0:00</t>
        </is>
      </c>
      <c r="C2354" t="inlineStr">
        <is>
          <t>disney channel's got a mini bite from</t>
        </is>
      </c>
      <c r="D2354">
        <f>HYPERLINK("https://www.youtube.com/watch?v=fANR8tWWzY4&amp;t=0s", "Go to time")</f>
        <v/>
      </c>
    </row>
    <row r="2355">
      <c r="A2355">
        <f>HYPERLINK("https://www.youtube.com/watch?v=1f013gyb604", "Video")</f>
        <v/>
      </c>
      <c r="B2355" t="inlineStr">
        <is>
          <t>3:31</t>
        </is>
      </c>
      <c r="C2355" t="inlineStr">
        <is>
          <t>a little bit
of sailing as well,</t>
        </is>
      </c>
      <c r="D2355">
        <f>HYPERLINK("https://www.youtube.com/watch?v=1f013gyb604&amp;t=211s", "Go to time")</f>
        <v/>
      </c>
    </row>
    <row r="2356">
      <c r="A2356">
        <f>HYPERLINK("https://www.youtube.com/watch?v=p_7TW-AUslw", "Video")</f>
        <v/>
      </c>
      <c r="B2356" t="inlineStr">
        <is>
          <t>20:51</t>
        </is>
      </c>
      <c r="C2356" t="inlineStr">
        <is>
          <t>bit of</t>
        </is>
      </c>
      <c r="D2356">
        <f>HYPERLINK("https://www.youtube.com/watch?v=p_7TW-AUslw&amp;t=1251s", "Go to time")</f>
        <v/>
      </c>
    </row>
    <row r="2357">
      <c r="A2357">
        <f>HYPERLINK("https://www.youtube.com/watch?v=p_7TW-AUslw", "Video")</f>
        <v/>
      </c>
      <c r="B2357" t="inlineStr">
        <is>
          <t>24:13</t>
        </is>
      </c>
      <c r="C2357" t="inlineStr">
        <is>
          <t>a teeny bit just squeeze it out</t>
        </is>
      </c>
      <c r="D2357">
        <f>HYPERLINK("https://www.youtube.com/watch?v=p_7TW-AUslw&amp;t=1453s", "Go to time")</f>
        <v/>
      </c>
    </row>
    <row r="2358">
      <c r="A2358">
        <f>HYPERLINK("https://www.youtube.com/watch?v=p_7TW-AUslw", "Video")</f>
        <v/>
      </c>
      <c r="B2358" t="inlineStr">
        <is>
          <t>46:56</t>
        </is>
      </c>
      <c r="C2358" t="inlineStr">
        <is>
          <t>now back up a bit give the wires some</t>
        </is>
      </c>
      <c r="D2358">
        <f>HYPERLINK("https://www.youtube.com/watch?v=p_7TW-AUslw&amp;t=2816s", "Go to time")</f>
        <v/>
      </c>
    </row>
    <row r="2359">
      <c r="A2359">
        <f>HYPERLINK("https://www.youtube.com/watch?v=7Rau09PkrUI", "Video")</f>
        <v/>
      </c>
      <c r="B2359" t="inlineStr">
        <is>
          <t>0:24</t>
        </is>
      </c>
      <c r="C2359" t="inlineStr">
        <is>
          <t>little bit this year</t>
        </is>
      </c>
      <c r="D2359">
        <f>HYPERLINK("https://www.youtube.com/watch?v=7Rau09PkrUI&amp;t=24s", "Go to time")</f>
        <v/>
      </c>
    </row>
    <row r="2360">
      <c r="A2360">
        <f>HYPERLINK("https://www.youtube.com/watch?v=5XkKyGgfpcE", "Video")</f>
        <v/>
      </c>
      <c r="B2360" t="inlineStr">
        <is>
          <t>0:09</t>
        </is>
      </c>
      <c r="C2360" t="inlineStr">
        <is>
          <t>are a little bit more chill.</t>
        </is>
      </c>
      <c r="D2360">
        <f>HYPERLINK("https://www.youtube.com/watch?v=5XkKyGgfpcE&amp;t=9s", "Go to time")</f>
        <v/>
      </c>
    </row>
    <row r="2361">
      <c r="A2361">
        <f>HYPERLINK("https://www.youtube.com/watch?v=bW0ZnqWSds0", "Video")</f>
        <v/>
      </c>
      <c r="B2361" t="inlineStr">
        <is>
          <t>0:00</t>
        </is>
      </c>
      <c r="C2361" t="inlineStr">
        <is>
          <t>here's a Disney Channel mini bite from</t>
        </is>
      </c>
      <c r="D2361">
        <f>HYPERLINK("https://www.youtube.com/watch?v=bW0ZnqWSds0&amp;t=0s", "Go to time")</f>
        <v/>
      </c>
    </row>
    <row r="2362">
      <c r="A2362">
        <f>HYPERLINK("https://www.youtube.com/watch?v=BZ6NFHtR-M4", "Video")</f>
        <v/>
      </c>
      <c r="B2362" t="inlineStr">
        <is>
          <t>1:28</t>
        </is>
      </c>
      <c r="C2362" t="inlineStr">
        <is>
          <t>which kind of bugs him he's a bit</t>
        </is>
      </c>
      <c r="D2362">
        <f>HYPERLINK("https://www.youtube.com/watch?v=BZ6NFHtR-M4&amp;t=88s", "Go to time")</f>
        <v/>
      </c>
    </row>
    <row r="2363">
      <c r="A2363">
        <f>HYPERLINK("https://www.youtube.com/watch?v=BZ6NFHtR-M4", "Video")</f>
        <v/>
      </c>
      <c r="B2363" t="inlineStr">
        <is>
          <t>1:34</t>
        </is>
      </c>
      <c r="C2363" t="inlineStr">
        <is>
          <t>kid in the room may bite him in the butt</t>
        </is>
      </c>
      <c r="D2363">
        <f>HYPERLINK("https://www.youtube.com/watch?v=BZ6NFHtR-M4&amp;t=94s", "Go to time")</f>
        <v/>
      </c>
    </row>
    <row r="2364">
      <c r="A2364">
        <f>HYPERLINK("https://www.youtube.com/watch?v=dfuHtRaJQjg", "Video")</f>
        <v/>
      </c>
      <c r="B2364" t="inlineStr">
        <is>
          <t>0:00</t>
        </is>
      </c>
      <c r="C2364" t="inlineStr">
        <is>
          <t>here's a disney channel mini bite from</t>
        </is>
      </c>
      <c r="D2364">
        <f>HYPERLINK("https://www.youtube.com/watch?v=dfuHtRaJQjg&amp;t=0s", "Go to time")</f>
        <v/>
      </c>
    </row>
    <row r="2365">
      <c r="A2365">
        <f>HYPERLINK("https://www.youtube.com/watch?v=WMha3o0MI5A", "Video")</f>
        <v/>
      </c>
      <c r="B2365" t="inlineStr">
        <is>
          <t>5:06</t>
        </is>
      </c>
      <c r="C2365" t="inlineStr">
        <is>
          <t>She's biting
my finger, she's
biting my finger!</t>
        </is>
      </c>
      <c r="D2365">
        <f>HYPERLINK("https://www.youtube.com/watch?v=WMha3o0MI5A&amp;t=306s", "Go to time")</f>
        <v/>
      </c>
    </row>
    <row r="2366">
      <c r="A2366">
        <f>HYPERLINK("https://www.youtube.com/watch?v=WMha3o0MI5A", "Video")</f>
        <v/>
      </c>
      <c r="B2366" t="inlineStr">
        <is>
          <t>12:13</t>
        </is>
      </c>
      <c r="C2366" t="inlineStr">
        <is>
          <t>And a little bit scared.</t>
        </is>
      </c>
      <c r="D2366">
        <f>HYPERLINK("https://www.youtube.com/watch?v=WMha3o0MI5A&amp;t=733s", "Go to time")</f>
        <v/>
      </c>
    </row>
    <row r="2367">
      <c r="A2367">
        <f>HYPERLINK("https://www.youtube.com/watch?v=WMha3o0MI5A", "Video")</f>
        <v/>
      </c>
      <c r="B2367" t="inlineStr">
        <is>
          <t>17:51</t>
        </is>
      </c>
      <c r="C2367" t="inlineStr">
        <is>
          <t>Okay, well, that bite
is mostly grounds.</t>
        </is>
      </c>
      <c r="D2367">
        <f>HYPERLINK("https://www.youtube.com/watch?v=WMha3o0MI5A&amp;t=1071s", "Go to time")</f>
        <v/>
      </c>
    </row>
    <row r="2368">
      <c r="A2368">
        <f>HYPERLINK("https://www.youtube.com/watch?v=P5Saxrp1848", "Video")</f>
        <v/>
      </c>
      <c r="B2368" t="inlineStr">
        <is>
          <t>2:17</t>
        </is>
      </c>
      <c r="C2368" t="inlineStr">
        <is>
          <t>now it's just a funny bit they do so are</t>
        </is>
      </c>
      <c r="D2368">
        <f>HYPERLINK("https://www.youtube.com/watch?v=P5Saxrp1848&amp;t=137s", "Go to time")</f>
        <v/>
      </c>
    </row>
    <row r="2369">
      <c r="A2369">
        <f>HYPERLINK("https://www.youtube.com/watch?v=P5Saxrp1848", "Video")</f>
        <v/>
      </c>
      <c r="B2369" t="inlineStr">
        <is>
          <t>15:45</t>
        </is>
      </c>
      <c r="C2369" t="inlineStr">
        <is>
          <t>borrow that ring light for a little bit</t>
        </is>
      </c>
      <c r="D2369">
        <f>HYPERLINK("https://www.youtube.com/watch?v=P5Saxrp1848&amp;t=945s", "Go to time")</f>
        <v/>
      </c>
    </row>
    <row r="2370">
      <c r="A2370">
        <f>HYPERLINK("https://www.youtube.com/watch?v=P5Saxrp1848", "Video")</f>
        <v/>
      </c>
      <c r="B2370" t="inlineStr">
        <is>
          <t>22:40</t>
        </is>
      </c>
      <c r="C2370" t="inlineStr">
        <is>
          <t>no one maybe they'll make this a hobbit</t>
        </is>
      </c>
      <c r="D2370">
        <f>HYPERLINK("https://www.youtube.com/watch?v=P5Saxrp1848&amp;t=1360s", "Go to time")</f>
        <v/>
      </c>
    </row>
    <row r="2371">
      <c r="A2371">
        <f>HYPERLINK("https://www.youtube.com/watch?v=P5Saxrp1848", "Video")</f>
        <v/>
      </c>
      <c r="B2371" t="inlineStr">
        <is>
          <t>22:43</t>
        </is>
      </c>
      <c r="C2371" t="inlineStr">
        <is>
          <t>a what oh sorry a hobit maybe they'll</t>
        </is>
      </c>
      <c r="D2371">
        <f>HYPERLINK("https://www.youtube.com/watch?v=P5Saxrp1848&amp;t=1363s", "Go to time")</f>
        <v/>
      </c>
    </row>
    <row r="2372">
      <c r="A2372">
        <f>HYPERLINK("https://www.youtube.com/watch?v=P5Saxrp1848", "Video")</f>
        <v/>
      </c>
      <c r="B2372" t="inlineStr">
        <is>
          <t>22:46</t>
        </is>
      </c>
      <c r="C2372" t="inlineStr">
        <is>
          <t>make this a habit what's a hobbit I have</t>
        </is>
      </c>
      <c r="D2372">
        <f>HYPERLINK("https://www.youtube.com/watch?v=P5Saxrp1848&amp;t=1366s", "Go to time")</f>
        <v/>
      </c>
    </row>
    <row r="2373">
      <c r="A2373">
        <f>HYPERLINK("https://www.youtube.com/watch?v=v7ZgI5MEHss", "Video")</f>
        <v/>
      </c>
      <c r="B2373" t="inlineStr">
        <is>
          <t>0:54</t>
        </is>
      </c>
      <c r="C2373" t="inlineStr">
        <is>
          <t>Could you tell me
a bit about those?</t>
        </is>
      </c>
      <c r="D2373">
        <f>HYPERLINK("https://www.youtube.com/watch?v=v7ZgI5MEHss&amp;t=54s", "Go to time")</f>
        <v/>
      </c>
    </row>
    <row r="2374">
      <c r="A2374">
        <f>HYPERLINK("https://www.youtube.com/watch?v=JomqXoJguHE", "Video")</f>
        <v/>
      </c>
      <c r="B2374" t="inlineStr">
        <is>
          <t>13:18</t>
        </is>
      </c>
      <c r="C2374" t="inlineStr">
        <is>
          <t>it's still a bit buggy but i'm hoping</t>
        </is>
      </c>
      <c r="D2374">
        <f>HYPERLINK("https://www.youtube.com/watch?v=JomqXoJguHE&amp;t=798s", "Go to time")</f>
        <v/>
      </c>
    </row>
    <row r="2375">
      <c r="A2375">
        <f>HYPERLINK("https://www.youtube.com/watch?v=JomqXoJguHE", "Video")</f>
        <v/>
      </c>
      <c r="B2375" t="inlineStr">
        <is>
          <t>15:35</t>
        </is>
      </c>
      <c r="C2375" t="inlineStr">
        <is>
          <t>i'm freaking out a little bit this is</t>
        </is>
      </c>
      <c r="D2375">
        <f>HYPERLINK("https://www.youtube.com/watch?v=JomqXoJguHE&amp;t=935s", "Go to time")</f>
        <v/>
      </c>
    </row>
    <row r="2376">
      <c r="A2376">
        <f>HYPERLINK("https://www.youtube.com/watch?v=0-SwvzE1Hlw", "Video")</f>
        <v/>
      </c>
      <c r="B2376" t="inlineStr">
        <is>
          <t>0:02</t>
        </is>
      </c>
      <c r="C2376" t="inlineStr">
        <is>
          <t>bite from Jesse right</t>
        </is>
      </c>
      <c r="D2376">
        <f>HYPERLINK("https://www.youtube.com/watch?v=0-SwvzE1Hlw&amp;t=2s", "Go to time")</f>
        <v/>
      </c>
    </row>
    <row r="2377">
      <c r="A2377">
        <f>HYPERLINK("https://www.youtube.com/watch?v=9WmNlirPVag", "Video")</f>
        <v/>
      </c>
      <c r="B2377" t="inlineStr">
        <is>
          <t>0:30</t>
        </is>
      </c>
      <c r="C2377" t="inlineStr">
        <is>
          <t>so but I'm just a little bit a little</t>
        </is>
      </c>
      <c r="D2377">
        <f>HYPERLINK("https://www.youtube.com/watch?v=9WmNlirPVag&amp;t=30s", "Go to time")</f>
        <v/>
      </c>
    </row>
    <row r="2378">
      <c r="A2378">
        <f>HYPERLINK("https://www.youtube.com/watch?v=9WmNlirPVag", "Video")</f>
        <v/>
      </c>
      <c r="B2378" t="inlineStr">
        <is>
          <t>0:37</t>
        </is>
      </c>
      <c r="C2378" t="inlineStr">
        <is>
          <t>bit I like lightning I like evil I like</t>
        </is>
      </c>
      <c r="D2378">
        <f>HYPERLINK("https://www.youtube.com/watch?v=9WmNlirPVag&amp;t=37s", "Go to time")</f>
        <v/>
      </c>
    </row>
    <row r="2379">
      <c r="A2379">
        <f>HYPERLINK("https://www.youtube.com/watch?v=92ewE7s6nuc", "Video")</f>
        <v/>
      </c>
      <c r="B2379" t="inlineStr">
        <is>
          <t>0:00</t>
        </is>
      </c>
      <c r="C2379" t="inlineStr">
        <is>
          <t>Disney Channel's got a mini bite from</t>
        </is>
      </c>
      <c r="D2379">
        <f>HYPERLINK("https://www.youtube.com/watch?v=92ewE7s6nuc&amp;t=0s", "Go to time")</f>
        <v/>
      </c>
    </row>
    <row r="2380">
      <c r="A2380">
        <f>HYPERLINK("https://www.youtube.com/watch?v=UxJrtXADHog", "Video")</f>
        <v/>
      </c>
      <c r="B2380" t="inlineStr">
        <is>
          <t>2:44</t>
        </is>
      </c>
      <c r="C2380" t="inlineStr">
        <is>
          <t>to keep up a little bit</t>
        </is>
      </c>
      <c r="D2380">
        <f>HYPERLINK("https://www.youtube.com/watch?v=UxJrtXADHog&amp;t=164s", "Go to time")</f>
        <v/>
      </c>
    </row>
    <row r="2381">
      <c r="A2381">
        <f>HYPERLINK("https://www.youtube.com/watch?v=UUQBrJyO1zU", "Video")</f>
        <v/>
      </c>
      <c r="B2381" t="inlineStr">
        <is>
          <t>1:48</t>
        </is>
      </c>
      <c r="C2381" t="inlineStr">
        <is>
          <t>everybody from Zumba bits and pieces</t>
        </is>
      </c>
      <c r="D2381">
        <f>HYPERLINK("https://www.youtube.com/watch?v=UUQBrJyO1zU&amp;t=108s", "Go to time")</f>
        <v/>
      </c>
    </row>
    <row r="2382">
      <c r="A2382">
        <f>HYPERLINK("https://www.youtube.com/watch?v=UUQBrJyO1zU", "Video")</f>
        <v/>
      </c>
      <c r="B2382" t="inlineStr">
        <is>
          <t>1:52</t>
        </is>
      </c>
      <c r="C2382" t="inlineStr">
        <is>
          <t>see my bits and pieces</t>
        </is>
      </c>
      <c r="D2382">
        <f>HYPERLINK("https://www.youtube.com/watch?v=UUQBrJyO1zU&amp;t=112s", "Go to time")</f>
        <v/>
      </c>
    </row>
    <row r="2383">
      <c r="A2383">
        <f>HYPERLINK("https://www.youtube.com/watch?v=o9G4U5hmVL0", "Video")</f>
        <v/>
      </c>
      <c r="B2383" t="inlineStr">
        <is>
          <t>2:11</t>
        </is>
      </c>
      <c r="C2383" t="inlineStr">
        <is>
          <t>biting</t>
        </is>
      </c>
      <c r="D2383">
        <f>HYPERLINK("https://www.youtube.com/watch?v=o9G4U5hmVL0&amp;t=131s", "Go to time")</f>
        <v/>
      </c>
    </row>
    <row r="2384">
      <c r="A2384">
        <f>HYPERLINK("https://www.youtube.com/watch?v=KWl9F5BQAss", "Video")</f>
        <v/>
      </c>
      <c r="B2384" t="inlineStr">
        <is>
          <t>0:00</t>
        </is>
      </c>
      <c r="C2384" t="inlineStr">
        <is>
          <t>here's a Disney Channel mini bite from</t>
        </is>
      </c>
      <c r="D2384">
        <f>HYPERLINK("https://www.youtube.com/watch?v=KWl9F5BQAss&amp;t=0s", "Go to time")</f>
        <v/>
      </c>
    </row>
    <row r="2385">
      <c r="A2385">
        <f>HYPERLINK("https://www.youtube.com/watch?v=LlXuoFTgb0I", "Video")</f>
        <v/>
      </c>
      <c r="B2385" t="inlineStr">
        <is>
          <t>2:15</t>
        </is>
      </c>
      <c r="C2385" t="inlineStr">
        <is>
          <t>♪ I CLOSE MY EYES,
TAKE A BITE ♪</t>
        </is>
      </c>
      <c r="D2385">
        <f>HYPERLINK("https://www.youtube.com/watch?v=LlXuoFTgb0I&amp;t=135s", "Go to time")</f>
        <v/>
      </c>
    </row>
    <row r="2386">
      <c r="A2386">
        <f>HYPERLINK("https://www.youtube.com/watch?v=LlXuoFTgb0I", "Video")</f>
        <v/>
      </c>
      <c r="B2386" t="inlineStr">
        <is>
          <t>3:09</t>
        </is>
      </c>
      <c r="C2386" t="inlineStr">
        <is>
          <t>IT LOOKS A BIT MORE
LIKE MASHED POTATOES.</t>
        </is>
      </c>
      <c r="D2386">
        <f>HYPERLINK("https://www.youtube.com/watch?v=LlXuoFTgb0I&amp;t=189s", "Go to time")</f>
        <v/>
      </c>
    </row>
    <row r="2387">
      <c r="A2387">
        <f>HYPERLINK("https://www.youtube.com/watch?v=LlXuoFTgb0I", "Video")</f>
        <v/>
      </c>
      <c r="B2387" t="inlineStr">
        <is>
          <t>14:56</t>
        </is>
      </c>
      <c r="C2387" t="inlineStr">
        <is>
          <t>WOW.  SO MAYBE I SHOULD
REST IN MY ROOM FOR A BIT.</t>
        </is>
      </c>
      <c r="D2387">
        <f>HYPERLINK("https://www.youtube.com/watch?v=LlXuoFTgb0I&amp;t=896s", "Go to time")</f>
        <v/>
      </c>
    </row>
    <row r="2388">
      <c r="A2388">
        <f>HYPERLINK("https://www.youtube.com/watch?v=LlXuoFTgb0I", "Video")</f>
        <v/>
      </c>
      <c r="B2388" t="inlineStr">
        <is>
          <t>17:30</t>
        </is>
      </c>
      <c r="C2388" t="inlineStr">
        <is>
          <t>- YES.
- WELL, CAN I HAVE
 JUST A BITE?</t>
        </is>
      </c>
      <c r="D2388">
        <f>HYPERLINK("https://www.youtube.com/watch?v=LlXuoFTgb0I&amp;t=1050s", "Go to time")</f>
        <v/>
      </c>
    </row>
    <row r="2389">
      <c r="A2389">
        <f>HYPERLINK("https://www.youtube.com/watch?v=MUz75FfNxDQ", "Video")</f>
        <v/>
      </c>
      <c r="B2389" t="inlineStr">
        <is>
          <t>0:47</t>
        </is>
      </c>
      <c r="C2389" t="inlineStr">
        <is>
          <t>next level and I Giuseppe fabito Giorgio</t>
        </is>
      </c>
      <c r="D2389">
        <f>HYPERLINK("https://www.youtube.com/watch?v=MUz75FfNxDQ&amp;t=47s", "Go to time")</f>
        <v/>
      </c>
    </row>
    <row r="2390">
      <c r="A2390">
        <f>HYPERLINK("https://www.youtube.com/watch?v=ofYYZ0Kqopc", "Video")</f>
        <v/>
      </c>
      <c r="B2390" t="inlineStr">
        <is>
          <t>3:12</t>
        </is>
      </c>
      <c r="C2390" t="inlineStr">
        <is>
          <t>bit you know</t>
        </is>
      </c>
      <c r="D2390">
        <f>HYPERLINK("https://www.youtube.com/watch?v=ofYYZ0Kqopc&amp;t=192s", "Go to time")</f>
        <v/>
      </c>
    </row>
    <row r="2391">
      <c r="A2391">
        <f>HYPERLINK("https://www.youtube.com/watch?v=9tI9C4nDQhA", "Video")</f>
        <v/>
      </c>
      <c r="B2391" t="inlineStr">
        <is>
          <t>3:03</t>
        </is>
      </c>
      <c r="C2391" t="inlineStr">
        <is>
          <t>Though, maybe
there are times you could
be a bit more selective</t>
        </is>
      </c>
      <c r="D2391">
        <f>HYPERLINK("https://www.youtube.com/watch?v=9tI9C4nDQhA&amp;t=183s", "Go to time")</f>
        <v/>
      </c>
    </row>
    <row r="2392">
      <c r="A2392">
        <f>HYPERLINK("https://www.youtube.com/watch?v=9tI9C4nDQhA", "Video")</f>
        <v/>
      </c>
      <c r="B2392" t="inlineStr">
        <is>
          <t>6:11</t>
        </is>
      </c>
      <c r="C2392" t="inlineStr">
        <is>
          <t>Of course I'm coming with you.
You think I'm in the habit
of dressing like this?</t>
        </is>
      </c>
      <c r="D2392">
        <f>HYPERLINK("https://www.youtube.com/watch?v=9tI9C4nDQhA&amp;t=371s", "Go to time")</f>
        <v/>
      </c>
    </row>
    <row r="2393">
      <c r="A2393">
        <f>HYPERLINK("https://www.youtube.com/watch?v=9tI9C4nDQhA", "Video")</f>
        <v/>
      </c>
      <c r="B2393" t="inlineStr">
        <is>
          <t>9:46</t>
        </is>
      </c>
      <c r="C2393" t="inlineStr">
        <is>
          <t>I'm just gonna scream
into this for a little bit.</t>
        </is>
      </c>
      <c r="D2393">
        <f>HYPERLINK("https://www.youtube.com/watch?v=9tI9C4nDQhA&amp;t=586s", "Go to time")</f>
        <v/>
      </c>
    </row>
    <row r="2394">
      <c r="A2394">
        <f>HYPERLINK("https://www.youtube.com/watch?v=RxUZb3WnTpo", "Video")</f>
        <v/>
      </c>
      <c r="B2394" t="inlineStr">
        <is>
          <t>0:05</t>
        </is>
      </c>
      <c r="C2394" t="inlineStr">
        <is>
          <t>bite me oh i'm sorry that's just pat's</t>
        </is>
      </c>
      <c r="D2394">
        <f>HYPERLINK("https://www.youtube.com/watch?v=RxUZb3WnTpo&amp;t=5s", "Go to time")</f>
        <v/>
      </c>
    </row>
    <row r="2395">
      <c r="A2395">
        <f>HYPERLINK("https://www.youtube.com/watch?v=RxUZb3WnTpo", "Video")</f>
        <v/>
      </c>
      <c r="B2395" t="inlineStr">
        <is>
          <t>0:21</t>
        </is>
      </c>
      <c r="C2395" t="inlineStr">
        <is>
          <t>how'd you know all that the bite the</t>
        </is>
      </c>
      <c r="D2395">
        <f>HYPERLINK("https://www.youtube.com/watch?v=RxUZb3WnTpo&amp;t=21s", "Go to time")</f>
        <v/>
      </c>
    </row>
    <row r="2396">
      <c r="A2396">
        <f>HYPERLINK("https://www.youtube.com/watch?v=RxUZb3WnTpo", "Video")</f>
        <v/>
      </c>
      <c r="B2396" t="inlineStr">
        <is>
          <t>0:23</t>
        </is>
      </c>
      <c r="C2396" t="inlineStr">
        <is>
          <t>bite you felt was a tiny microscopic</t>
        </is>
      </c>
      <c r="D2396">
        <f>HYPERLINK("https://www.youtube.com/watch?v=RxUZb3WnTpo&amp;t=23s", "Go to time")</f>
        <v/>
      </c>
    </row>
    <row r="2397">
      <c r="A2397">
        <f>HYPERLINK("https://www.youtube.com/watch?v=RxUZb3WnTpo", "Video")</f>
        <v/>
      </c>
      <c r="B2397" t="inlineStr">
        <is>
          <t>2:27</t>
        </is>
      </c>
      <c r="C2397" t="inlineStr">
        <is>
          <t>protein adequate exhibits tendency to</t>
        </is>
      </c>
      <c r="D2397">
        <f>HYPERLINK("https://www.youtube.com/watch?v=RxUZb3WnTpo&amp;t=147s", "Go to time")</f>
        <v/>
      </c>
    </row>
    <row r="2398">
      <c r="A2398">
        <f>HYPERLINK("https://www.youtube.com/watch?v=RxUZb3WnTpo", "Video")</f>
        <v/>
      </c>
      <c r="B2398" t="inlineStr">
        <is>
          <t>3:58</t>
        </is>
      </c>
      <c r="C2398" t="inlineStr">
        <is>
          <t>how'd she know all that the bite</t>
        </is>
      </c>
      <c r="D2398">
        <f>HYPERLINK("https://www.youtube.com/watch?v=RxUZb3WnTpo&amp;t=238s", "Go to time")</f>
        <v/>
      </c>
    </row>
    <row r="2399">
      <c r="A2399">
        <f>HYPERLINK("https://www.youtube.com/watch?v=RxUZb3WnTpo", "Video")</f>
        <v/>
      </c>
      <c r="B2399" t="inlineStr">
        <is>
          <t>4:00</t>
        </is>
      </c>
      <c r="C2399" t="inlineStr">
        <is>
          <t>the bite you felt was a tiny microscopic</t>
        </is>
      </c>
      <c r="D2399">
        <f>HYPERLINK("https://www.youtube.com/watch?v=RxUZb3WnTpo&amp;t=240s", "Go to time")</f>
        <v/>
      </c>
    </row>
    <row r="2400">
      <c r="A2400">
        <f>HYPERLINK("https://www.youtube.com/watch?v=vFgclFsoYco", "Video")</f>
        <v/>
      </c>
      <c r="B2400" t="inlineStr">
        <is>
          <t>0:19</t>
        </is>
      </c>
      <c r="C2400" t="inlineStr">
        <is>
          <t>it'll be a little bit of a different</t>
        </is>
      </c>
      <c r="D2400">
        <f>HYPERLINK("https://www.youtube.com/watch?v=vFgclFsoYco&amp;t=19s", "Go to time")</f>
        <v/>
      </c>
    </row>
    <row r="2401">
      <c r="A2401">
        <f>HYPERLINK("https://www.youtube.com/watch?v=GWMldy8V27w", "Video")</f>
        <v/>
      </c>
      <c r="B2401" t="inlineStr">
        <is>
          <t>0:02</t>
        </is>
      </c>
      <c r="C2401" t="inlineStr">
        <is>
          <t>bite from Phineas and Ferb ladies and</t>
        </is>
      </c>
      <c r="D2401">
        <f>HYPERLINK("https://www.youtube.com/watch?v=GWMldy8V27w&amp;t=2s", "Go to time")</f>
        <v/>
      </c>
    </row>
    <row r="2402">
      <c r="A2402">
        <f>HYPERLINK("https://www.youtube.com/watch?v=Igi8U3WZDOg", "Video")</f>
        <v/>
      </c>
      <c r="B2402" t="inlineStr">
        <is>
          <t>7:10</t>
        </is>
      </c>
      <c r="C2402" t="inlineStr">
        <is>
          <t>feeling just a bit crazy not the best at</t>
        </is>
      </c>
      <c r="D2402">
        <f>HYPERLINK("https://www.youtube.com/watch?v=Igi8U3WZDOg&amp;t=430s", "Go to time")</f>
        <v/>
      </c>
    </row>
    <row r="2403">
      <c r="A2403">
        <f>HYPERLINK("https://www.youtube.com/watch?v=Igi8U3WZDOg", "Video")</f>
        <v/>
      </c>
      <c r="B2403" t="inlineStr">
        <is>
          <t>7:46</t>
        </is>
      </c>
      <c r="C2403" t="inlineStr">
        <is>
          <t>inside for quite a bit it's not time to</t>
        </is>
      </c>
      <c r="D2403">
        <f>HYPERLINK("https://www.youtube.com/watch?v=Igi8U3WZDOg&amp;t=466s", "Go to time")</f>
        <v/>
      </c>
    </row>
    <row r="2404">
      <c r="A2404">
        <f>HYPERLINK("https://www.youtube.com/watch?v=Igi8U3WZDOg", "Video")</f>
        <v/>
      </c>
      <c r="B2404" t="inlineStr">
        <is>
          <t>9:10</t>
        </is>
      </c>
      <c r="C2404" t="inlineStr">
        <is>
          <t>feeling just a bit crazy not the best at</t>
        </is>
      </c>
      <c r="D2404">
        <f>HYPERLINK("https://www.youtube.com/watch?v=Igi8U3WZDOg&amp;t=550s", "Go to time")</f>
        <v/>
      </c>
    </row>
    <row r="2405">
      <c r="A2405">
        <f>HYPERLINK("https://www.youtube.com/watch?v=Igi8U3WZDOg", "Video")</f>
        <v/>
      </c>
      <c r="B2405" t="inlineStr">
        <is>
          <t>9:46</t>
        </is>
      </c>
      <c r="C2405" t="inlineStr">
        <is>
          <t>inside for quite a bit it's not time to</t>
        </is>
      </c>
      <c r="D2405">
        <f>HYPERLINK("https://www.youtube.com/watch?v=Igi8U3WZDOg&amp;t=586s", "Go to time")</f>
        <v/>
      </c>
    </row>
    <row r="2406">
      <c r="A2406">
        <f>HYPERLINK("https://www.youtube.com/watch?v=EPlbuO-1ENs", "Video")</f>
        <v/>
      </c>
      <c r="B2406" t="inlineStr">
        <is>
          <t>2:50</t>
        </is>
      </c>
      <c r="C2406" t="inlineStr">
        <is>
          <t>and make the holidays a little bit</t>
        </is>
      </c>
      <c r="D2406">
        <f>HYPERLINK("https://www.youtube.com/watch?v=EPlbuO-1ENs&amp;t=170s", "Go to time")</f>
        <v/>
      </c>
    </row>
    <row r="2407">
      <c r="A2407">
        <f>HYPERLINK("https://www.youtube.com/watch?v=RSyDupTVoGs", "Video")</f>
        <v/>
      </c>
      <c r="B2407" t="inlineStr">
        <is>
          <t>1:31</t>
        </is>
      </c>
      <c r="C2407" t="inlineStr">
        <is>
          <t>little bit and i hope something sparks</t>
        </is>
      </c>
      <c r="D2407">
        <f>HYPERLINK("https://www.youtube.com/watch?v=RSyDupTVoGs&amp;t=91s", "Go to time")</f>
        <v/>
      </c>
    </row>
    <row r="2408">
      <c r="A2408">
        <f>HYPERLINK("https://www.youtube.com/watch?v=RSyDupTVoGs", "Video")</f>
        <v/>
      </c>
      <c r="B2408" t="inlineStr">
        <is>
          <t>1:45</t>
        </is>
      </c>
      <c r="C2408" t="inlineStr">
        <is>
          <t>she just needs a bit more time just to</t>
        </is>
      </c>
      <c r="D2408">
        <f>HYPERLINK("https://www.youtube.com/watch?v=RSyDupTVoGs&amp;t=105s", "Go to time")</f>
        <v/>
      </c>
    </row>
    <row r="2409">
      <c r="A2409">
        <f>HYPERLINK("https://www.youtube.com/watch?v=RSyDupTVoGs", "Video")</f>
        <v/>
      </c>
      <c r="B2409" t="inlineStr">
        <is>
          <t>1:47</t>
        </is>
      </c>
      <c r="C2409" t="inlineStr">
        <is>
          <t>calm down a bit i can't</t>
        </is>
      </c>
      <c r="D2409">
        <f>HYPERLINK("https://www.youtube.com/watch?v=RSyDupTVoGs&amp;t=107s", "Go to time")</f>
        <v/>
      </c>
    </row>
    <row r="2410">
      <c r="A2410">
        <f>HYPERLINK("https://www.youtube.com/watch?v=NTokgepjv5M", "Video")</f>
        <v/>
      </c>
      <c r="B2410" t="inlineStr">
        <is>
          <t>2:23</t>
        </is>
      </c>
      <c r="C2410" t="inlineStr">
        <is>
          <t>- Yeah, I do.
- It's a little bit silly,</t>
        </is>
      </c>
      <c r="D2410">
        <f>HYPERLINK("https://www.youtube.com/watch?v=NTokgepjv5M&amp;t=143s", "Go to time")</f>
        <v/>
      </c>
    </row>
    <row r="2411">
      <c r="A2411">
        <f>HYPERLINK("https://www.youtube.com/watch?v=cw-70IjIbAU", "Video")</f>
        <v/>
      </c>
      <c r="B2411" t="inlineStr">
        <is>
          <t>0:02</t>
        </is>
      </c>
      <c r="C2411" t="inlineStr">
        <is>
          <t>bite from Jesse right</t>
        </is>
      </c>
      <c r="D2411">
        <f>HYPERLINK("https://www.youtube.com/watch?v=cw-70IjIbAU&amp;t=2s", "Go to time")</f>
        <v/>
      </c>
    </row>
    <row r="2412">
      <c r="A2412">
        <f>HYPERLINK("https://www.youtube.com/watch?v=1WKZtToh-fk", "Video")</f>
        <v/>
      </c>
      <c r="B2412" t="inlineStr">
        <is>
          <t>4:55</t>
        </is>
      </c>
      <c r="C2412" t="inlineStr">
        <is>
          <t>I'll bite its head off,
step on it,</t>
        </is>
      </c>
      <c r="D2412">
        <f>HYPERLINK("https://www.youtube.com/watch?v=1WKZtToh-fk&amp;t=295s", "Go to time")</f>
        <v/>
      </c>
    </row>
    <row r="2413">
      <c r="A2413">
        <f>HYPERLINK("https://www.youtube.com/watch?v=UVFwFPppg0s", "Video")</f>
        <v/>
      </c>
      <c r="B2413" t="inlineStr">
        <is>
          <t>2:00</t>
        </is>
      </c>
      <c r="C2413" t="inlineStr">
        <is>
          <t>bit of a handful I don't mean to brag</t>
        </is>
      </c>
      <c r="D2413">
        <f>HYPERLINK("https://www.youtube.com/watch?v=UVFwFPppg0s&amp;t=120s", "Go to time")</f>
        <v/>
      </c>
    </row>
    <row r="2414">
      <c r="A2414">
        <f>HYPERLINK("https://www.youtube.com/watch?v=UVFwFPppg0s", "Video")</f>
        <v/>
      </c>
      <c r="B2414" t="inlineStr">
        <is>
          <t>14:10</t>
        </is>
      </c>
      <c r="C2414" t="inlineStr">
        <is>
          <t>little bit here see they're used to me</t>
        </is>
      </c>
      <c r="D2414">
        <f>HYPERLINK("https://www.youtube.com/watch?v=UVFwFPppg0s&amp;t=850s", "Go to time")</f>
        <v/>
      </c>
    </row>
    <row r="2415">
      <c r="A2415">
        <f>HYPERLINK("https://www.youtube.com/watch?v=k0MVkYEGbUo", "Video")</f>
        <v/>
      </c>
      <c r="B2415" t="inlineStr">
        <is>
          <t>9:48</t>
        </is>
      </c>
      <c r="C2415" t="inlineStr">
        <is>
          <t>Ken, would you just mind
erasing that last little bit</t>
        </is>
      </c>
      <c r="D2415">
        <f>HYPERLINK("https://www.youtube.com/watch?v=k0MVkYEGbUo&amp;t=588s", "Go to time")</f>
        <v/>
      </c>
    </row>
    <row r="2416">
      <c r="A2416">
        <f>HYPERLINK("https://www.youtube.com/watch?v=wE1EpCrPAv8", "Video")</f>
        <v/>
      </c>
      <c r="B2416" t="inlineStr">
        <is>
          <t>0:26</t>
        </is>
      </c>
      <c r="C2416" t="inlineStr">
        <is>
          <t>does wizard sense a bit of tension she</t>
        </is>
      </c>
      <c r="D2416">
        <f>HYPERLINK("https://www.youtube.com/watch?v=wE1EpCrPAv8&amp;t=26s", "Go to time")</f>
        <v/>
      </c>
    </row>
    <row r="2417">
      <c r="A2417">
        <f>HYPERLINK("https://www.youtube.com/watch?v=wE1EpCrPAv8", "Video")</f>
        <v/>
      </c>
      <c r="B2417" t="inlineStr">
        <is>
          <t>1:20</t>
        </is>
      </c>
      <c r="C2417" t="inlineStr">
        <is>
          <t>cienega aren't you being a bit cold</t>
        </is>
      </c>
      <c r="D2417">
        <f>HYPERLINK("https://www.youtube.com/watch?v=wE1EpCrPAv8&amp;t=80s", "Go to time")</f>
        <v/>
      </c>
    </row>
    <row r="2418">
      <c r="A2418">
        <f>HYPERLINK("https://www.youtube.com/watch?v=dxOB2tXjoEU", "Video")</f>
        <v/>
      </c>
      <c r="B2418" t="inlineStr">
        <is>
          <t>2:05</t>
        </is>
      </c>
      <c r="C2418" t="inlineStr">
        <is>
          <t>before we are exposed ambitious</t>
        </is>
      </c>
      <c r="D2418">
        <f>HYPERLINK("https://www.youtube.com/watch?v=dxOB2tXjoEU&amp;t=125s", "Go to time")</f>
        <v/>
      </c>
    </row>
    <row r="2419">
      <c r="A2419">
        <f>HYPERLINK("https://www.youtube.com/watch?v=w1M1a54E2FM", "Video")</f>
        <v/>
      </c>
      <c r="B2419" t="inlineStr">
        <is>
          <t>10:39</t>
        </is>
      </c>
      <c r="C2419" t="inlineStr">
        <is>
          <t>you the least bit nervous</t>
        </is>
      </c>
      <c r="D2419">
        <f>HYPERLINK("https://www.youtube.com/watch?v=w1M1a54E2FM&amp;t=639s", "Go to time")</f>
        <v/>
      </c>
    </row>
    <row r="2420">
      <c r="A2420">
        <f>HYPERLINK("https://www.youtube.com/watch?v=68AW12_Psj0", "Video")</f>
        <v/>
      </c>
      <c r="B2420" t="inlineStr">
        <is>
          <t>21:39</t>
        </is>
      </c>
      <c r="C2420" t="inlineStr">
        <is>
          <t>Looks a little bit
like a squirrel's tail,</t>
        </is>
      </c>
      <c r="D2420">
        <f>HYPERLINK("https://www.youtube.com/watch?v=68AW12_Psj0&amp;t=1299s", "Go to time")</f>
        <v/>
      </c>
    </row>
    <row r="2421">
      <c r="A2421">
        <f>HYPERLINK("https://www.youtube.com/watch?v=kbPAdGG9npo", "Video")</f>
        <v/>
      </c>
      <c r="B2421" t="inlineStr">
        <is>
          <t>0:29</t>
        </is>
      </c>
      <c r="C2421" t="inlineStr">
        <is>
          <t>but i'm in a bit of a behind at the</t>
        </is>
      </c>
      <c r="D2421">
        <f>HYPERLINK("https://www.youtube.com/watch?v=kbPAdGG9npo&amp;t=29s", "Go to time")</f>
        <v/>
      </c>
    </row>
    <row r="2422">
      <c r="A2422">
        <f>HYPERLINK("https://www.youtube.com/watch?v=qBTITD-DkWU", "Video")</f>
        <v/>
      </c>
      <c r="B2422" t="inlineStr">
        <is>
          <t>0:12</t>
        </is>
      </c>
      <c r="C2422" t="inlineStr">
        <is>
          <t>well it starts with mubity but after</t>
        </is>
      </c>
      <c r="D2422">
        <f>HYPERLINK("https://www.youtube.com/watch?v=qBTITD-DkWU&amp;t=12s", "Go to time")</f>
        <v/>
      </c>
    </row>
    <row r="2423">
      <c r="A2423">
        <f>HYPERLINK("https://www.youtube.com/watch?v=zlo_dabBMzc", "Video")</f>
        <v/>
      </c>
      <c r="B2423" t="inlineStr">
        <is>
          <t>22:04</t>
        </is>
      </c>
      <c r="C2423" t="inlineStr">
        <is>
          <t>feeling just a bit crazy not the best at</t>
        </is>
      </c>
      <c r="D2423">
        <f>HYPERLINK("https://www.youtube.com/watch?v=zlo_dabBMzc&amp;t=1324s", "Go to time")</f>
        <v/>
      </c>
    </row>
    <row r="2424">
      <c r="A2424">
        <f>HYPERLINK("https://www.youtube.com/watch?v=zlo_dabBMzc", "Video")</f>
        <v/>
      </c>
      <c r="B2424" t="inlineStr">
        <is>
          <t>22:40</t>
        </is>
      </c>
      <c r="C2424" t="inlineStr">
        <is>
          <t>inside for quite a bit it's not time to</t>
        </is>
      </c>
      <c r="D2424">
        <f>HYPERLINK("https://www.youtube.com/watch?v=zlo_dabBMzc&amp;t=1360s", "Go to time")</f>
        <v/>
      </c>
    </row>
    <row r="2425">
      <c r="A2425">
        <f>HYPERLINK("https://www.youtube.com/watch?v=Kaf_ExJ1B8Y", "Video")</f>
        <v/>
      </c>
      <c r="B2425" t="inlineStr">
        <is>
          <t>8:57</t>
        </is>
      </c>
      <c r="C2425" t="inlineStr">
        <is>
          <t>Especially if you've
gotten past
your biting stage.</t>
        </is>
      </c>
      <c r="D2425">
        <f>HYPERLINK("https://www.youtube.com/watch?v=Kaf_ExJ1B8Y&amp;t=537s", "Go to time")</f>
        <v/>
      </c>
    </row>
    <row r="2426">
      <c r="A2426">
        <f>HYPERLINK("https://www.youtube.com/watch?v=Kaf_ExJ1B8Y", "Video")</f>
        <v/>
      </c>
      <c r="B2426" t="inlineStr">
        <is>
          <t>8:59</t>
        </is>
      </c>
      <c r="C2426" t="inlineStr">
        <is>
          <t>(BITING)
NELLIE: Ow!</t>
        </is>
      </c>
      <c r="D2426">
        <f>HYPERLINK("https://www.youtube.com/watch?v=Kaf_ExJ1B8Y&amp;t=539s", "Go to time")</f>
        <v/>
      </c>
    </row>
    <row r="2427">
      <c r="A2427">
        <f>HYPERLINK("https://www.youtube.com/watch?v=aT9YJl-V2e0", "Video")</f>
        <v/>
      </c>
      <c r="B2427" t="inlineStr">
        <is>
          <t>0:02</t>
        </is>
      </c>
      <c r="C2427" t="inlineStr">
        <is>
          <t>bite from jesse right now bt dubs the</t>
        </is>
      </c>
      <c r="D2427">
        <f>HYPERLINK("https://www.youtube.com/watch?v=aT9YJl-V2e0&amp;t=2s", "Go to time")</f>
        <v/>
      </c>
    </row>
    <row r="2428">
      <c r="A2428">
        <f>HYPERLINK("https://www.youtube.com/watch?v=NqIpXjywGHM", "Video")</f>
        <v/>
      </c>
      <c r="B2428" t="inlineStr">
        <is>
          <t>0:59</t>
        </is>
      </c>
      <c r="C2428" t="inlineStr">
        <is>
          <t>I'm gonna need a little
bit of boogie, okay?</t>
        </is>
      </c>
      <c r="D2428">
        <f>HYPERLINK("https://www.youtube.com/watch?v=NqIpXjywGHM&amp;t=59s", "Go to time")</f>
        <v/>
      </c>
    </row>
    <row r="2429">
      <c r="A2429">
        <f>HYPERLINK("https://www.youtube.com/watch?v=0JmK6SZKAwo", "Video")</f>
        <v/>
      </c>
      <c r="B2429" t="inlineStr">
        <is>
          <t>3:18</t>
        </is>
      </c>
      <c r="C2429" t="inlineStr">
        <is>
          <t>person's a bit of a</t>
        </is>
      </c>
      <c r="D2429">
        <f>HYPERLINK("https://www.youtube.com/watch?v=0JmK6SZKAwo&amp;t=198s", "Go to time")</f>
        <v/>
      </c>
    </row>
    <row r="2430">
      <c r="A2430">
        <f>HYPERLINK("https://www.youtube.com/watch?v=t2GcRZ7ZEFk", "Video")</f>
        <v/>
      </c>
      <c r="B2430" t="inlineStr">
        <is>
          <t>3:31</t>
        </is>
      </c>
      <c r="C2430" t="inlineStr">
        <is>
          <t>okay first bite</t>
        </is>
      </c>
      <c r="D2430">
        <f>HYPERLINK("https://www.youtube.com/watch?v=t2GcRZ7ZEFk&amp;t=211s", "Go to time")</f>
        <v/>
      </c>
    </row>
    <row r="2431">
      <c r="A2431">
        <f>HYPERLINK("https://www.youtube.com/watch?v=t2GcRZ7ZEFk", "Video")</f>
        <v/>
      </c>
      <c r="B2431" t="inlineStr">
        <is>
          <t>4:13</t>
        </is>
      </c>
      <c r="C2431" t="inlineStr">
        <is>
          <t>painful bites on the rums</t>
        </is>
      </c>
      <c r="D2431">
        <f>HYPERLINK("https://www.youtube.com/watch?v=t2GcRZ7ZEFk&amp;t=253s", "Go to time")</f>
        <v/>
      </c>
    </row>
    <row r="2432">
      <c r="A2432">
        <f>HYPERLINK("https://www.youtube.com/watch?v=hJl7vkQ918M", "Video")</f>
        <v/>
      </c>
      <c r="B2432" t="inlineStr">
        <is>
          <t>2:54</t>
        </is>
      </c>
      <c r="C2432" t="inlineStr">
        <is>
          <t>Cricket, could you at least
finish your bite before you--</t>
        </is>
      </c>
      <c r="D2432">
        <f>HYPERLINK("https://www.youtube.com/watch?v=hJl7vkQ918M&amp;t=174s", "Go to time")</f>
        <v/>
      </c>
    </row>
    <row r="2433">
      <c r="A2433">
        <f>HYPERLINK("https://www.youtube.com/watch?v=hJl7vkQ918M", "Video")</f>
        <v/>
      </c>
      <c r="B2433" t="inlineStr">
        <is>
          <t>4:56</t>
        </is>
      </c>
      <c r="C2433" t="inlineStr">
        <is>
          <t>if I just slip 'em off
for a bit. [chuckling]</t>
        </is>
      </c>
      <c r="D2433">
        <f>HYPERLINK("https://www.youtube.com/watch?v=hJl7vkQ918M&amp;t=296s", "Go to time")</f>
        <v/>
      </c>
    </row>
    <row r="2434">
      <c r="A2434">
        <f>HYPERLINK("https://www.youtube.com/watch?v=hJl7vkQ918M", "Video")</f>
        <v/>
      </c>
      <c r="B2434" t="inlineStr">
        <is>
          <t>9:57</t>
        </is>
      </c>
      <c r="C2434" t="inlineStr">
        <is>
          <t>Eh, it was a bit of a gamble,</t>
        </is>
      </c>
      <c r="D2434">
        <f>HYPERLINK("https://www.youtube.com/watch?v=hJl7vkQ918M&amp;t=597s", "Go to time")</f>
        <v/>
      </c>
    </row>
    <row r="2435">
      <c r="A2435">
        <f>HYPERLINK("https://www.youtube.com/watch?v=hJl7vkQ918M", "Video")</f>
        <v/>
      </c>
      <c r="B2435" t="inlineStr">
        <is>
          <t>21:52</t>
        </is>
      </c>
      <c r="C2435" t="inlineStr">
        <is>
          <t>♪ Lost a bet and got bit
by a hundred flies ♪</t>
        </is>
      </c>
      <c r="D2435">
        <f>HYPERLINK("https://www.youtube.com/watch?v=hJl7vkQ918M&amp;t=1312s", "Go to time")</f>
        <v/>
      </c>
    </row>
    <row r="2436">
      <c r="A2436">
        <f>HYPERLINK("https://www.youtube.com/watch?v=VmS9LKzIF-o", "Video")</f>
        <v/>
      </c>
      <c r="B2436" t="inlineStr">
        <is>
          <t>4:19</t>
        </is>
      </c>
      <c r="C2436" t="inlineStr">
        <is>
          <t>for my buddy oh wow oh nice to bite all</t>
        </is>
      </c>
      <c r="D2436">
        <f>HYPERLINK("https://www.youtube.com/watch?v=VmS9LKzIF-o&amp;t=259s", "Go to time")</f>
        <v/>
      </c>
    </row>
    <row r="2437">
      <c r="A2437">
        <f>HYPERLINK("https://www.youtube.com/watch?v=SW3YbidL7G4", "Video")</f>
        <v/>
      </c>
      <c r="B2437" t="inlineStr">
        <is>
          <t>0:29</t>
        </is>
      </c>
      <c r="C2437" t="inlineStr">
        <is>
          <t>no bites now i'm gonna go into my study</t>
        </is>
      </c>
      <c r="D2437">
        <f>HYPERLINK("https://www.youtube.com/watch?v=SW3YbidL7G4&amp;t=29s", "Go to time")</f>
        <v/>
      </c>
    </row>
    <row r="2438">
      <c r="A2438">
        <f>HYPERLINK("https://www.youtube.com/watch?v=MVSaLg5xBr0", "Video")</f>
        <v/>
      </c>
      <c r="B2438" t="inlineStr">
        <is>
          <t>10:24</t>
        </is>
      </c>
      <c r="C2438" t="inlineStr">
        <is>
          <t>Why do you choose these
itty-bitty spiders over me?</t>
        </is>
      </c>
      <c r="D2438">
        <f>HYPERLINK("https://www.youtube.com/watch?v=MVSaLg5xBr0&amp;t=624s", "Go to time")</f>
        <v/>
      </c>
    </row>
    <row r="2439">
      <c r="A2439">
        <f>HYPERLINK("https://www.youtube.com/watch?v=MVSaLg5xBr0", "Video")</f>
        <v/>
      </c>
      <c r="B2439" t="inlineStr">
        <is>
          <t>10:31</t>
        </is>
      </c>
      <c r="C2439" t="inlineStr">
        <is>
          <t>Yeah, especially
the itty-bitty ones.</t>
        </is>
      </c>
      <c r="D2439">
        <f>HYPERLINK("https://www.youtube.com/watch?v=MVSaLg5xBr0&amp;t=631s", "Go to time")</f>
        <v/>
      </c>
    </row>
    <row r="2440">
      <c r="A2440">
        <f>HYPERLINK("https://www.youtube.com/watch?v=MVSaLg5xBr0", "Video")</f>
        <v/>
      </c>
      <c r="B2440" t="inlineStr">
        <is>
          <t>19:18</t>
        </is>
      </c>
      <c r="C2440" t="inlineStr">
        <is>
          <t>[King] The ball can bite you,
and the rules are nonsense,
but it's still kinda fun.</t>
        </is>
      </c>
      <c r="D2440">
        <f>HYPERLINK("https://www.youtube.com/watch?v=MVSaLg5xBr0&amp;t=1158s", "Go to time")</f>
        <v/>
      </c>
    </row>
    <row r="2441">
      <c r="A2441">
        <f>HYPERLINK("https://www.youtube.com/watch?v=MVSaLg5xBr0", "Video")</f>
        <v/>
      </c>
      <c r="B2441" t="inlineStr">
        <is>
          <t>20:15</t>
        </is>
      </c>
      <c r="C2441" t="inlineStr">
        <is>
          <t>Still, I've never seen
an itty-bitty spider
do it that way.</t>
        </is>
      </c>
      <c r="D2441">
        <f>HYPERLINK("https://www.youtube.com/watch?v=MVSaLg5xBr0&amp;t=1215s", "Go to time")</f>
        <v/>
      </c>
    </row>
    <row r="2442">
      <c r="A2442">
        <f>HYPERLINK("https://www.youtube.com/watch?v=MVSaLg5xBr0", "Video")</f>
        <v/>
      </c>
      <c r="B2442" t="inlineStr">
        <is>
          <t>29:02</t>
        </is>
      </c>
      <c r="C2442" t="inlineStr">
        <is>
          <t>so let me use
my last bit of life
to help you.</t>
        </is>
      </c>
      <c r="D2442">
        <f>HYPERLINK("https://www.youtube.com/watch?v=MVSaLg5xBr0&amp;t=1742s", "Go to time")</f>
        <v/>
      </c>
    </row>
    <row r="2443">
      <c r="A2443">
        <f>HYPERLINK("https://www.youtube.com/watch?v=FKMVFKPvUjI", "Video")</f>
        <v/>
      </c>
      <c r="B2443" t="inlineStr">
        <is>
          <t>0:16</t>
        </is>
      </c>
      <c r="C2443" t="inlineStr">
        <is>
          <t>your "Primos" might be a bit--</t>
        </is>
      </c>
      <c r="D2443">
        <f>HYPERLINK("https://www.youtube.com/watch?v=FKMVFKPvUjI&amp;t=16s", "Go to time")</f>
        <v/>
      </c>
    </row>
    <row r="2444">
      <c r="A2444">
        <f>HYPERLINK("https://www.youtube.com/watch?v=Hnorn_Ke_dM", "Video")</f>
        <v/>
      </c>
      <c r="B2444" t="inlineStr">
        <is>
          <t>0:53</t>
        </is>
      </c>
      <c r="C2444" t="inlineStr">
        <is>
          <t>went into the woods for a little bit and</t>
        </is>
      </c>
      <c r="D2444">
        <f>HYPERLINK("https://www.youtube.com/watch?v=Hnorn_Ke_dM&amp;t=53s", "Go to time")</f>
        <v/>
      </c>
    </row>
    <row r="2445">
      <c r="A2445">
        <f>HYPERLINK("https://www.youtube.com/watch?v=NydhHxA924M", "Video")</f>
        <v/>
      </c>
      <c r="B2445" t="inlineStr">
        <is>
          <t>0:28</t>
        </is>
      </c>
      <c r="C2445" t="inlineStr">
        <is>
          <t>on I'm a little bit of a scaredy cat I</t>
        </is>
      </c>
      <c r="D2445">
        <f>HYPERLINK("https://www.youtube.com/watch?v=NydhHxA924M&amp;t=28s", "Go to time")</f>
        <v/>
      </c>
    </row>
    <row r="2446">
      <c r="A2446">
        <f>HYPERLINK("https://www.youtube.com/watch?v=NydhHxA924M", "Video")</f>
        <v/>
      </c>
      <c r="B2446" t="inlineStr">
        <is>
          <t>0:32</t>
        </is>
      </c>
      <c r="C2446" t="inlineStr">
        <is>
          <t>have a fear of heights just a little bit</t>
        </is>
      </c>
      <c r="D2446">
        <f>HYPERLINK("https://www.youtube.com/watch?v=NydhHxA924M&amp;t=32s", "Go to time")</f>
        <v/>
      </c>
    </row>
    <row r="2447">
      <c r="A2447">
        <f>HYPERLINK("https://www.youtube.com/watch?v=AyuA-n99mZs", "Video")</f>
        <v/>
      </c>
      <c r="B2447" t="inlineStr">
        <is>
          <t>6:07</t>
        </is>
      </c>
      <c r="C2447" t="inlineStr">
        <is>
          <t>NOPE, YOU'RE SMELLING
SQUIRREL BITS ROASTING
ON A CARBURETOR.</t>
        </is>
      </c>
      <c r="D2447">
        <f>HYPERLINK("https://www.youtube.com/watch?v=AyuA-n99mZs&amp;t=367s", "Go to time")</f>
        <v/>
      </c>
    </row>
    <row r="2448">
      <c r="A2448">
        <f>HYPERLINK("https://www.youtube.com/watch?v=AyuA-n99mZs", "Video")</f>
        <v/>
      </c>
      <c r="B2448" t="inlineStr">
        <is>
          <t>7:02</t>
        </is>
      </c>
      <c r="C2448" t="inlineStr">
        <is>
          <t>WHICH MEANS WE ARE CHOCK-FULL
OF SNOW RABBIT ROAST</t>
        </is>
      </c>
      <c r="D2448">
        <f>HYPERLINK("https://www.youtube.com/watch?v=AyuA-n99mZs&amp;t=422s", "Go to time")</f>
        <v/>
      </c>
    </row>
    <row r="2449">
      <c r="A2449">
        <f>HYPERLINK("https://www.youtube.com/watch?v=AyuA-n99mZs", "Video")</f>
        <v/>
      </c>
      <c r="B2449" t="inlineStr">
        <is>
          <t>17:17</t>
        </is>
      </c>
      <c r="C2449" t="inlineStr">
        <is>
          <t>♪ 11 FLEAS A BITING ♪</t>
        </is>
      </c>
      <c r="D2449">
        <f>HYPERLINK("https://www.youtube.com/watch?v=AyuA-n99mZs&amp;t=1037s", "Go to time")</f>
        <v/>
      </c>
    </row>
    <row r="2450">
      <c r="A2450">
        <f>HYPERLINK("https://www.youtube.com/watch?v=AyuA-n99mZs", "Video")</f>
        <v/>
      </c>
      <c r="B2450" t="inlineStr">
        <is>
          <t>17:49</t>
        </is>
      </c>
      <c r="C2450" t="inlineStr">
        <is>
          <t>♪ 11 ITCHY FLEA BITES ♪</t>
        </is>
      </c>
      <c r="D2450">
        <f>HYPERLINK("https://www.youtube.com/watch?v=AyuA-n99mZs&amp;t=1069s", "Go to time")</f>
        <v/>
      </c>
    </row>
    <row r="2451">
      <c r="A2451">
        <f>HYPERLINK("https://www.youtube.com/watch?v=tsTzzFlx3a4", "Video")</f>
        <v/>
      </c>
      <c r="B2451" t="inlineStr">
        <is>
          <t>0:33</t>
        </is>
      </c>
      <c r="C2451" t="inlineStr">
        <is>
          <t>me a little bit gets worse how can it</t>
        </is>
      </c>
      <c r="D2451">
        <f>HYPERLINK("https://www.youtube.com/watch?v=tsTzzFlx3a4&amp;t=33s", "Go to time")</f>
        <v/>
      </c>
    </row>
    <row r="2452">
      <c r="A2452">
        <f>HYPERLINK("https://www.youtube.com/watch?v=Ry_Nz759o08", "Video")</f>
        <v/>
      </c>
      <c r="B2452" t="inlineStr">
        <is>
          <t>10:10</t>
        </is>
      </c>
      <c r="C2452" t="inlineStr">
        <is>
          <t>but if not
in bits and pieces.</t>
        </is>
      </c>
      <c r="D2452">
        <f>HYPERLINK("https://www.youtube.com/watch?v=Ry_Nz759o08&amp;t=610s", "Go to time")</f>
        <v/>
      </c>
    </row>
    <row r="2453">
      <c r="A2453">
        <f>HYPERLINK("https://www.youtube.com/watch?v=Ry_Nz759o08", "Video")</f>
        <v/>
      </c>
      <c r="B2453" t="inlineStr">
        <is>
          <t>10:19</t>
        </is>
      </c>
      <c r="C2453" t="inlineStr">
        <is>
          <t>Okay, fine. I promise.
I will bite my tongue.</t>
        </is>
      </c>
      <c r="D2453">
        <f>HYPERLINK("https://www.youtube.com/watch?v=Ry_Nz759o08&amp;t=619s", "Go to time")</f>
        <v/>
      </c>
    </row>
    <row r="2454">
      <c r="A2454">
        <f>HYPERLINK("https://www.youtube.com/watch?v=Tik7j5R7tLM", "Video")</f>
        <v/>
      </c>
      <c r="B2454" t="inlineStr">
        <is>
          <t>0:40</t>
        </is>
      </c>
      <c r="C2454" t="inlineStr">
        <is>
          <t>another mentor bites the dust now i told</t>
        </is>
      </c>
      <c r="D2454">
        <f>HYPERLINK("https://www.youtube.com/watch?v=Tik7j5R7tLM&amp;t=40s", "Go to time")</f>
        <v/>
      </c>
    </row>
    <row r="2455">
      <c r="A2455">
        <f>HYPERLINK("https://www.youtube.com/watch?v=vY9eDWHMEkI", "Video")</f>
        <v/>
      </c>
      <c r="B2455" t="inlineStr">
        <is>
          <t>0:50</t>
        </is>
      </c>
      <c r="C2455" t="inlineStr">
        <is>
          <t>We're usually a bit
more coordinated than this.</t>
        </is>
      </c>
      <c r="D2455">
        <f>HYPERLINK("https://www.youtube.com/watch?v=vY9eDWHMEkI&amp;t=50s", "Go to time")</f>
        <v/>
      </c>
    </row>
    <row r="2456">
      <c r="A2456">
        <f>HYPERLINK("https://www.youtube.com/watch?v=Gx5XjAT9a_o", "Video")</f>
        <v/>
      </c>
      <c r="B2456" t="inlineStr">
        <is>
          <t>4:12</t>
        </is>
      </c>
      <c r="C2456" t="inlineStr">
        <is>
          <t>That little bit o' rest
cured me right up!</t>
        </is>
      </c>
      <c r="D2456">
        <f>HYPERLINK("https://www.youtube.com/watch?v=Gx5XjAT9a_o&amp;t=252s", "Go to time")</f>
        <v/>
      </c>
    </row>
    <row r="2457">
      <c r="A2457">
        <f>HYPERLINK("https://www.youtube.com/watch?v=Gx5XjAT9a_o", "Video")</f>
        <v/>
      </c>
      <c r="B2457" t="inlineStr">
        <is>
          <t>8:14</t>
        </is>
      </c>
      <c r="C2457" t="inlineStr">
        <is>
          <t>You would crush my ambition
simply because I had a little</t>
        </is>
      </c>
      <c r="D2457">
        <f>HYPERLINK("https://www.youtube.com/watch?v=Gx5XjAT9a_o&amp;t=494s", "Go to time")</f>
        <v/>
      </c>
    </row>
    <row r="2458">
      <c r="A2458">
        <f>HYPERLINK("https://www.youtube.com/watch?v=o-nwuyCs99Y", "Video")</f>
        <v/>
      </c>
      <c r="B2458" t="inlineStr">
        <is>
          <t>0:31</t>
        </is>
      </c>
      <c r="C2458" t="inlineStr">
        <is>
          <t>today my mosquito bite spelled out</t>
        </is>
      </c>
      <c r="D2458">
        <f>HYPERLINK("https://www.youtube.com/watch?v=o-nwuyCs99Y&amp;t=31s", "Go to time")</f>
        <v/>
      </c>
    </row>
    <row r="2459">
      <c r="A2459">
        <f>HYPERLINK("https://www.youtube.com/watch?v=NF0u5v6bSHs", "Video")</f>
        <v/>
      </c>
      <c r="B2459" t="inlineStr">
        <is>
          <t>0:11</t>
        </is>
      </c>
      <c r="C2459" t="inlineStr">
        <is>
          <t>Jackson: So here are four
"Toy Story" tidbits</t>
        </is>
      </c>
      <c r="D2459">
        <f>HYPERLINK("https://www.youtube.com/watch?v=NF0u5v6bSHs&amp;t=11s", "Go to time")</f>
        <v/>
      </c>
    </row>
    <row r="2460">
      <c r="A2460">
        <f>HYPERLINK("https://www.youtube.com/watch?v=v7LkM9D2Eoo", "Video")</f>
        <v/>
      </c>
      <c r="B2460" t="inlineStr">
        <is>
          <t>2:51</t>
        </is>
      </c>
      <c r="C2460" t="inlineStr">
        <is>
          <t>inhabit my character before I even think</t>
        </is>
      </c>
      <c r="D2460">
        <f>HYPERLINK("https://www.youtube.com/watch?v=v7LkM9D2Eoo&amp;t=171s", "Go to time")</f>
        <v/>
      </c>
    </row>
    <row r="2461">
      <c r="A2461">
        <f>HYPERLINK("https://www.youtube.com/watch?v=YvuR5lfedNE", "Video")</f>
        <v/>
      </c>
      <c r="B2461" t="inlineStr">
        <is>
          <t>4:54</t>
        </is>
      </c>
      <c r="C2461" t="inlineStr">
        <is>
          <t>oh and then i bit the mailman</t>
        </is>
      </c>
      <c r="D2461">
        <f>HYPERLINK("https://www.youtube.com/watch?v=YvuR5lfedNE&amp;t=294s", "Go to time")</f>
        <v/>
      </c>
    </row>
    <row r="2462">
      <c r="A2462">
        <f>HYPERLINK("https://www.youtube.com/watch?v=tzoCoTfarQA", "Video")</f>
        <v/>
      </c>
      <c r="B2462" t="inlineStr">
        <is>
          <t>6:44</t>
        </is>
      </c>
      <c r="C2462" t="inlineStr">
        <is>
          <t>i'll see you in a bit</t>
        </is>
      </c>
      <c r="D2462">
        <f>HYPERLINK("https://www.youtube.com/watch?v=tzoCoTfarQA&amp;t=404s", "Go to time")</f>
        <v/>
      </c>
    </row>
    <row r="2463">
      <c r="A2463">
        <f>HYPERLINK("https://www.youtube.com/watch?v=tzoCoTfarQA", "Video")</f>
        <v/>
      </c>
      <c r="B2463" t="inlineStr">
        <is>
          <t>9:04</t>
        </is>
      </c>
      <c r="C2463" t="inlineStr">
        <is>
          <t>that actually bite you okay smart</t>
        </is>
      </c>
      <c r="D2463">
        <f>HYPERLINK("https://www.youtube.com/watch?v=tzoCoTfarQA&amp;t=544s", "Go to time")</f>
        <v/>
      </c>
    </row>
    <row r="2464">
      <c r="A2464">
        <f>HYPERLINK("https://www.youtube.com/watch?v=tzoCoTfarQA", "Video")</f>
        <v/>
      </c>
      <c r="B2464" t="inlineStr">
        <is>
          <t>16:56</t>
        </is>
      </c>
      <c r="C2464" t="inlineStr">
        <is>
          <t>was a bit frightening but the name does</t>
        </is>
      </c>
      <c r="D2464">
        <f>HYPERLINK("https://www.youtube.com/watch?v=tzoCoTfarQA&amp;t=1016s", "Go to time")</f>
        <v/>
      </c>
    </row>
    <row r="2465">
      <c r="A2465">
        <f>HYPERLINK("https://www.youtube.com/watch?v=tzoCoTfarQA", "Video")</f>
        <v/>
      </c>
      <c r="B2465" t="inlineStr">
        <is>
          <t>18:50</t>
        </is>
      </c>
      <c r="C2465" t="inlineStr">
        <is>
          <t>little bit put on a big smile before you</t>
        </is>
      </c>
      <c r="D2465">
        <f>HYPERLINK("https://www.youtube.com/watch?v=tzoCoTfarQA&amp;t=1130s", "Go to time")</f>
        <v/>
      </c>
    </row>
    <row r="2466">
      <c r="A2466">
        <f>HYPERLINK("https://www.youtube.com/watch?v=tzoCoTfarQA", "Video")</f>
        <v/>
      </c>
      <c r="B2466" t="inlineStr">
        <is>
          <t>21:31</t>
        </is>
      </c>
      <c r="C2466" t="inlineStr">
        <is>
          <t>so there's a marietv added a little bit</t>
        </is>
      </c>
      <c r="D2466">
        <f>HYPERLINK("https://www.youtube.com/watch?v=tzoCoTfarQA&amp;t=1291s", "Go to time")</f>
        <v/>
      </c>
    </row>
    <row r="2467">
      <c r="A2467">
        <f>HYPERLINK("https://www.youtube.com/watch?v=tzoCoTfarQA", "Video")</f>
        <v/>
      </c>
      <c r="B2467" t="inlineStr">
        <is>
          <t>22:09</t>
        </is>
      </c>
      <c r="C2467" t="inlineStr">
        <is>
          <t>like you guys could handle a little bit</t>
        </is>
      </c>
      <c r="D2467">
        <f>HYPERLINK("https://www.youtube.com/watch?v=tzoCoTfarQA&amp;t=1329s", "Go to time")</f>
        <v/>
      </c>
    </row>
    <row r="2468">
      <c r="A2468">
        <f>HYPERLINK("https://www.youtube.com/watch?v=tzoCoTfarQA", "Video")</f>
        <v/>
      </c>
      <c r="B2468" t="inlineStr">
        <is>
          <t>23:42</t>
        </is>
      </c>
      <c r="C2468" t="inlineStr">
        <is>
          <t>go i'm gonna come a little bit closer</t>
        </is>
      </c>
      <c r="D2468">
        <f>HYPERLINK("https://www.youtube.com/watch?v=tzoCoTfarQA&amp;t=1422s", "Go to time")</f>
        <v/>
      </c>
    </row>
    <row r="2469">
      <c r="A2469">
        <f>HYPERLINK("https://www.youtube.com/watch?v=tzoCoTfarQA", "Video")</f>
        <v/>
      </c>
      <c r="B2469" t="inlineStr">
        <is>
          <t>30:57</t>
        </is>
      </c>
      <c r="C2469" t="inlineStr">
        <is>
          <t>make-believe a little bit i mean you</t>
        </is>
      </c>
      <c r="D2469">
        <f>HYPERLINK("https://www.youtube.com/watch?v=tzoCoTfarQA&amp;t=1857s", "Go to time")</f>
        <v/>
      </c>
    </row>
    <row r="2470">
      <c r="A2470">
        <f>HYPERLINK("https://www.youtube.com/watch?v=tzoCoTfarQA", "Video")</f>
        <v/>
      </c>
      <c r="B2470" t="inlineStr">
        <is>
          <t>32:26</t>
        </is>
      </c>
      <c r="C2470" t="inlineStr">
        <is>
          <t>fantastical creatures to inhabit it so</t>
        </is>
      </c>
      <c r="D2470">
        <f>HYPERLINK("https://www.youtube.com/watch?v=tzoCoTfarQA&amp;t=1946s", "Go to time")</f>
        <v/>
      </c>
    </row>
    <row r="2471">
      <c r="A2471">
        <f>HYPERLINK("https://www.youtube.com/watch?v=tzoCoTfarQA", "Video")</f>
        <v/>
      </c>
      <c r="B2471" t="inlineStr">
        <is>
          <t>32:41</t>
        </is>
      </c>
      <c r="C2471" t="inlineStr">
        <is>
          <t>creatures that shared a habitat with</t>
        </is>
      </c>
      <c r="D2471">
        <f>HYPERLINK("https://www.youtube.com/watch?v=tzoCoTfarQA&amp;t=1961s", "Go to time")</f>
        <v/>
      </c>
    </row>
    <row r="2472">
      <c r="A2472">
        <f>HYPERLINK("https://www.youtube.com/watch?v=tzoCoTfarQA", "Video")</f>
        <v/>
      </c>
      <c r="B2472" t="inlineStr">
        <is>
          <t>38:40</t>
        </is>
      </c>
      <c r="C2472" t="inlineStr">
        <is>
          <t>we'll have to hunt around a bit come on</t>
        </is>
      </c>
      <c r="D2472">
        <f>HYPERLINK("https://www.youtube.com/watch?v=tzoCoTfarQA&amp;t=2320s", "Go to time")</f>
        <v/>
      </c>
    </row>
    <row r="2473">
      <c r="A2473">
        <f>HYPERLINK("https://www.youtube.com/watch?v=KkSbvTPlOr0", "Video")</f>
        <v/>
      </c>
      <c r="B2473" t="inlineStr">
        <is>
          <t>4:42</t>
        </is>
      </c>
      <c r="C2473" t="inlineStr">
        <is>
          <t>Bit if I die,
all of y'all are grounded.</t>
        </is>
      </c>
      <c r="D2473">
        <f>HYPERLINK("https://www.youtube.com/watch?v=KkSbvTPlOr0&amp;t=282s", "Go to time")</f>
        <v/>
      </c>
    </row>
    <row r="2474">
      <c r="A2474">
        <f>HYPERLINK("https://www.youtube.com/watch?v=m1Uj9-8S2V4", "Video")</f>
        <v/>
      </c>
      <c r="B2474" t="inlineStr">
        <is>
          <t>1:12</t>
        </is>
      </c>
      <c r="C2474" t="inlineStr">
        <is>
          <t>elevate them a bit.</t>
        </is>
      </c>
      <c r="D2474">
        <f>HYPERLINK("https://www.youtube.com/watch?v=m1Uj9-8S2V4&amp;t=72s", "Go to time")</f>
        <v/>
      </c>
    </row>
    <row r="2475">
      <c r="A2475">
        <f>HYPERLINK("https://www.youtube.com/watch?v=JIkYW4NRuRg", "Video")</f>
        <v/>
      </c>
      <c r="B2475" t="inlineStr">
        <is>
          <t>0:02</t>
        </is>
      </c>
      <c r="C2475" t="inlineStr">
        <is>
          <t>mini bite from Sweet Life on</t>
        </is>
      </c>
      <c r="D2475">
        <f>HYPERLINK("https://www.youtube.com/watch?v=JIkYW4NRuRg&amp;t=2s", "Go to time")</f>
        <v/>
      </c>
    </row>
    <row r="2476">
      <c r="A2476">
        <f>HYPERLINK("https://www.youtube.com/watch?v=hdFJGEq7O_s", "Video")</f>
        <v/>
      </c>
      <c r="B2476" t="inlineStr">
        <is>
          <t>15:50</t>
        </is>
      </c>
      <c r="C2476" t="inlineStr">
        <is>
          <t>it's the most inhabiting time of the</t>
        </is>
      </c>
      <c r="D2476">
        <f>HYPERLINK("https://www.youtube.com/watch?v=hdFJGEq7O_s&amp;t=950s", "Go to time")</f>
        <v/>
      </c>
    </row>
    <row r="2477">
      <c r="A2477">
        <f>HYPERLINK("https://www.youtube.com/watch?v=lxLR2u9MHeI", "Video")</f>
        <v/>
      </c>
      <c r="B2477" t="inlineStr">
        <is>
          <t>1:14</t>
        </is>
      </c>
      <c r="C2477" t="inlineStr">
        <is>
          <t>nothing let me educate you a little bit</t>
        </is>
      </c>
      <c r="D2477">
        <f>HYPERLINK("https://www.youtube.com/watch?v=lxLR2u9MHeI&amp;t=74s", "Go to time")</f>
        <v/>
      </c>
    </row>
    <row r="2478">
      <c r="A2478">
        <f>HYPERLINK("https://www.youtube.com/watch?v=UxipVFKJps4", "Video")</f>
        <v/>
      </c>
      <c r="B2478" t="inlineStr">
        <is>
          <t>0:42</t>
        </is>
      </c>
      <c r="C2478" t="inlineStr">
        <is>
          <t>bit of</t>
        </is>
      </c>
      <c r="D2478">
        <f>HYPERLINK("https://www.youtube.com/watch?v=UxipVFKJps4&amp;t=42s", "Go to time")</f>
        <v/>
      </c>
    </row>
    <row r="2479">
      <c r="A2479">
        <f>HYPERLINK("https://www.youtube.com/watch?v=kcLu_CzP8Vo", "Video")</f>
        <v/>
      </c>
      <c r="B2479" t="inlineStr">
        <is>
          <t>0:02</t>
        </is>
      </c>
      <c r="C2479" t="inlineStr">
        <is>
          <t>bite from an allnew Phineas infer hi Mrs</t>
        </is>
      </c>
      <c r="D2479">
        <f>HYPERLINK("https://www.youtube.com/watch?v=kcLu_CzP8Vo&amp;t=2s", "Go to time")</f>
        <v/>
      </c>
    </row>
    <row r="2480">
      <c r="A2480">
        <f>HYPERLINK("https://www.youtube.com/watch?v=kcLu_CzP8Vo", "Video")</f>
        <v/>
      </c>
      <c r="B2480" t="inlineStr">
        <is>
          <t>0:19</t>
        </is>
      </c>
      <c r="C2480" t="inlineStr">
        <is>
          <t>is orbiting Earth in an International</t>
        </is>
      </c>
      <c r="D2480">
        <f>HYPERLINK("https://www.youtube.com/watch?v=kcLu_CzP8Vo&amp;t=19s", "Go to time")</f>
        <v/>
      </c>
    </row>
    <row r="2481">
      <c r="A2481">
        <f>HYPERLINK("https://www.youtube.com/watch?v=HeDc6gHWOjw", "Video")</f>
        <v/>
      </c>
      <c r="B2481" t="inlineStr">
        <is>
          <t>4:20</t>
        </is>
      </c>
      <c r="C2481" t="inlineStr">
        <is>
          <t>since one bit my grandpa's ear off but</t>
        </is>
      </c>
      <c r="D2481">
        <f>HYPERLINK("https://www.youtube.com/watch?v=HeDc6gHWOjw&amp;t=260s", "Go to time")</f>
        <v/>
      </c>
    </row>
    <row r="2482">
      <c r="A2482">
        <f>HYPERLINK("https://www.youtube.com/watch?v=HeDc6gHWOjw", "Video")</f>
        <v/>
      </c>
      <c r="B2482" t="inlineStr">
        <is>
          <t>7:16</t>
        </is>
      </c>
      <c r="C2482" t="inlineStr">
        <is>
          <t>overbite</t>
        </is>
      </c>
      <c r="D2482">
        <f>HYPERLINK("https://www.youtube.com/watch?v=HeDc6gHWOjw&amp;t=436s", "Go to time")</f>
        <v/>
      </c>
    </row>
    <row r="2483">
      <c r="A2483">
        <f>HYPERLINK("https://www.youtube.com/watch?v=HeDc6gHWOjw", "Video")</f>
        <v/>
      </c>
      <c r="B2483" t="inlineStr">
        <is>
          <t>18:15</t>
        </is>
      </c>
      <c r="C2483" t="inlineStr">
        <is>
          <t>being stuck in this exhibit is my great</t>
        </is>
      </c>
      <c r="D2483">
        <f>HYPERLINK("https://www.youtube.com/watch?v=HeDc6gHWOjw&amp;t=1095s", "Go to time")</f>
        <v/>
      </c>
    </row>
    <row r="2484">
      <c r="A2484">
        <f>HYPERLINK("https://www.youtube.com/watch?v=Mff3OwG56ek", "Video")</f>
        <v/>
      </c>
      <c r="B2484" t="inlineStr">
        <is>
          <t>0:25</t>
        </is>
      </c>
      <c r="C2484" t="inlineStr">
        <is>
          <t>and then insult my home. If I knew you
were coming I would have tided up a bit.</t>
        </is>
      </c>
      <c r="D2484">
        <f>HYPERLINK("https://www.youtube.com/watch?v=Mff3OwG56ek&amp;t=25s", "Go to time")</f>
        <v/>
      </c>
    </row>
    <row r="2485">
      <c r="A2485">
        <f>HYPERLINK("https://www.youtube.com/watch?v=c5f0qIwSDBs", "Video")</f>
        <v/>
      </c>
      <c r="B2485" t="inlineStr">
        <is>
          <t>13:44</t>
        </is>
      </c>
      <c r="C2485" t="inlineStr">
        <is>
          <t>Aw, not even one bite?</t>
        </is>
      </c>
      <c r="D2485">
        <f>HYPERLINK("https://www.youtube.com/watch?v=c5f0qIwSDBs&amp;t=824s", "Go to time")</f>
        <v/>
      </c>
    </row>
    <row r="2486">
      <c r="A2486">
        <f>HYPERLINK("https://www.youtube.com/watch?v=lsoMWsFeoKQ", "Video")</f>
        <v/>
      </c>
      <c r="B2486" t="inlineStr">
        <is>
          <t>0:37</t>
        </is>
      </c>
      <c r="C2486" t="inlineStr">
        <is>
          <t>Wizards I've ever met Billy a little bit</t>
        </is>
      </c>
      <c r="D2486">
        <f>HYPERLINK("https://www.youtube.com/watch?v=lsoMWsFeoKQ&amp;t=37s", "Go to time")</f>
        <v/>
      </c>
    </row>
    <row r="2487">
      <c r="A2487">
        <f>HYPERLINK("https://www.youtube.com/watch?v=lsoMWsFeoKQ", "Video")</f>
        <v/>
      </c>
      <c r="B2487" t="inlineStr">
        <is>
          <t>1:44</t>
        </is>
      </c>
      <c r="C2487" t="inlineStr">
        <is>
          <t>can be serious and she's a little bit</t>
        </is>
      </c>
      <c r="D2487">
        <f>HYPERLINK("https://www.youtube.com/watch?v=lsoMWsFeoKQ&amp;t=104s", "Go to time")</f>
        <v/>
      </c>
    </row>
    <row r="2488">
      <c r="A2488">
        <f>HYPERLINK("https://www.youtube.com/watch?v=uFiSr9qyg5w", "Video")</f>
        <v/>
      </c>
      <c r="B2488" t="inlineStr">
        <is>
          <t>0:33</t>
        </is>
      </c>
      <c r="C2488" t="inlineStr">
        <is>
          <t>me a little bit gets worse how can it</t>
        </is>
      </c>
      <c r="D2488">
        <f>HYPERLINK("https://www.youtube.com/watch?v=uFiSr9qyg5w&amp;t=33s", "Go to time")</f>
        <v/>
      </c>
    </row>
    <row r="2489">
      <c r="A2489">
        <f>HYPERLINK("https://www.youtube.com/watch?v=_J8_mC_5Qr8", "Video")</f>
        <v/>
      </c>
      <c r="B2489" t="inlineStr">
        <is>
          <t>10:09</t>
        </is>
      </c>
      <c r="C2489" t="inlineStr">
        <is>
          <t>a little bit of this a little bit there</t>
        </is>
      </c>
      <c r="D2489">
        <f>HYPERLINK("https://www.youtube.com/watch?v=_J8_mC_5Qr8&amp;t=609s", "Go to time")</f>
        <v/>
      </c>
    </row>
    <row r="2490">
      <c r="A2490">
        <f>HYPERLINK("https://www.youtube.com/watch?v=OtA8DAFW_VY", "Video")</f>
        <v/>
      </c>
      <c r="B2490" t="inlineStr">
        <is>
          <t>0:51</t>
        </is>
      </c>
      <c r="C2490" t="inlineStr">
        <is>
          <t>avoid of inhibitions eyes closing the</t>
        </is>
      </c>
      <c r="D2490">
        <f>HYPERLINK("https://www.youtube.com/watch?v=OtA8DAFW_VY&amp;t=51s", "Go to time")</f>
        <v/>
      </c>
    </row>
    <row r="2491">
      <c r="A2491">
        <f>HYPERLINK("https://www.youtube.com/watch?v=tWtBgPRqejQ", "Video")</f>
        <v/>
      </c>
      <c r="B2491" t="inlineStr">
        <is>
          <t>10:24</t>
        </is>
      </c>
      <c r="C2491" t="inlineStr">
        <is>
          <t>right a little bit so the centrifugal</t>
        </is>
      </c>
      <c r="D2491">
        <f>HYPERLINK("https://www.youtube.com/watch?v=tWtBgPRqejQ&amp;t=624s", "Go to time")</f>
        <v/>
      </c>
    </row>
    <row r="2492">
      <c r="A2492">
        <f>HYPERLINK("https://www.youtube.com/watch?v=Px4ZLYxvcPE", "Video")</f>
        <v/>
      </c>
      <c r="B2492" t="inlineStr">
        <is>
          <t>2:18</t>
        </is>
      </c>
      <c r="C2492" t="inlineStr">
        <is>
          <t>rabbit miraculous</t>
        </is>
      </c>
      <c r="D2492">
        <f>HYPERLINK("https://www.youtube.com/watch?v=Px4ZLYxvcPE&amp;t=138s", "Go to time")</f>
        <v/>
      </c>
    </row>
    <row r="2493">
      <c r="A2493">
        <f>HYPERLINK("https://www.youtube.com/watch?v=Px4ZLYxvcPE", "Video")</f>
        <v/>
      </c>
      <c r="B2493" t="inlineStr">
        <is>
          <t>2:35</t>
        </is>
      </c>
      <c r="C2493" t="inlineStr">
        <is>
          <t>rabbit miraculous the most powerful one</t>
        </is>
      </c>
      <c r="D2493">
        <f>HYPERLINK("https://www.youtube.com/watch?v=Px4ZLYxvcPE&amp;t=155s", "Go to time")</f>
        <v/>
      </c>
    </row>
    <row r="2494">
      <c r="A2494">
        <f>HYPERLINK("https://www.youtube.com/watch?v=Px4ZLYxvcPE", "Video")</f>
        <v/>
      </c>
      <c r="B2494" t="inlineStr">
        <is>
          <t>3:54</t>
        </is>
      </c>
      <c r="C2494" t="inlineStr">
        <is>
          <t>a rabbit miraculous amateur time is like</t>
        </is>
      </c>
      <c r="D2494">
        <f>HYPERLINK("https://www.youtube.com/watch?v=Px4ZLYxvcPE&amp;t=234s", "Go to time")</f>
        <v/>
      </c>
    </row>
    <row r="2495">
      <c r="A2495">
        <f>HYPERLINK("https://www.youtube.com/watch?v=u64v4YK-oQg", "Video")</f>
        <v/>
      </c>
      <c r="B2495" t="inlineStr">
        <is>
          <t>0:00</t>
        </is>
      </c>
      <c r="C2495" t="inlineStr">
        <is>
          <t>here's a disney channel mini bite from</t>
        </is>
      </c>
      <c r="D2495">
        <f>HYPERLINK("https://www.youtube.com/watch?v=u64v4YK-oQg&amp;t=0s", "Go to time")</f>
        <v/>
      </c>
    </row>
    <row r="2496">
      <c r="A2496">
        <f>HYPERLINK("https://www.youtube.com/watch?v=tBq1B-q3Pq0", "Video")</f>
        <v/>
      </c>
      <c r="B2496" t="inlineStr">
        <is>
          <t>2:18</t>
        </is>
      </c>
      <c r="C2496" t="inlineStr">
        <is>
          <t>hang out a little bit yes they're</t>
        </is>
      </c>
      <c r="D2496">
        <f>HYPERLINK("https://www.youtube.com/watch?v=tBq1B-q3Pq0&amp;t=138s", "Go to time")</f>
        <v/>
      </c>
    </row>
    <row r="2497">
      <c r="A2497">
        <f>HYPERLINK("https://www.youtube.com/watch?v=tBq1B-q3Pq0", "Video")</f>
        <v/>
      </c>
      <c r="B2497" t="inlineStr">
        <is>
          <t>3:16</t>
        </is>
      </c>
      <c r="C2497" t="inlineStr">
        <is>
          <t>tell us a little bit about that yeah</t>
        </is>
      </c>
      <c r="D2497">
        <f>HYPERLINK("https://www.youtube.com/watch?v=tBq1B-q3Pq0&amp;t=196s", "Go to time")</f>
        <v/>
      </c>
    </row>
    <row r="2498">
      <c r="A2498">
        <f>HYPERLINK("https://www.youtube.com/watch?v=tBq1B-q3Pq0", "Video")</f>
        <v/>
      </c>
      <c r="B2498" t="inlineStr">
        <is>
          <t>3:57</t>
        </is>
      </c>
      <c r="C2498" t="inlineStr">
        <is>
          <t>with them and tell us a little bit about</t>
        </is>
      </c>
      <c r="D2498">
        <f>HYPERLINK("https://www.youtube.com/watch?v=tBq1B-q3Pq0&amp;t=237s", "Go to time")</f>
        <v/>
      </c>
    </row>
    <row r="2499">
      <c r="A2499">
        <f>HYPERLINK("https://www.youtube.com/watch?v=tBq1B-q3Pq0", "Video")</f>
        <v/>
      </c>
      <c r="B2499" t="inlineStr">
        <is>
          <t>4:47</t>
        </is>
      </c>
      <c r="C2499" t="inlineStr">
        <is>
          <t>all like a family people are a bit</t>
        </is>
      </c>
      <c r="D2499">
        <f>HYPERLINK("https://www.youtube.com/watch?v=tBq1B-q3Pq0&amp;t=287s", "Go to time")</f>
        <v/>
      </c>
    </row>
    <row r="2500">
      <c r="A2500">
        <f>HYPERLINK("https://www.youtube.com/watch?v=tBq1B-q3Pq0", "Video")</f>
        <v/>
      </c>
      <c r="B2500" t="inlineStr">
        <is>
          <t>4:54</t>
        </is>
      </c>
      <c r="C2500" t="inlineStr">
        <is>
          <t>little bit over that and we're so close</t>
        </is>
      </c>
      <c r="D2500">
        <f>HYPERLINK("https://www.youtube.com/watch?v=tBq1B-q3Pq0&amp;t=294s", "Go to time")</f>
        <v/>
      </c>
    </row>
    <row r="2501">
      <c r="A2501">
        <f>HYPERLINK("https://www.youtube.com/watch?v=jf69ogAclyM", "Video")</f>
        <v/>
      </c>
      <c r="B2501" t="inlineStr">
        <is>
          <t>0:02</t>
        </is>
      </c>
      <c r="C2501" t="inlineStr">
        <is>
          <t>bite from an allnew Phineas</t>
        </is>
      </c>
      <c r="D2501">
        <f>HYPERLINK("https://www.youtube.com/watch?v=jf69ogAclyM&amp;t=2s", "Go to time")</f>
        <v/>
      </c>
    </row>
    <row r="2502">
      <c r="A2502">
        <f>HYPERLINK("https://www.youtube.com/watch?v=jf69ogAclyM", "Video")</f>
        <v/>
      </c>
      <c r="B2502" t="inlineStr">
        <is>
          <t>0:38</t>
        </is>
      </c>
      <c r="C2502" t="inlineStr">
        <is>
          <t>truck stop it's like a little bit of</t>
        </is>
      </c>
      <c r="D2502">
        <f>HYPERLINK("https://www.youtube.com/watch?v=jf69ogAclyM&amp;t=38s", "Go to time")</f>
        <v/>
      </c>
    </row>
    <row r="2503">
      <c r="A2503">
        <f>HYPERLINK("https://www.youtube.com/watch?v=5RsO-AvXrYI", "Video")</f>
        <v/>
      </c>
      <c r="B2503" t="inlineStr">
        <is>
          <t>4:26</t>
        </is>
      </c>
      <c r="C2503" t="inlineStr">
        <is>
          <t>prouder you just put a little bit more</t>
        </is>
      </c>
      <c r="D2503">
        <f>HYPERLINK("https://www.youtube.com/watch?v=5RsO-AvXrYI&amp;t=266s", "Go to time")</f>
        <v/>
      </c>
    </row>
    <row r="2504">
      <c r="A2504">
        <f>HYPERLINK("https://www.youtube.com/watch?v=9s8eXZIeouw", "Video")</f>
        <v/>
      </c>
      <c r="B2504" t="inlineStr">
        <is>
          <t>0:02</t>
        </is>
      </c>
      <c r="C2504" t="inlineStr">
        <is>
          <t>mini bite from Sweet Life on Deck I know</t>
        </is>
      </c>
      <c r="D2504">
        <f>HYPERLINK("https://www.youtube.com/watch?v=9s8eXZIeouw&amp;t=2s", "Go to time")</f>
        <v/>
      </c>
    </row>
    <row r="2505">
      <c r="A2505">
        <f>HYPERLINK("https://www.youtube.com/watch?v=uJuNRA1ntG8", "Video")</f>
        <v/>
      </c>
      <c r="B2505" t="inlineStr">
        <is>
          <t>0:00</t>
        </is>
      </c>
      <c r="C2505" t="inlineStr">
        <is>
          <t>here's a disney channel mini bite from</t>
        </is>
      </c>
      <c r="D2505">
        <f>HYPERLINK("https://www.youtube.com/watch?v=uJuNRA1ntG8&amp;t=0s", "Go to time")</f>
        <v/>
      </c>
    </row>
    <row r="2506">
      <c r="A2506">
        <f>HYPERLINK("https://www.youtube.com/watch?v=OVjhs3xs0Hg", "Video")</f>
        <v/>
      </c>
      <c r="B2506" t="inlineStr">
        <is>
          <t>0:40</t>
        </is>
      </c>
      <c r="C2506" t="inlineStr">
        <is>
          <t>Oh, just a bit.</t>
        </is>
      </c>
      <c r="D2506">
        <f>HYPERLINK("https://www.youtube.com/watch?v=OVjhs3xs0Hg&amp;t=40s", "Go to time")</f>
        <v/>
      </c>
    </row>
    <row r="2507">
      <c r="A2507">
        <f>HYPERLINK("https://www.youtube.com/watch?v=OVjhs3xs0Hg", "Video")</f>
        <v/>
      </c>
      <c r="B2507" t="inlineStr">
        <is>
          <t>6:17</t>
        </is>
      </c>
      <c r="C2507" t="inlineStr">
        <is>
          <t>♪ Like an itty-bitty child ♪</t>
        </is>
      </c>
      <c r="D2507">
        <f>HYPERLINK("https://www.youtube.com/watch?v=OVjhs3xs0Hg&amp;t=377s", "Go to time")</f>
        <v/>
      </c>
    </row>
    <row r="2508">
      <c r="A2508">
        <f>HYPERLINK("https://www.youtube.com/watch?v=OVjhs3xs0Hg", "Video")</f>
        <v/>
      </c>
      <c r="B2508" t="inlineStr">
        <is>
          <t>7:12</t>
        </is>
      </c>
      <c r="C2508" t="inlineStr">
        <is>
          <t>♪ Like an itty-bitty child ♪</t>
        </is>
      </c>
      <c r="D2508">
        <f>HYPERLINK("https://www.youtube.com/watch?v=OVjhs3xs0Hg&amp;t=432s", "Go to time")</f>
        <v/>
      </c>
    </row>
    <row r="2509">
      <c r="A2509">
        <f>HYPERLINK("https://www.youtube.com/watch?v=5yWS_ljavTw", "Video")</f>
        <v/>
      </c>
      <c r="B2509" t="inlineStr">
        <is>
          <t>0:08</t>
        </is>
      </c>
      <c r="C2509" t="inlineStr">
        <is>
          <t>creature which took a bite of my sock</t>
        </is>
      </c>
      <c r="D2509">
        <f>HYPERLINK("https://www.youtube.com/watch?v=5yWS_ljavTw&amp;t=8s", "Go to time")</f>
        <v/>
      </c>
    </row>
    <row r="2510">
      <c r="A2510">
        <f>HYPERLINK("https://www.youtube.com/watch?v=OW2H1l8ETYg", "Video")</f>
        <v/>
      </c>
      <c r="B2510" t="inlineStr">
        <is>
          <t>0:00</t>
        </is>
      </c>
      <c r="C2510" t="inlineStr">
        <is>
          <t>and now a Disney Channel mini bite from</t>
        </is>
      </c>
      <c r="D2510">
        <f>HYPERLINK("https://www.youtube.com/watch?v=OW2H1l8ETYg&amp;t=0s", "Go to time")</f>
        <v/>
      </c>
    </row>
    <row r="2511">
      <c r="A2511">
        <f>HYPERLINK("https://www.youtube.com/watch?v=1SUdBPRtWXQ", "Video")</f>
        <v/>
      </c>
      <c r="B2511" t="inlineStr">
        <is>
          <t>9:48</t>
        </is>
      </c>
      <c r="C2511" t="inlineStr">
        <is>
          <t>for us to change our habits.</t>
        </is>
      </c>
      <c r="D2511">
        <f>HYPERLINK("https://www.youtube.com/watch?v=1SUdBPRtWXQ&amp;t=588s", "Go to time")</f>
        <v/>
      </c>
    </row>
    <row r="2512">
      <c r="A2512">
        <f>HYPERLINK("https://www.youtube.com/watch?v=kuuhqu6avBk", "Video")</f>
        <v/>
      </c>
      <c r="B2512" t="inlineStr">
        <is>
          <t>0:08</t>
        </is>
      </c>
      <c r="C2512" t="inlineStr">
        <is>
          <t>habitat</t>
        </is>
      </c>
      <c r="D2512">
        <f>HYPERLINK("https://www.youtube.com/watch?v=kuuhqu6avBk&amp;t=8s", "Go to time")</f>
        <v/>
      </c>
    </row>
    <row r="2513">
      <c r="A2513">
        <f>HYPERLINK("https://www.youtube.com/watch?v=VLng5eCWsaY", "Video")</f>
        <v/>
      </c>
      <c r="B2513" t="inlineStr">
        <is>
          <t>0:54</t>
        </is>
      </c>
      <c r="C2513" t="inlineStr">
        <is>
          <t>prohibited no Cod is accepted Carl I've</t>
        </is>
      </c>
      <c r="D2513">
        <f>HYPERLINK("https://www.youtube.com/watch?v=VLng5eCWsaY&amp;t=54s", "Go to time")</f>
        <v/>
      </c>
    </row>
    <row r="2514">
      <c r="A2514">
        <f>HYPERLINK("https://www.youtube.com/watch?v=e24Y3_xFkP4", "Video")</f>
        <v/>
      </c>
      <c r="B2514" t="inlineStr">
        <is>
          <t>2:39</t>
        </is>
      </c>
      <c r="C2514" t="inlineStr">
        <is>
          <t>I feel like it's more of
a bittersweet feeling</t>
        </is>
      </c>
      <c r="D2514">
        <f>HYPERLINK("https://www.youtube.com/watch?v=e24Y3_xFkP4&amp;t=159s", "Go to time")</f>
        <v/>
      </c>
    </row>
    <row r="2515">
      <c r="A2515">
        <f>HYPERLINK("https://www.youtube.com/watch?v=e24Y3_xFkP4", "Video")</f>
        <v/>
      </c>
      <c r="B2515" t="inlineStr">
        <is>
          <t>4:07</t>
        </is>
      </c>
      <c r="C2515" t="inlineStr">
        <is>
          <t>Just a little bit.</t>
        </is>
      </c>
      <c r="D2515">
        <f>HYPERLINK("https://www.youtube.com/watch?v=e24Y3_xFkP4&amp;t=247s", "Go to time")</f>
        <v/>
      </c>
    </row>
    <row r="2516">
      <c r="A2516">
        <f>HYPERLINK("https://www.youtube.com/watch?v=tZE2ob34mu4", "Video")</f>
        <v/>
      </c>
      <c r="B2516" t="inlineStr">
        <is>
          <t>2:45</t>
        </is>
      </c>
      <c r="C2516" t="inlineStr">
        <is>
          <t>draw poly's itty bitty baby legs baby</t>
        </is>
      </c>
      <c r="D2516">
        <f>HYPERLINK("https://www.youtube.com/watch?v=tZE2ob34mu4&amp;t=165s", "Go to time")</f>
        <v/>
      </c>
    </row>
    <row r="2517">
      <c r="A2517">
        <f>HYPERLINK("https://www.youtube.com/watch?v=MIvURab_QIg", "Video")</f>
        <v/>
      </c>
      <c r="B2517" t="inlineStr">
        <is>
          <t>1:34</t>
        </is>
      </c>
      <c r="C2517" t="inlineStr">
        <is>
          <t>-Ooh, am I hali?
-A little bit.</t>
        </is>
      </c>
      <c r="D2517">
        <f>HYPERLINK("https://www.youtube.com/watch?v=MIvURab_QIg&amp;t=94s", "Go to time")</f>
        <v/>
      </c>
    </row>
    <row r="2518">
      <c r="A2518">
        <f>HYPERLINK("https://www.youtube.com/watch?v=MIvURab_QIg", "Video")</f>
        <v/>
      </c>
      <c r="B2518" t="inlineStr">
        <is>
          <t>4:24</t>
        </is>
      </c>
      <c r="C2518" t="inlineStr">
        <is>
          <t>It's just us trying to elevate
a bit, you know, flow-flow.</t>
        </is>
      </c>
      <c r="D2518">
        <f>HYPERLINK("https://www.youtube.com/watch?v=MIvURab_QIg&amp;t=264s", "Go to time")</f>
        <v/>
      </c>
    </row>
    <row r="2519">
      <c r="A2519">
        <f>HYPERLINK("https://www.youtube.com/watch?v=MIvURab_QIg", "Video")</f>
        <v/>
      </c>
      <c r="B2519" t="inlineStr">
        <is>
          <t>7:27</t>
        </is>
      </c>
      <c r="C2519" t="inlineStr">
        <is>
          <t>Um, it's a bit too windy for
that.</t>
        </is>
      </c>
      <c r="D2519">
        <f>HYPERLINK("https://www.youtube.com/watch?v=MIvURab_QIg&amp;t=447s", "Go to time")</f>
        <v/>
      </c>
    </row>
    <row r="2520">
      <c r="A2520">
        <f>HYPERLINK("https://www.youtube.com/watch?v=MIvURab_QIg", "Video")</f>
        <v/>
      </c>
      <c r="B2520" t="inlineStr">
        <is>
          <t>11:41</t>
        </is>
      </c>
      <c r="C2520" t="inlineStr">
        <is>
          <t>Can y'all calm down a bit?</t>
        </is>
      </c>
      <c r="D2520">
        <f>HYPERLINK("https://www.youtube.com/watch?v=MIvURab_QIg&amp;t=701s", "Go to time")</f>
        <v/>
      </c>
    </row>
    <row r="2521">
      <c r="A2521">
        <f>HYPERLINK("https://www.youtube.com/watch?v=MIvURab_QIg", "Video")</f>
        <v/>
      </c>
      <c r="B2521" t="inlineStr">
        <is>
          <t>13:22</t>
        </is>
      </c>
      <c r="C2521" t="inlineStr">
        <is>
          <t>Look, nacho man, slow up a bit,
you know what I'm saying?</t>
        </is>
      </c>
      <c r="D2521">
        <f>HYPERLINK("https://www.youtube.com/watch?v=MIvURab_QIg&amp;t=802s", "Go to time")</f>
        <v/>
      </c>
    </row>
    <row r="2522">
      <c r="A2522">
        <f>HYPERLINK("https://www.youtube.com/watch?v=MIvURab_QIg", "Video")</f>
        <v/>
      </c>
      <c r="B2522" t="inlineStr">
        <is>
          <t>13:26</t>
        </is>
      </c>
      <c r="C2522" t="inlineStr">
        <is>
          <t>So you know a little bit about
music, huh?</t>
        </is>
      </c>
      <c r="D2522">
        <f>HYPERLINK("https://www.youtube.com/watch?v=MIvURab_QIg&amp;t=806s", "Go to time")</f>
        <v/>
      </c>
    </row>
    <row r="2523">
      <c r="A2523">
        <f>HYPERLINK("https://www.youtube.com/watch?v=MIvURab_QIg", "Video")</f>
        <v/>
      </c>
      <c r="B2523" t="inlineStr">
        <is>
          <t>17:44</t>
        </is>
      </c>
      <c r="C2523" t="inlineStr">
        <is>
          <t>♪ Move a little like a horsey
When the bit leaves ♪</t>
        </is>
      </c>
      <c r="D2523">
        <f>HYPERLINK("https://www.youtube.com/watch?v=MIvURab_QIg&amp;t=1064s", "Go to time")</f>
        <v/>
      </c>
    </row>
    <row r="2524">
      <c r="A2524">
        <f>HYPERLINK("https://www.youtube.com/watch?v=MIvURab_QIg", "Video")</f>
        <v/>
      </c>
      <c r="B2524" t="inlineStr">
        <is>
          <t>21:02</t>
        </is>
      </c>
      <c r="C2524" t="inlineStr">
        <is>
          <t>I was gonna hold back
a little bit at first.</t>
        </is>
      </c>
      <c r="D2524">
        <f>HYPERLINK("https://www.youtube.com/watch?v=MIvURab_QIg&amp;t=1262s", "Go to time")</f>
        <v/>
      </c>
    </row>
    <row r="2525">
      <c r="A2525">
        <f>HYPERLINK("https://www.youtube.com/watch?v=jkgKqkHgyRk", "Video")</f>
        <v/>
      </c>
      <c r="B2525" t="inlineStr">
        <is>
          <t>14:09</t>
        </is>
      </c>
      <c r="C2525" t="inlineStr">
        <is>
          <t>little bit guilty and also suspicious</t>
        </is>
      </c>
      <c r="D2525">
        <f>HYPERLINK("https://www.youtube.com/watch?v=jkgKqkHgyRk&amp;t=849s", "Go to time")</f>
        <v/>
      </c>
    </row>
    <row r="2526">
      <c r="A2526">
        <f>HYPERLINK("https://www.youtube.com/watch?v=jkgKqkHgyRk", "Video")</f>
        <v/>
      </c>
      <c r="B2526" t="inlineStr">
        <is>
          <t>14:11</t>
        </is>
      </c>
      <c r="C2526" t="inlineStr">
        <is>
          <t>and a little bit hungry</t>
        </is>
      </c>
      <c r="D2526">
        <f>HYPERLINK("https://www.youtube.com/watch?v=jkgKqkHgyRk&amp;t=851s", "Go to time")</f>
        <v/>
      </c>
    </row>
    <row r="2527">
      <c r="A2527">
        <f>HYPERLINK("https://www.youtube.com/watch?v=jkgKqkHgyRk", "Video")</f>
        <v/>
      </c>
      <c r="B2527" t="inlineStr">
        <is>
          <t>16:39</t>
        </is>
      </c>
      <c r="C2527" t="inlineStr">
        <is>
          <t>next orbitorium</t>
        </is>
      </c>
      <c r="D2527">
        <f>HYPERLINK("https://www.youtube.com/watch?v=jkgKqkHgyRk&amp;t=999s", "Go to time")</f>
        <v/>
      </c>
    </row>
    <row r="2528">
      <c r="A2528">
        <f>HYPERLINK("https://www.youtube.com/watch?v=jkgKqkHgyRk", "Video")</f>
        <v/>
      </c>
      <c r="B2528" t="inlineStr">
        <is>
          <t>20:24</t>
        </is>
      </c>
      <c r="C2528" t="inlineStr">
        <is>
          <t>transport him next orbitorium</t>
        </is>
      </c>
      <c r="D2528">
        <f>HYPERLINK("https://www.youtube.com/watch?v=jkgKqkHgyRk&amp;t=1224s", "Go to time")</f>
        <v/>
      </c>
    </row>
    <row r="2529">
      <c r="A2529">
        <f>HYPERLINK("https://www.youtube.com/watch?v=DhOnSXk25YM", "Video")</f>
        <v/>
      </c>
      <c r="B2529" t="inlineStr">
        <is>
          <t>9:24</t>
        </is>
      </c>
      <c r="C2529" t="inlineStr">
        <is>
          <t>atmosphere a little bit a joke how many</t>
        </is>
      </c>
      <c r="D2529">
        <f>HYPERLINK("https://www.youtube.com/watch?v=DhOnSXk25YM&amp;t=564s", "Go to time")</f>
        <v/>
      </c>
    </row>
    <row r="2530">
      <c r="A2530">
        <f>HYPERLINK("https://www.youtube.com/watch?v=CrpLyP8DXms", "Video")</f>
        <v/>
      </c>
      <c r="B2530" t="inlineStr">
        <is>
          <t>2:22</t>
        </is>
      </c>
      <c r="C2530" t="inlineStr">
        <is>
          <t>say that so it's like it's a little bit</t>
        </is>
      </c>
      <c r="D2530">
        <f>HYPERLINK("https://www.youtube.com/watch?v=CrpLyP8DXms&amp;t=142s", "Go to time")</f>
        <v/>
      </c>
    </row>
    <row r="2531">
      <c r="A2531">
        <f>HYPERLINK("https://www.youtube.com/watch?v=GcpyuzUD2HQ", "Video")</f>
        <v/>
      </c>
      <c r="B2531" t="inlineStr">
        <is>
          <t>1:58</t>
        </is>
      </c>
      <c r="C2531" t="inlineStr">
        <is>
          <t>a little bit i can show you two around</t>
        </is>
      </c>
      <c r="D2531">
        <f>HYPERLINK("https://www.youtube.com/watch?v=GcpyuzUD2HQ&amp;t=118s", "Go to time")</f>
        <v/>
      </c>
    </row>
    <row r="2532">
      <c r="A2532">
        <f>HYPERLINK("https://www.youtube.com/watch?v=eWQgnZCd21U", "Video")</f>
        <v/>
      </c>
      <c r="B2532" t="inlineStr">
        <is>
          <t>14:13</t>
        </is>
      </c>
      <c r="C2532" t="inlineStr">
        <is>
          <t>Yep, that is a happy
bit of gore right there.</t>
        </is>
      </c>
      <c r="D2532">
        <f>HYPERLINK("https://www.youtube.com/watch?v=eWQgnZCd21U&amp;t=853s", "Go to time")</f>
        <v/>
      </c>
    </row>
    <row r="2533">
      <c r="A2533">
        <f>HYPERLINK("https://www.youtube.com/watch?v=eWQgnZCd21U", "Video")</f>
        <v/>
      </c>
      <c r="B2533" t="inlineStr">
        <is>
          <t>14:17</t>
        </is>
      </c>
      <c r="C2533" t="inlineStr">
        <is>
          <t>Hey, Gramma. Do you mind
if Dad hung out here
for a little bit?</t>
        </is>
      </c>
      <c r="D2533">
        <f>HYPERLINK("https://www.youtube.com/watch?v=eWQgnZCd21U&amp;t=857s", "Go to time")</f>
        <v/>
      </c>
    </row>
    <row r="2534">
      <c r="A2534">
        <f>HYPERLINK("https://www.youtube.com/watch?v=eWQgnZCd21U", "Video")</f>
        <v/>
      </c>
      <c r="B2534" t="inlineStr">
        <is>
          <t>19:03</t>
        </is>
      </c>
      <c r="C2534" t="inlineStr">
        <is>
          <t>-The bass are biting.
-Eh... nah.</t>
        </is>
      </c>
      <c r="D2534">
        <f>HYPERLINK("https://www.youtube.com/watch?v=eWQgnZCd21U&amp;t=1143s", "Go to time")</f>
        <v/>
      </c>
    </row>
    <row r="2535">
      <c r="A2535">
        <f>HYPERLINK("https://www.youtube.com/watch?v=eWQgnZCd21U", "Video")</f>
        <v/>
      </c>
      <c r="B2535" t="inlineStr">
        <is>
          <t>21:37</t>
        </is>
      </c>
      <c r="C2535" t="inlineStr">
        <is>
          <t>♪ Lost a bet and got
bit by 100 flies ♪</t>
        </is>
      </c>
      <c r="D2535">
        <f>HYPERLINK("https://www.youtube.com/watch?v=eWQgnZCd21U&amp;t=1297s", "Go to time")</f>
        <v/>
      </c>
    </row>
    <row r="2536">
      <c r="A2536">
        <f>HYPERLINK("https://www.youtube.com/watch?v=eWQgnZCd21U", "Video")</f>
        <v/>
      </c>
      <c r="B2536" t="inlineStr">
        <is>
          <t>21:47</t>
        </is>
      </c>
      <c r="C2536" t="inlineStr">
        <is>
          <t>♪ I got chased by dogs
Bit by a frog ♪</t>
        </is>
      </c>
      <c r="D2536">
        <f>HYPERLINK("https://www.youtube.com/watch?v=eWQgnZCd21U&amp;t=1307s", "Go to time")</f>
        <v/>
      </c>
    </row>
    <row r="2537">
      <c r="A2537">
        <f>HYPERLINK("https://www.youtube.com/watch?v=VyogoV9pXgM", "Video")</f>
        <v/>
      </c>
      <c r="B2537" t="inlineStr">
        <is>
          <t>8:38</t>
        </is>
      </c>
      <c r="C2537" t="inlineStr">
        <is>
          <t>but those kind of heights
were a little bit extreme.</t>
        </is>
      </c>
      <c r="D2537">
        <f>HYPERLINK("https://www.youtube.com/watch?v=VyogoV9pXgM&amp;t=518s", "Go to time")</f>
        <v/>
      </c>
    </row>
    <row r="2538">
      <c r="A2538">
        <f>HYPERLINK("https://www.youtube.com/watch?v=NPHMvmQe8kA", "Video")</f>
        <v/>
      </c>
      <c r="B2538" t="inlineStr">
        <is>
          <t>13:39</t>
        </is>
      </c>
      <c r="C2538" t="inlineStr">
        <is>
          <t>is a bit harder
than I imagined.</t>
        </is>
      </c>
      <c r="D2538">
        <f>HYPERLINK("https://www.youtube.com/watch?v=NPHMvmQe8kA&amp;t=819s", "Go to time")</f>
        <v/>
      </c>
    </row>
    <row r="2539">
      <c r="A2539">
        <f>HYPERLINK("https://www.youtube.com/watch?v=NPHMvmQe8kA", "Video")</f>
        <v/>
      </c>
      <c r="B2539" t="inlineStr">
        <is>
          <t>21:02</t>
        </is>
      </c>
      <c r="C2539" t="inlineStr">
        <is>
          <t>will need a bit...
more... space.</t>
        </is>
      </c>
      <c r="D2539">
        <f>HYPERLINK("https://www.youtube.com/watch?v=NPHMvmQe8kA&amp;t=1262s", "Go to time")</f>
        <v/>
      </c>
    </row>
    <row r="2540">
      <c r="A2540">
        <f>HYPERLINK("https://www.youtube.com/watch?v=YCkAgVuJPaI", "Video")</f>
        <v/>
      </c>
      <c r="B2540" t="inlineStr">
        <is>
          <t>0:02</t>
        </is>
      </c>
      <c r="C2540" t="inlineStr">
        <is>
          <t>bite from Phineas and Ferb so mid crime</t>
        </is>
      </c>
      <c r="D2540">
        <f>HYPERLINK("https://www.youtube.com/watch?v=YCkAgVuJPaI&amp;t=2s", "Go to time")</f>
        <v/>
      </c>
    </row>
    <row r="2541">
      <c r="A2541">
        <f>HYPERLINK("https://www.youtube.com/watch?v=lAn8agLYeA4", "Video")</f>
        <v/>
      </c>
      <c r="B2541" t="inlineStr">
        <is>
          <t>2:58</t>
        </is>
      </c>
      <c r="C2541" t="inlineStr">
        <is>
          <t>after school we can toss it around a little bit 
let's toss them out good idea why don't you and I</t>
        </is>
      </c>
      <c r="D2541">
        <f>HYPERLINK("https://www.youtube.com/watch?v=lAn8agLYeA4&amp;t=178s", "Go to time")</f>
        <v/>
      </c>
    </row>
    <row r="2542">
      <c r="A2542">
        <f>HYPERLINK("https://www.youtube.com/watch?v=lAn8agLYeA4", "Video")</f>
        <v/>
      </c>
      <c r="B2542" t="inlineStr">
        <is>
          <t>4:29</t>
        </is>
      </c>
      <c r="C2542" t="inlineStr">
        <is>
          <t>when I was eight it's brilliant yeah and I got 
a great recipe for fake vomit a little bit of</t>
        </is>
      </c>
      <c r="D2542">
        <f>HYPERLINK("https://www.youtube.com/watch?v=lAn8agLYeA4&amp;t=269s", "Go to time")</f>
        <v/>
      </c>
    </row>
    <row r="2543">
      <c r="A2543">
        <f>HYPERLINK("https://www.youtube.com/watch?v=lAn8agLYeA4", "Video")</f>
        <v/>
      </c>
      <c r="B2543" t="inlineStr">
        <is>
          <t>5:05</t>
        </is>
      </c>
      <c r="C2543" t="inlineStr">
        <is>
          <t>know my rights I don't get it what's so great 
about being Near That Water Fountain exhibit a</t>
        </is>
      </c>
      <c r="D2543">
        <f>HYPERLINK("https://www.youtube.com/watch?v=lAn8agLYeA4&amp;t=305s", "Go to time")</f>
        <v/>
      </c>
    </row>
    <row r="2544">
      <c r="A2544">
        <f>HYPERLINK("https://www.youtube.com/watch?v=lAn8agLYeA4", "Video")</f>
        <v/>
      </c>
      <c r="B2544" t="inlineStr">
        <is>
          <t>11:34</t>
        </is>
      </c>
      <c r="C2544" t="inlineStr">
        <is>
          <t>my daughter isn't a bit of a jam and 
I'm here to bail around all right</t>
        </is>
      </c>
      <c r="D2544">
        <f>HYPERLINK("https://www.youtube.com/watch?v=lAn8agLYeA4&amp;t=694s", "Go to time")</f>
        <v/>
      </c>
    </row>
    <row r="2545">
      <c r="A2545">
        <f>HYPERLINK("https://www.youtube.com/watch?v=pucV9L6zsDI", "Video")</f>
        <v/>
      </c>
      <c r="B2545" t="inlineStr">
        <is>
          <t>4:57</t>
        </is>
      </c>
      <c r="C2545" t="inlineStr">
        <is>
          <t>- HE BIT HIS EAR CLEAN OFF.
- OH!</t>
        </is>
      </c>
      <c r="D2545">
        <f>HYPERLINK("https://www.youtube.com/watch?v=pucV9L6zsDI&amp;t=297s", "Go to time")</f>
        <v/>
      </c>
    </row>
    <row r="2546">
      <c r="A2546">
        <f>HYPERLINK("https://www.youtube.com/watch?v=pucV9L6zsDI", "Video")</f>
        <v/>
      </c>
      <c r="B2546" t="inlineStr">
        <is>
          <t>15:46</t>
        </is>
      </c>
      <c r="C2546" t="inlineStr">
        <is>
          <t>SHE'S A BIT
OF A BUBBLEHEAD.</t>
        </is>
      </c>
      <c r="D2546">
        <f>HYPERLINK("https://www.youtube.com/watch?v=pucV9L6zsDI&amp;t=946s", "Go to time")</f>
        <v/>
      </c>
    </row>
    <row r="2547">
      <c r="A2547">
        <f>HYPERLINK("https://www.youtube.com/watch?v=BXcBa-GM83M", "Video")</f>
        <v/>
      </c>
      <c r="B2547" t="inlineStr">
        <is>
          <t>0:19</t>
        </is>
      </c>
      <c r="C2547" t="inlineStr">
        <is>
          <t>took a little bit for us to like get</t>
        </is>
      </c>
      <c r="D2547">
        <f>HYPERLINK("https://www.youtube.com/watch?v=BXcBa-GM83M&amp;t=19s", "Go to time")</f>
        <v/>
      </c>
    </row>
    <row r="2548">
      <c r="A2548">
        <f>HYPERLINK("https://www.youtube.com/watch?v=U0I_7aptlAA", "Video")</f>
        <v/>
      </c>
      <c r="B2548" t="inlineStr">
        <is>
          <t>0:29</t>
        </is>
      </c>
      <c r="C2548" t="inlineStr">
        <is>
          <t>bit of a mean girl Ryan starting to</t>
        </is>
      </c>
      <c r="D2548">
        <f>HYPERLINK("https://www.youtube.com/watch?v=U0I_7aptlAA&amp;t=29s", "Go to time")</f>
        <v/>
      </c>
    </row>
    <row r="2549">
      <c r="A2549">
        <f>HYPERLINK("https://www.youtube.com/watch?v=sFW1GOimEQY", "Video")</f>
        <v/>
      </c>
      <c r="B2549" t="inlineStr">
        <is>
          <t>0:02</t>
        </is>
      </c>
      <c r="C2549" t="inlineStr">
        <is>
          <t>mini bite from sweet life on deck hey</t>
        </is>
      </c>
      <c r="D2549">
        <f>HYPERLINK("https://www.youtube.com/watch?v=sFW1GOimEQY&amp;t=2s", "Go to time")</f>
        <v/>
      </c>
    </row>
    <row r="2550">
      <c r="A2550">
        <f>HYPERLINK("https://www.youtube.com/watch?v=XBzEs513mFM", "Video")</f>
        <v/>
      </c>
      <c r="B2550" t="inlineStr">
        <is>
          <t>0:00</t>
        </is>
      </c>
      <c r="C2550" t="inlineStr">
        <is>
          <t>here's a Disney Channel mini bite from</t>
        </is>
      </c>
      <c r="D2550">
        <f>HYPERLINK("https://www.youtube.com/watch?v=XBzEs513mFM&amp;t=0s", "Go to time")</f>
        <v/>
      </c>
    </row>
    <row r="2551">
      <c r="A2551">
        <f>HYPERLINK("https://www.youtube.com/watch?v=4sKnVOUJxF0", "Video")</f>
        <v/>
      </c>
      <c r="B2551" t="inlineStr">
        <is>
          <t>2:24</t>
        </is>
      </c>
      <c r="C2551" t="inlineStr">
        <is>
          <t>what about the owl habitat I'll still be</t>
        </is>
      </c>
      <c r="D2551">
        <f>HYPERLINK("https://www.youtube.com/watch?v=4sKnVOUJxF0&amp;t=144s", "Go to time")</f>
        <v/>
      </c>
    </row>
    <row r="2552">
      <c r="A2552">
        <f>HYPERLINK("https://www.youtube.com/watch?v=R5PtnsOl-dw", "Video")</f>
        <v/>
      </c>
      <c r="B2552" t="inlineStr">
        <is>
          <t>4:15</t>
        </is>
      </c>
      <c r="C2552" t="inlineStr">
        <is>
          <t>oh i bit my lip</t>
        </is>
      </c>
      <c r="D2552">
        <f>HYPERLINK("https://www.youtube.com/watch?v=R5PtnsOl-dw&amp;t=255s", "Go to time")</f>
        <v/>
      </c>
    </row>
    <row r="2553">
      <c r="A2553">
        <f>HYPERLINK("https://www.youtube.com/watch?v=gHMC3Bj4HiU", "Video")</f>
        <v/>
      </c>
      <c r="B2553" t="inlineStr">
        <is>
          <t>19:35</t>
        </is>
      </c>
      <c r="C2553" t="inlineStr">
        <is>
          <t>need a little bit of boogie okay how</t>
        </is>
      </c>
      <c r="D2553">
        <f>HYPERLINK("https://www.youtube.com/watch?v=gHMC3Bj4HiU&amp;t=1175s", "Go to time")</f>
        <v/>
      </c>
    </row>
    <row r="2554">
      <c r="A2554">
        <f>HYPERLINK("https://www.youtube.com/watch?v=lXimJuD7aZw", "Video")</f>
        <v/>
      </c>
      <c r="B2554" t="inlineStr">
        <is>
          <t>0:00</t>
        </is>
      </c>
      <c r="C2554" t="inlineStr">
        <is>
          <t>here's a disney channel mini bite from</t>
        </is>
      </c>
      <c r="D2554">
        <f>HYPERLINK("https://www.youtube.com/watch?v=lXimJuD7aZw&amp;t=0s", "Go to time")</f>
        <v/>
      </c>
    </row>
    <row r="2555">
      <c r="A2555">
        <f>HYPERLINK("https://www.youtube.com/watch?v=bwO9BSJGNUE", "Video")</f>
        <v/>
      </c>
      <c r="B2555" t="inlineStr">
        <is>
          <t>0:00</t>
        </is>
      </c>
      <c r="C2555" t="inlineStr">
        <is>
          <t>here's a disney channel mini bite from</t>
        </is>
      </c>
      <c r="D2555">
        <f>HYPERLINK("https://www.youtube.com/watch?v=bwO9BSJGNUE&amp;t=0s", "Go to time")</f>
        <v/>
      </c>
    </row>
    <row r="2556">
      <c r="A2556">
        <f>HYPERLINK("https://www.youtube.com/watch?v=2sCTuTamCNY", "Video")</f>
        <v/>
      </c>
      <c r="B2556" t="inlineStr">
        <is>
          <t>0:58</t>
        </is>
      </c>
      <c r="C2556" t="inlineStr">
        <is>
          <t>one uh we feel a little bit more</t>
        </is>
      </c>
      <c r="D2556">
        <f>HYPERLINK("https://www.youtube.com/watch?v=2sCTuTamCNY&amp;t=58s", "Go to time")</f>
        <v/>
      </c>
    </row>
    <row r="2557">
      <c r="A2557">
        <f>HYPERLINK("https://www.youtube.com/watch?v=1HI8nHfmqF4", "Video")</f>
        <v/>
      </c>
      <c r="B2557" t="inlineStr">
        <is>
          <t>6:48</t>
        </is>
      </c>
      <c r="C2557" t="inlineStr">
        <is>
          <t>all I did was cause a little tiny bit of</t>
        </is>
      </c>
      <c r="D2557">
        <f>HYPERLINK("https://www.youtube.com/watch?v=1HI8nHfmqF4&amp;t=408s", "Go to time")</f>
        <v/>
      </c>
    </row>
    <row r="2558">
      <c r="A2558">
        <f>HYPERLINK("https://www.youtube.com/watch?v=81yhNPxWm2k", "Video")</f>
        <v/>
      </c>
      <c r="B2558" t="inlineStr">
        <is>
          <t>5:36</t>
        </is>
      </c>
      <c r="C2558" t="inlineStr">
        <is>
          <t>♪ Do you bite, bite, bite
from morning to night? ♪</t>
        </is>
      </c>
      <c r="D2558">
        <f>HYPERLINK("https://www.youtube.com/watch?v=81yhNPxWm2k&amp;t=336s", "Go to time")</f>
        <v/>
      </c>
    </row>
    <row r="2559">
      <c r="A2559">
        <f>HYPERLINK("https://www.youtube.com/watch?v=Jg2i4vqSFxM", "Video")</f>
        <v/>
      </c>
      <c r="B2559" t="inlineStr">
        <is>
          <t>20:14</t>
        </is>
      </c>
      <c r="C2559" t="inlineStr">
        <is>
          <t>started making edits to the exhibits</t>
        </is>
      </c>
      <c r="D2559">
        <f>HYPERLINK("https://www.youtube.com/watch?v=Jg2i4vqSFxM&amp;t=1214s", "Go to time")</f>
        <v/>
      </c>
    </row>
    <row r="2560">
      <c r="A2560">
        <f>HYPERLINK("https://www.youtube.com/watch?v=Jg2i4vqSFxM", "Video")</f>
        <v/>
      </c>
      <c r="B2560" t="inlineStr">
        <is>
          <t>53:53</t>
        </is>
      </c>
      <c r="C2560" t="inlineStr">
        <is>
          <t>tract might still be bitey so I no I</t>
        </is>
      </c>
      <c r="D2560">
        <f>HYPERLINK("https://www.youtube.com/watch?v=Jg2i4vqSFxM&amp;t=3233s", "Go to time")</f>
        <v/>
      </c>
    </row>
    <row r="2561">
      <c r="A2561">
        <f>HYPERLINK("https://www.youtube.com/watch?v=Jg2i4vqSFxM", "Video")</f>
        <v/>
      </c>
      <c r="B2561" t="inlineStr">
        <is>
          <t>65:23</t>
        </is>
      </c>
      <c r="C2561" t="inlineStr">
        <is>
          <t>no offense but this seems a bit</t>
        </is>
      </c>
      <c r="D2561">
        <f>HYPERLINK("https://www.youtube.com/watch?v=Jg2i4vqSFxM&amp;t=3923s", "Go to time")</f>
        <v/>
      </c>
    </row>
    <row r="2562">
      <c r="A2562">
        <f>HYPERLINK("https://www.youtube.com/watch?v=Jg2i4vqSFxM", "Video")</f>
        <v/>
      </c>
      <c r="B2562" t="inlineStr">
        <is>
          <t>105:33</t>
        </is>
      </c>
      <c r="C2562" t="inlineStr">
        <is>
          <t>choose these itty bitty spiders over me</t>
        </is>
      </c>
      <c r="D2562">
        <f>HYPERLINK("https://www.youtube.com/watch?v=Jg2i4vqSFxM&amp;t=6333s", "Go to time")</f>
        <v/>
      </c>
    </row>
    <row r="2563">
      <c r="A2563">
        <f>HYPERLINK("https://www.youtube.com/watch?v=Jg2i4vqSFxM", "Video")</f>
        <v/>
      </c>
      <c r="B2563" t="inlineStr">
        <is>
          <t>105:42</t>
        </is>
      </c>
      <c r="C2563" t="inlineStr">
        <is>
          <t>itty bitty ones oh you act like I'm</t>
        </is>
      </c>
      <c r="D2563">
        <f>HYPERLINK("https://www.youtube.com/watch?v=Jg2i4vqSFxM&amp;t=6342s", "Go to time")</f>
        <v/>
      </c>
    </row>
    <row r="2564">
      <c r="A2564">
        <f>HYPERLINK("https://www.youtube.com/watch?v=Jg2i4vqSFxM", "Video")</f>
        <v/>
      </c>
      <c r="B2564" t="inlineStr">
        <is>
          <t>114:26</t>
        </is>
      </c>
      <c r="C2564" t="inlineStr">
        <is>
          <t>gretchby Bullock could bite you and the</t>
        </is>
      </c>
      <c r="D2564">
        <f>HYPERLINK("https://www.youtube.com/watch?v=Jg2i4vqSFxM&amp;t=6866s", "Go to time")</f>
        <v/>
      </c>
    </row>
    <row r="2565">
      <c r="A2565">
        <f>HYPERLINK("https://www.youtube.com/watch?v=Jg2i4vqSFxM", "Video")</f>
        <v/>
      </c>
      <c r="B2565" t="inlineStr">
        <is>
          <t>115:24</t>
        </is>
      </c>
      <c r="C2565" t="inlineStr">
        <is>
          <t>seen an itty bitty spider do it that way</t>
        </is>
      </c>
      <c r="D2565">
        <f>HYPERLINK("https://www.youtube.com/watch?v=Jg2i4vqSFxM&amp;t=6924s", "Go to time")</f>
        <v/>
      </c>
    </row>
    <row r="2566">
      <c r="A2566">
        <f>HYPERLINK("https://www.youtube.com/watch?v=Jg2i4vqSFxM", "Video")</f>
        <v/>
      </c>
      <c r="B2566" t="inlineStr">
        <is>
          <t>124:09</t>
        </is>
      </c>
      <c r="C2566" t="inlineStr">
        <is>
          <t>King so much so let me use my last bit</t>
        </is>
      </c>
      <c r="D2566">
        <f>HYPERLINK("https://www.youtube.com/watch?v=Jg2i4vqSFxM&amp;t=7449s", "Go to time")</f>
        <v/>
      </c>
    </row>
    <row r="2567">
      <c r="A2567">
        <f>HYPERLINK("https://www.youtube.com/watch?v=CzZF0UItxOE", "Video")</f>
        <v/>
      </c>
      <c r="B2567" t="inlineStr">
        <is>
          <t>1:02</t>
        </is>
      </c>
      <c r="C2567" t="inlineStr">
        <is>
          <t>Life can be a bit of a mess.</t>
        </is>
      </c>
      <c r="D2567">
        <f>HYPERLINK("https://www.youtube.com/watch?v=CzZF0UItxOE&amp;t=62s", "Go to time")</f>
        <v/>
      </c>
    </row>
    <row r="2568">
      <c r="A2568">
        <f>HYPERLINK("https://www.youtube.com/watch?v=GTpS4q_HeXg", "Video")</f>
        <v/>
      </c>
      <c r="B2568" t="inlineStr">
        <is>
          <t>0:00</t>
        </is>
      </c>
      <c r="C2568" t="inlineStr">
        <is>
          <t>Disney Channel's got a mini bite from</t>
        </is>
      </c>
      <c r="D2568">
        <f>HYPERLINK("https://www.youtube.com/watch?v=GTpS4q_HeXg&amp;t=0s", "Go to time")</f>
        <v/>
      </c>
    </row>
    <row r="2569">
      <c r="A2569">
        <f>HYPERLINK("https://www.youtube.com/watch?v=U2c-ju7fSvY", "Video")</f>
        <v/>
      </c>
      <c r="B2569" t="inlineStr">
        <is>
          <t>2:40</t>
        </is>
      </c>
      <c r="C2569" t="inlineStr">
        <is>
          <t>more of a bittersweet feeling because</t>
        </is>
      </c>
      <c r="D2569">
        <f>HYPERLINK("https://www.youtube.com/watch?v=U2c-ju7fSvY&amp;t=160s", "Go to time")</f>
        <v/>
      </c>
    </row>
    <row r="2570">
      <c r="A2570">
        <f>HYPERLINK("https://www.youtube.com/watch?v=U2c-ju7fSvY", "Video")</f>
        <v/>
      </c>
      <c r="B2570" t="inlineStr">
        <is>
          <t>4:07</t>
        </is>
      </c>
      <c r="C2570" t="inlineStr">
        <is>
          <t>bit</t>
        </is>
      </c>
      <c r="D2570">
        <f>HYPERLINK("https://www.youtube.com/watch?v=U2c-ju7fSvY&amp;t=247s", "Go to time")</f>
        <v/>
      </c>
    </row>
    <row r="2571">
      <c r="A2571">
        <f>HYPERLINK("https://www.youtube.com/watch?v=8Fday_hbRDk", "Video")</f>
        <v/>
      </c>
      <c r="B2571" t="inlineStr">
        <is>
          <t>1:43</t>
        </is>
      </c>
      <c r="C2571" t="inlineStr">
        <is>
          <t>done you want to bite</t>
        </is>
      </c>
      <c r="D2571">
        <f>HYPERLINK("https://www.youtube.com/watch?v=8Fday_hbRDk&amp;t=103s", "Go to time")</f>
        <v/>
      </c>
    </row>
    <row r="2572">
      <c r="A2572">
        <f>HYPERLINK("https://www.youtube.com/watch?v=iW5ULsQLfwM", "Video")</f>
        <v/>
      </c>
      <c r="B2572" t="inlineStr">
        <is>
          <t>0:00</t>
        </is>
      </c>
      <c r="C2572" t="inlineStr">
        <is>
          <t>here's a Disney Channel mini bite from</t>
        </is>
      </c>
      <c r="D2572">
        <f>HYPERLINK("https://www.youtube.com/watch?v=iW5ULsQLfwM&amp;t=0s", "Go to time")</f>
        <v/>
      </c>
    </row>
    <row r="2573">
      <c r="A2573">
        <f>HYPERLINK("https://www.youtube.com/watch?v=p6jScaAjGx8", "Video")</f>
        <v/>
      </c>
      <c r="B2573" t="inlineStr">
        <is>
          <t>2:19</t>
        </is>
      </c>
      <c r="C2573" t="inlineStr">
        <is>
          <t>turtle to rabbit</t>
        </is>
      </c>
      <c r="D2573">
        <f>HYPERLINK("https://www.youtube.com/watch?v=p6jScaAjGx8&amp;t=139s", "Go to time")</f>
        <v/>
      </c>
    </row>
    <row r="2574">
      <c r="A2574">
        <f>HYPERLINK("https://www.youtube.com/watch?v=wToO8F0XVcU", "Video")</f>
        <v/>
      </c>
      <c r="B2574" t="inlineStr">
        <is>
          <t>9:31</t>
        </is>
      </c>
      <c r="C2574" t="inlineStr">
        <is>
          <t>The oyster sets it off
a little bit in the back
of my throat, but...</t>
        </is>
      </c>
      <c r="D2574">
        <f>HYPERLINK("https://www.youtube.com/watch?v=wToO8F0XVcU&amp;t=571s", "Go to time")</f>
        <v/>
      </c>
    </row>
    <row r="2575">
      <c r="A2575">
        <f>HYPERLINK("https://www.youtube.com/watch?v=wToO8F0XVcU", "Video")</f>
        <v/>
      </c>
      <c r="B2575" t="inlineStr">
        <is>
          <t>10:36</t>
        </is>
      </c>
      <c r="C2575" t="inlineStr">
        <is>
          <t>Byron:
I'm gonna help you out
a little bit with this.</t>
        </is>
      </c>
      <c r="D2575">
        <f>HYPERLINK("https://www.youtube.com/watch?v=wToO8F0XVcU&amp;t=636s", "Go to time")</f>
        <v/>
      </c>
    </row>
    <row r="2576">
      <c r="A2576">
        <f>HYPERLINK("https://www.youtube.com/watch?v=wToO8F0XVcU", "Video")</f>
        <v/>
      </c>
      <c r="B2576" t="inlineStr">
        <is>
          <t>14:49</t>
        </is>
      </c>
      <c r="C2576" t="inlineStr">
        <is>
          <t>Maybe a little bit.</t>
        </is>
      </c>
      <c r="D2576">
        <f>HYPERLINK("https://www.youtube.com/watch?v=wToO8F0XVcU&amp;t=889s", "Go to time")</f>
        <v/>
      </c>
    </row>
    <row r="2577">
      <c r="A2577">
        <f>HYPERLINK("https://www.youtube.com/watch?v=wToO8F0XVcU", "Video")</f>
        <v/>
      </c>
      <c r="B2577" t="inlineStr">
        <is>
          <t>17:14</t>
        </is>
      </c>
      <c r="C2577" t="inlineStr">
        <is>
          <t>Raccoons could crawl in
and bite us.</t>
        </is>
      </c>
      <c r="D2577">
        <f>HYPERLINK("https://www.youtube.com/watch?v=wToO8F0XVcU&amp;t=1034s", "Go to time")</f>
        <v/>
      </c>
    </row>
    <row r="2578">
      <c r="A2578">
        <f>HYPERLINK("https://www.youtube.com/watch?v=wToO8F0XVcU", "Video")</f>
        <v/>
      </c>
      <c r="B2578" t="inlineStr">
        <is>
          <t>17:56</t>
        </is>
      </c>
      <c r="C2578" t="inlineStr">
        <is>
          <t>Raccoons could
crawl in and bite us.</t>
        </is>
      </c>
      <c r="D2578">
        <f>HYPERLINK("https://www.youtube.com/watch?v=wToO8F0XVcU&amp;t=1076s", "Go to time")</f>
        <v/>
      </c>
    </row>
    <row r="2579">
      <c r="A2579">
        <f>HYPERLINK("https://www.youtube.com/watch?v=zbl6c8WlCZ0", "Video")</f>
        <v/>
      </c>
      <c r="B2579" t="inlineStr">
        <is>
          <t>7:30</t>
        </is>
      </c>
      <c r="C2579" t="inlineStr">
        <is>
          <t>He had this habit
of scratching his arms</t>
        </is>
      </c>
      <c r="D2579">
        <f>HYPERLINK("https://www.youtube.com/watch?v=zbl6c8WlCZ0&amp;t=450s", "Go to time")</f>
        <v/>
      </c>
    </row>
    <row r="2580">
      <c r="A2580">
        <f>HYPERLINK("https://www.youtube.com/watch?v=KegfELlhP7k", "Video")</f>
        <v/>
      </c>
      <c r="B2580" t="inlineStr">
        <is>
          <t>0:55</t>
        </is>
      </c>
      <c r="C2580" t="inlineStr">
        <is>
          <t>little twists in there little bits</t>
        </is>
      </c>
      <c r="D2580">
        <f>HYPERLINK("https://www.youtube.com/watch?v=KegfELlhP7k&amp;t=55s", "Go to time")</f>
        <v/>
      </c>
    </row>
    <row r="2581">
      <c r="A2581">
        <f>HYPERLINK("https://www.youtube.com/watch?v=eo5XU660mRQ", "Video")</f>
        <v/>
      </c>
      <c r="B2581" t="inlineStr">
        <is>
          <t>2:27</t>
        </is>
      </c>
      <c r="C2581" t="inlineStr">
        <is>
          <t>is uh a bit much SC I just found a</t>
        </is>
      </c>
      <c r="D2581">
        <f>HYPERLINK("https://www.youtube.com/watch?v=eo5XU660mRQ&amp;t=147s", "Go to time")</f>
        <v/>
      </c>
    </row>
    <row r="2582">
      <c r="A2582">
        <f>HYPERLINK("https://www.youtube.com/watch?v=j-hBRe6lvXs", "Video")</f>
        <v/>
      </c>
      <c r="B2582" t="inlineStr">
        <is>
          <t>0:35</t>
        </is>
      </c>
      <c r="C2582" t="inlineStr">
        <is>
          <t>terabit I found a I forgot the watch</t>
        </is>
      </c>
      <c r="D2582">
        <f>HYPERLINK("https://www.youtube.com/watch?v=j-hBRe6lvXs&amp;t=35s", "Go to time")</f>
        <v/>
      </c>
    </row>
    <row r="2583">
      <c r="A2583">
        <f>HYPERLINK("https://www.youtube.com/watch?v=hwWAg-0BOes", "Video")</f>
        <v/>
      </c>
      <c r="B2583" t="inlineStr">
        <is>
          <t>1:26</t>
        </is>
      </c>
      <c r="C2583" t="inlineStr">
        <is>
          <t>them in your rabbit tummy</t>
        </is>
      </c>
      <c r="D2583">
        <f>HYPERLINK("https://www.youtube.com/watch?v=hwWAg-0BOes&amp;t=86s", "Go to time")</f>
        <v/>
      </c>
    </row>
    <row r="2584">
      <c r="A2584">
        <f>HYPERLINK("https://www.youtube.com/watch?v=LBDuIlqF6JU", "Video")</f>
        <v/>
      </c>
      <c r="B2584" t="inlineStr">
        <is>
          <t>2:18</t>
        </is>
      </c>
      <c r="C2584" t="inlineStr">
        <is>
          <t>rabbit miraculous</t>
        </is>
      </c>
      <c r="D2584">
        <f>HYPERLINK("https://www.youtube.com/watch?v=LBDuIlqF6JU&amp;t=138s", "Go to time")</f>
        <v/>
      </c>
    </row>
    <row r="2585">
      <c r="A2585">
        <f>HYPERLINK("https://www.youtube.com/watch?v=LBDuIlqF6JU", "Video")</f>
        <v/>
      </c>
      <c r="B2585" t="inlineStr">
        <is>
          <t>2:35</t>
        </is>
      </c>
      <c r="C2585" t="inlineStr">
        <is>
          <t>the rabbit miraculous the most powerful</t>
        </is>
      </c>
      <c r="D2585">
        <f>HYPERLINK("https://www.youtube.com/watch?v=LBDuIlqF6JU&amp;t=155s", "Go to time")</f>
        <v/>
      </c>
    </row>
    <row r="2586">
      <c r="A2586">
        <f>HYPERLINK("https://www.youtube.com/watch?v=LBDuIlqF6JU", "Video")</f>
        <v/>
      </c>
      <c r="B2586" t="inlineStr">
        <is>
          <t>3:54</t>
        </is>
      </c>
      <c r="C2586" t="inlineStr">
        <is>
          <t>a rabbit miraculous amateur time is like</t>
        </is>
      </c>
      <c r="D2586">
        <f>HYPERLINK("https://www.youtube.com/watch?v=LBDuIlqF6JU&amp;t=234s", "Go to time")</f>
        <v/>
      </c>
    </row>
    <row r="2587">
      <c r="A2587">
        <f>HYPERLINK("https://www.youtube.com/watch?v=LBDuIlqF6JU", "Video")</f>
        <v/>
      </c>
      <c r="B2587" t="inlineStr">
        <is>
          <t>87:42</t>
        </is>
      </c>
      <c r="C2587" t="inlineStr">
        <is>
          <t>take care of a polar bear whose habitat</t>
        </is>
      </c>
      <c r="D2587">
        <f>HYPERLINK("https://www.youtube.com/watch?v=LBDuIlqF6JU&amp;t=5262s", "Go to time")</f>
        <v/>
      </c>
    </row>
    <row r="2588">
      <c r="A2588">
        <f>HYPERLINK("https://www.youtube.com/watch?v=LBDuIlqF6JU", "Video")</f>
        <v/>
      </c>
      <c r="B2588" t="inlineStr">
        <is>
          <t>88:57</t>
        </is>
      </c>
      <c r="C2588" t="inlineStr">
        <is>
          <t>dreams my ambitions my morality but I</t>
        </is>
      </c>
      <c r="D2588">
        <f>HYPERLINK("https://www.youtube.com/watch?v=LBDuIlqF6JU&amp;t=5337s", "Go to time")</f>
        <v/>
      </c>
    </row>
    <row r="2589">
      <c r="A2589">
        <f>HYPERLINK("https://www.youtube.com/watch?v=dRfTRN1F5Ys", "Video")</f>
        <v/>
      </c>
      <c r="B2589" t="inlineStr">
        <is>
          <t>20:14</t>
        </is>
      </c>
      <c r="C2589" t="inlineStr">
        <is>
          <t>He got fired after he started
making edits to the exhibits.</t>
        </is>
      </c>
      <c r="D2589">
        <f>HYPERLINK("https://www.youtube.com/watch?v=dRfTRN1F5Ys&amp;t=1214s", "Go to time")</f>
        <v/>
      </c>
    </row>
    <row r="2590">
      <c r="A2590">
        <f>HYPERLINK("https://www.youtube.com/watch?v=X168JZOhZe4", "Video")</f>
        <v/>
      </c>
      <c r="B2590" t="inlineStr">
        <is>
          <t>13:49</t>
        </is>
      </c>
      <c r="C2590" t="inlineStr">
        <is>
          <t>grandfather can be a bit eccentric but</t>
        </is>
      </c>
      <c r="D2590">
        <f>HYPERLINK("https://www.youtube.com/watch?v=X168JZOhZe4&amp;t=829s", "Go to time")</f>
        <v/>
      </c>
    </row>
    <row r="2591">
      <c r="A2591">
        <f>HYPERLINK("https://www.youtube.com/watch?v=dzeC1RuPoEg", "Video")</f>
        <v/>
      </c>
      <c r="B2591" t="inlineStr">
        <is>
          <t>8:07</t>
        </is>
      </c>
      <c r="C2591" t="inlineStr">
        <is>
          <t>a little bit and you would talk to me</t>
        </is>
      </c>
      <c r="D2591">
        <f>HYPERLINK("https://www.youtube.com/watch?v=dzeC1RuPoEg&amp;t=487s", "Go to time")</f>
        <v/>
      </c>
    </row>
    <row r="2592">
      <c r="A2592">
        <f>HYPERLINK("https://www.youtube.com/watch?v=7XLdxCRir4Q", "Video")</f>
        <v/>
      </c>
      <c r="B2592" t="inlineStr">
        <is>
          <t>32:18</t>
        </is>
      </c>
      <c r="C2592" t="inlineStr">
        <is>
          <t>before you all send
your planets into orbit.</t>
        </is>
      </c>
      <c r="D2592">
        <f>HYPERLINK("https://www.youtube.com/watch?v=7XLdxCRir4Q&amp;t=1938s", "Go to time")</f>
        <v/>
      </c>
    </row>
    <row r="2593">
      <c r="A2593">
        <f>HYPERLINK("https://www.youtube.com/watch?v=7XLdxCRir4Q", "Video")</f>
        <v/>
      </c>
      <c r="B2593" t="inlineStr">
        <is>
          <t>33:10</t>
        </is>
      </c>
      <c r="C2593" t="inlineStr">
        <is>
          <t>[Matt] It's hectic,
and I think every bit</t>
        </is>
      </c>
      <c r="D2593">
        <f>HYPERLINK("https://www.youtube.com/watch?v=7XLdxCRir4Q&amp;t=1990s", "Go to time")</f>
        <v/>
      </c>
    </row>
    <row r="2594">
      <c r="A2594">
        <f>HYPERLINK("https://www.youtube.com/watch?v=Bin6bkg8lcM", "Video")</f>
        <v/>
      </c>
      <c r="B2594" t="inlineStr">
        <is>
          <t>1:30</t>
        </is>
      </c>
      <c r="C2594" t="inlineStr">
        <is>
          <t>this is going to come back to bite Us in</t>
        </is>
      </c>
      <c r="D2594">
        <f>HYPERLINK("https://www.youtube.com/watch?v=Bin6bkg8lcM&amp;t=90s", "Go to time")</f>
        <v/>
      </c>
    </row>
    <row r="2595">
      <c r="A2595">
        <f>HYPERLINK("https://www.youtube.com/watch?v=F9mX1ff9A40", "Video")</f>
        <v/>
      </c>
      <c r="B2595" t="inlineStr">
        <is>
          <t>0:44</t>
        </is>
      </c>
      <c r="C2595" t="inlineStr">
        <is>
          <t>have a good bit of rehearsal while i was</t>
        </is>
      </c>
      <c r="D2595">
        <f>HYPERLINK("https://www.youtube.com/watch?v=F9mX1ff9A40&amp;t=44s", "Go to time")</f>
        <v/>
      </c>
    </row>
    <row r="2596">
      <c r="A2596">
        <f>HYPERLINK("https://www.youtube.com/watch?v=tMHEEQPltz8", "Video")</f>
        <v/>
      </c>
      <c r="B2596" t="inlineStr">
        <is>
          <t>0:24</t>
        </is>
      </c>
      <c r="C2596" t="inlineStr">
        <is>
          <t>♪ The only thing that is worse
than our bark's our bite ♪</t>
        </is>
      </c>
      <c r="D2596">
        <f>HYPERLINK("https://www.youtube.com/watch?v=tMHEEQPltz8&amp;t=24s", "Go to time")</f>
        <v/>
      </c>
    </row>
    <row r="2597">
      <c r="A2597">
        <f>HYPERLINK("https://www.youtube.com/watch?v=Q2XEyCFAMuk", "Video")</f>
        <v/>
      </c>
      <c r="B2597" t="inlineStr">
        <is>
          <t>2:44</t>
        </is>
      </c>
      <c r="C2597" t="inlineStr">
        <is>
          <t>buddy don't let the bed bugs bite</t>
        </is>
      </c>
      <c r="D2597">
        <f>HYPERLINK("https://www.youtube.com/watch?v=Q2XEyCFAMuk&amp;t=164s", "Go to time")</f>
        <v/>
      </c>
    </row>
    <row r="2598">
      <c r="A2598">
        <f>HYPERLINK("https://www.youtube.com/watch?v=GZ8bLDSKgY0", "Video")</f>
        <v/>
      </c>
      <c r="B2598" t="inlineStr">
        <is>
          <t>0:46</t>
        </is>
      </c>
      <c r="C2598" t="inlineStr">
        <is>
          <t>dollars bid now wanna bid now got a bit</t>
        </is>
      </c>
      <c r="D2598">
        <f>HYPERLINK("https://www.youtube.com/watch?v=GZ8bLDSKgY0&amp;t=46s", "Go to time")</f>
        <v/>
      </c>
    </row>
    <row r="2599">
      <c r="A2599">
        <f>HYPERLINK("https://www.youtube.com/watch?v=GZ8bLDSKgY0", "Video")</f>
        <v/>
      </c>
      <c r="B2599" t="inlineStr">
        <is>
          <t>0:48</t>
        </is>
      </c>
      <c r="C2599" t="inlineStr">
        <is>
          <t>now two mil two mil bit a bit of good oh</t>
        </is>
      </c>
      <c r="D2599">
        <f>HYPERLINK("https://www.youtube.com/watch?v=GZ8bLDSKgY0&amp;t=48s", "Go to time")</f>
        <v/>
      </c>
    </row>
    <row r="2600">
      <c r="A2600">
        <f>HYPERLINK("https://www.youtube.com/watch?v=AdJqkcnbuC4", "Video")</f>
        <v/>
      </c>
      <c r="B2600" t="inlineStr">
        <is>
          <t>1:00</t>
        </is>
      </c>
      <c r="C2600" t="inlineStr">
        <is>
          <t>fine back to the snake bit like in my</t>
        </is>
      </c>
      <c r="D2600">
        <f>HYPERLINK("https://www.youtube.com/watch?v=AdJqkcnbuC4&amp;t=60s", "Go to time")</f>
        <v/>
      </c>
    </row>
    <row r="2601">
      <c r="A2601">
        <f>HYPERLINK("https://www.youtube.com/watch?v=3_5oGVw8ii4", "Video")</f>
        <v/>
      </c>
      <c r="B2601" t="inlineStr">
        <is>
          <t>0:02</t>
        </is>
      </c>
      <c r="C2601" t="inlineStr">
        <is>
          <t>featured in a recent exhibit of american</t>
        </is>
      </c>
      <c r="D2601">
        <f>HYPERLINK("https://www.youtube.com/watch?v=3_5oGVw8ii4&amp;t=2s", "Go to time")</f>
        <v/>
      </c>
    </row>
    <row r="2602">
      <c r="A2602">
        <f>HYPERLINK("https://www.youtube.com/watch?v=3_5oGVw8ii4", "Video")</f>
        <v/>
      </c>
      <c r="B2602" t="inlineStr">
        <is>
          <t>0:18</t>
        </is>
      </c>
      <c r="C2602" t="inlineStr">
        <is>
          <t>getting your work into a major exhibit</t>
        </is>
      </c>
      <c r="D2602">
        <f>HYPERLINK("https://www.youtube.com/watch?v=3_5oGVw8ii4&amp;t=18s", "Go to time")</f>
        <v/>
      </c>
    </row>
    <row r="2603">
      <c r="A2603">
        <f>HYPERLINK("https://www.youtube.com/watch?v=3_5oGVw8ii4", "Video")</f>
        <v/>
      </c>
      <c r="B2603" t="inlineStr">
        <is>
          <t>0:23</t>
        </is>
      </c>
      <c r="C2603" t="inlineStr">
        <is>
          <t>gonna be in a major exhibit featured</t>
        </is>
      </c>
      <c r="D2603">
        <f>HYPERLINK("https://www.youtube.com/watch?v=3_5oGVw8ii4&amp;t=23s", "Go to time")</f>
        <v/>
      </c>
    </row>
    <row r="2604">
      <c r="A2604">
        <f>HYPERLINK("https://www.youtube.com/watch?v=3_5oGVw8ii4", "Video")</f>
        <v/>
      </c>
      <c r="B2604" t="inlineStr">
        <is>
          <t>3:42</t>
        </is>
      </c>
      <c r="C2604" t="inlineStr">
        <is>
          <t>featured in a recent exhibit of american</t>
        </is>
      </c>
      <c r="D2604">
        <f>HYPERLINK("https://www.youtube.com/watch?v=3_5oGVw8ii4&amp;t=222s", "Go to time")</f>
        <v/>
      </c>
    </row>
    <row r="2605">
      <c r="A2605">
        <f>HYPERLINK("https://www.youtube.com/watch?v=vWpc99HFOs0", "Video")</f>
        <v/>
      </c>
      <c r="B2605" t="inlineStr">
        <is>
          <t>0:02</t>
        </is>
      </c>
      <c r="C2605" t="inlineStr">
        <is>
          <t>bite from jesse right now</t>
        </is>
      </c>
      <c r="D2605">
        <f>HYPERLINK("https://www.youtube.com/watch?v=vWpc99HFOs0&amp;t=2s", "Go to time")</f>
        <v/>
      </c>
    </row>
    <row r="2606">
      <c r="A2606">
        <f>HYPERLINK("https://www.youtube.com/watch?v=I7yZA5PeD7A", "Video")</f>
        <v/>
      </c>
      <c r="B2606" t="inlineStr">
        <is>
          <t>0:00</t>
        </is>
      </c>
      <c r="C2606" t="inlineStr">
        <is>
          <t>here's a Disney Channel mini bite from</t>
        </is>
      </c>
      <c r="D2606">
        <f>HYPERLINK("https://www.youtube.com/watch?v=I7yZA5PeD7A&amp;t=0s", "Go to time")</f>
        <v/>
      </c>
    </row>
    <row r="2607">
      <c r="A2607">
        <f>HYPERLINK("https://www.youtube.com/watch?v=RuD65dnNWf0", "Video")</f>
        <v/>
      </c>
      <c r="B2607" t="inlineStr">
        <is>
          <t>2:52</t>
        </is>
      </c>
      <c r="C2607" t="inlineStr">
        <is>
          <t>oh or she could get bitten by a space</t>
        </is>
      </c>
      <c r="D2607">
        <f>HYPERLINK("https://www.youtube.com/watch?v=RuD65dnNWf0&amp;t=172s", "Go to time")</f>
        <v/>
      </c>
    </row>
    <row r="2608">
      <c r="A2608">
        <f>HYPERLINK("https://www.youtube.com/watch?v=RuD65dnNWf0", "Video")</f>
        <v/>
      </c>
      <c r="B2608" t="inlineStr">
        <is>
          <t>5:57</t>
        </is>
      </c>
      <c r="C2608" t="inlineStr">
        <is>
          <t>like the water fountain and a little bit</t>
        </is>
      </c>
      <c r="D2608">
        <f>HYPERLINK("https://www.youtube.com/watch?v=RuD65dnNWf0&amp;t=357s", "Go to time")</f>
        <v/>
      </c>
    </row>
    <row r="2609">
      <c r="A2609">
        <f>HYPERLINK("https://www.youtube.com/watch?v=RuD65dnNWf0", "Video")</f>
        <v/>
      </c>
      <c r="B2609" t="inlineStr">
        <is>
          <t>19:18</t>
        </is>
      </c>
      <c r="C2609" t="inlineStr">
        <is>
          <t>a bit of everything and that's great too</t>
        </is>
      </c>
      <c r="D2609">
        <f>HYPERLINK("https://www.youtube.com/watch?v=RuD65dnNWf0&amp;t=1158s", "Go to time")</f>
        <v/>
      </c>
    </row>
    <row r="2610">
      <c r="A2610">
        <f>HYPERLINK("https://www.youtube.com/watch?v=7xle2iogrS0", "Video")</f>
        <v/>
      </c>
      <c r="B2610" t="inlineStr">
        <is>
          <t>0:09</t>
        </is>
      </c>
      <c r="C2610" t="inlineStr">
        <is>
          <t>Through dance class,
we learned a little bit more</t>
        </is>
      </c>
      <c r="D2610">
        <f>HYPERLINK("https://www.youtube.com/watch?v=7xle2iogrS0&amp;t=9s", "Go to time")</f>
        <v/>
      </c>
    </row>
    <row r="2611">
      <c r="A2611">
        <f>HYPERLINK("https://www.youtube.com/watch?v=0zCG-GdHjcI", "Video")</f>
        <v/>
      </c>
      <c r="B2611" t="inlineStr">
        <is>
          <t>0:42</t>
        </is>
      </c>
      <c r="C2611" t="inlineStr">
        <is>
          <t>jake or chaos is a bit different than</t>
        </is>
      </c>
      <c r="D2611">
        <f>HYPERLINK("https://www.youtube.com/watch?v=0zCG-GdHjcI&amp;t=42s", "Go to time")</f>
        <v/>
      </c>
    </row>
    <row r="2612">
      <c r="A2612">
        <f>HYPERLINK("https://www.youtube.com/watch?v=GZzmCEQ7EcY", "Video")</f>
        <v/>
      </c>
      <c r="B2612" t="inlineStr">
        <is>
          <t>0:12</t>
        </is>
      </c>
      <c r="C2612" t="inlineStr">
        <is>
          <t>can't be a teeny bit of learning let's</t>
        </is>
      </c>
      <c r="D2612">
        <f>HYPERLINK("https://www.youtube.com/watch?v=GZzmCEQ7EcY&amp;t=12s", "Go to time")</f>
        <v/>
      </c>
    </row>
    <row r="2613">
      <c r="A2613">
        <f>HYPERLINK("https://www.youtube.com/watch?v=RuyOc7mhp6o", "Video")</f>
        <v/>
      </c>
      <c r="B2613" t="inlineStr">
        <is>
          <t>0:10</t>
        </is>
      </c>
      <c r="C2613" t="inlineStr">
        <is>
          <t>can you tell us a little bit about the</t>
        </is>
      </c>
      <c r="D2613">
        <f>HYPERLINK("https://www.youtube.com/watch?v=RuyOc7mhp6o&amp;t=10s", "Go to time")</f>
        <v/>
      </c>
    </row>
    <row r="2614">
      <c r="A2614">
        <f>HYPERLINK("https://www.youtube.com/watch?v=QuAOkLvRqrA", "Video")</f>
        <v/>
      </c>
      <c r="B2614" t="inlineStr">
        <is>
          <t>0:00</t>
        </is>
      </c>
      <c r="C2614" t="inlineStr">
        <is>
          <t>Disney Channel's got a mini bite from</t>
        </is>
      </c>
      <c r="D2614">
        <f>HYPERLINK("https://www.youtube.com/watch?v=QuAOkLvRqrA&amp;t=0s", "Go to time")</f>
        <v/>
      </c>
    </row>
    <row r="2615">
      <c r="A2615">
        <f>HYPERLINK("https://www.youtube.com/watch?v=svczWMYMcS0", "Video")</f>
        <v/>
      </c>
      <c r="B2615" t="inlineStr">
        <is>
          <t>0:00</t>
        </is>
      </c>
      <c r="C2615" t="inlineStr">
        <is>
          <t>here's a disney channel mini bite from</t>
        </is>
      </c>
      <c r="D2615">
        <f>HYPERLINK("https://www.youtube.com/watch?v=svczWMYMcS0&amp;t=0s", "Go to time")</f>
        <v/>
      </c>
    </row>
    <row r="2616">
      <c r="A2616">
        <f>HYPERLINK("https://www.youtube.com/watch?v=mHXTO6YO2Kg", "Video")</f>
        <v/>
      </c>
      <c r="B2616" t="inlineStr">
        <is>
          <t>0:34</t>
        </is>
      </c>
      <c r="C2616" t="inlineStr">
        <is>
          <t>grows up a little bit with the help of</t>
        </is>
      </c>
      <c r="D2616">
        <f>HYPERLINK("https://www.youtube.com/watch?v=mHXTO6YO2Kg&amp;t=34s", "Go to time")</f>
        <v/>
      </c>
    </row>
    <row r="2617">
      <c r="A2617">
        <f>HYPERLINK("https://www.youtube.com/watch?v=LvuTfpHESF0", "Video")</f>
        <v/>
      </c>
      <c r="B2617" t="inlineStr">
        <is>
          <t>2:35</t>
        </is>
      </c>
      <c r="C2617" t="inlineStr">
        <is>
          <t>you bite bite bite from morning to night</t>
        </is>
      </c>
      <c r="D2617">
        <f>HYPERLINK("https://www.youtube.com/watch?v=LvuTfpHESF0&amp;t=155s", "Go to time")</f>
        <v/>
      </c>
    </row>
    <row r="2618">
      <c r="A2618">
        <f>HYPERLINK("https://www.youtube.com/watch?v=SOksQg5-qFc", "Video")</f>
        <v/>
      </c>
      <c r="B2618" t="inlineStr">
        <is>
          <t>0:22</t>
        </is>
      </c>
      <c r="C2618" t="inlineStr">
        <is>
          <t>grab the little muni rabbit pull him</t>
        </is>
      </c>
      <c r="D2618">
        <f>HYPERLINK("https://www.youtube.com/watch?v=SOksQg5-qFc&amp;t=22s", "Go to time")</f>
        <v/>
      </c>
    </row>
    <row r="2619">
      <c r="A2619">
        <f>HYPERLINK("https://www.youtube.com/watch?v=nZATweIzJPw", "Video")</f>
        <v/>
      </c>
      <c r="B2619" t="inlineStr">
        <is>
          <t>0:29</t>
        </is>
      </c>
      <c r="C2619" t="inlineStr">
        <is>
          <t>And I'm actually a bit of
a super villain myself.</t>
        </is>
      </c>
      <c r="D2619">
        <f>HYPERLINK("https://www.youtube.com/watch?v=nZATweIzJPw&amp;t=29s", "Go to time")</f>
        <v/>
      </c>
    </row>
    <row r="2620">
      <c r="A2620">
        <f>HYPERLINK("https://www.youtube.com/watch?v=Yqhq0vDtWMY", "Video")</f>
        <v/>
      </c>
      <c r="B2620" t="inlineStr">
        <is>
          <t>0:00</t>
        </is>
      </c>
      <c r="C2620" t="inlineStr">
        <is>
          <t>Disney Channel's got a mini bite from</t>
        </is>
      </c>
      <c r="D2620">
        <f>HYPERLINK("https://www.youtube.com/watch?v=Yqhq0vDtWMY&amp;t=0s", "Go to time")</f>
        <v/>
      </c>
    </row>
    <row r="2621">
      <c r="A2621">
        <f>HYPERLINK("https://www.youtube.com/watch?v=Yqhq0vDtWMY", "Video")</f>
        <v/>
      </c>
      <c r="B2621" t="inlineStr">
        <is>
          <t>0:05</t>
        </is>
      </c>
      <c r="C2621" t="inlineStr">
        <is>
          <t>Charlie Bit him why would she do that</t>
        </is>
      </c>
      <c r="D2621">
        <f>HYPERLINK("https://www.youtube.com/watch?v=Yqhq0vDtWMY&amp;t=5s", "Go to time")</f>
        <v/>
      </c>
    </row>
    <row r="2622">
      <c r="A2622">
        <f>HYPERLINK("https://www.youtube.com/watch?v=XQv_ZIYFZAA", "Video")</f>
        <v/>
      </c>
      <c r="B2622" t="inlineStr">
        <is>
          <t>1:35</t>
        </is>
      </c>
      <c r="C2622" t="inlineStr">
        <is>
          <t>little bit of a for me because i can</t>
        </is>
      </c>
      <c r="D2622">
        <f>HYPERLINK("https://www.youtube.com/watch?v=XQv_ZIYFZAA&amp;t=95s", "Go to time")</f>
        <v/>
      </c>
    </row>
    <row r="2623">
      <c r="A2623">
        <f>HYPERLINK("https://www.youtube.com/watch?v=XQv_ZIYFZAA", "Video")</f>
        <v/>
      </c>
      <c r="B2623" t="inlineStr">
        <is>
          <t>1:39</t>
        </is>
      </c>
      <c r="C2623" t="inlineStr">
        <is>
          <t>here is kind of struggling a bit</t>
        </is>
      </c>
      <c r="D2623">
        <f>HYPERLINK("https://www.youtube.com/watch?v=XQv_ZIYFZAA&amp;t=99s", "Go to time")</f>
        <v/>
      </c>
    </row>
    <row r="2624">
      <c r="A2624">
        <f>HYPERLINK("https://www.youtube.com/watch?v=XQv_ZIYFZAA", "Video")</f>
        <v/>
      </c>
      <c r="B2624" t="inlineStr">
        <is>
          <t>1:57</t>
        </is>
      </c>
      <c r="C2624" t="inlineStr">
        <is>
          <t>did it ease it down a little bit</t>
        </is>
      </c>
      <c r="D2624">
        <f>HYPERLINK("https://www.youtube.com/watch?v=XQv_ZIYFZAA&amp;t=117s", "Go to time")</f>
        <v/>
      </c>
    </row>
    <row r="2625">
      <c r="A2625">
        <f>HYPERLINK("https://www.youtube.com/watch?v=XQv_ZIYFZAA", "Video")</f>
        <v/>
      </c>
      <c r="B2625" t="inlineStr">
        <is>
          <t>2:52</t>
        </is>
      </c>
      <c r="C2625" t="inlineStr">
        <is>
          <t>now i say we try a little bit of the</t>
        </is>
      </c>
      <c r="D2625">
        <f>HYPERLINK("https://www.youtube.com/watch?v=XQv_ZIYFZAA&amp;t=172s", "Go to time")</f>
        <v/>
      </c>
    </row>
    <row r="2626">
      <c r="A2626">
        <f>HYPERLINK("https://www.youtube.com/watch?v=XQv_ZIYFZAA", "Video")</f>
        <v/>
      </c>
      <c r="B2626" t="inlineStr">
        <is>
          <t>3:13</t>
        </is>
      </c>
      <c r="C2626" t="inlineStr">
        <is>
          <t>why do you do this and then a little bit</t>
        </is>
      </c>
      <c r="D2626">
        <f>HYPERLINK("https://www.youtube.com/watch?v=XQv_ZIYFZAA&amp;t=193s", "Go to time")</f>
        <v/>
      </c>
    </row>
    <row r="2627">
      <c r="A2627">
        <f>HYPERLINK("https://www.youtube.com/watch?v=rSkitkeQGzI", "Video")</f>
        <v/>
      </c>
      <c r="B2627" t="inlineStr">
        <is>
          <t>0:49</t>
        </is>
      </c>
      <c r="C2627" t="inlineStr">
        <is>
          <t>turning a brick into a rabbit h bono</t>
        </is>
      </c>
      <c r="D2627">
        <f>HYPERLINK("https://www.youtube.com/watch?v=rSkitkeQGzI&amp;t=49s", "Go to time")</f>
        <v/>
      </c>
    </row>
    <row r="2628">
      <c r="A2628">
        <f>HYPERLINK("https://www.youtube.com/watch?v=xj9ikYG414A", "Video")</f>
        <v/>
      </c>
      <c r="B2628" t="inlineStr">
        <is>
          <t>8:04</t>
        </is>
      </c>
      <c r="C2628" t="inlineStr">
        <is>
          <t>looks like this place could use a bit of</t>
        </is>
      </c>
      <c r="D2628">
        <f>HYPERLINK("https://www.youtube.com/watch?v=xj9ikYG414A&amp;t=484s", "Go to time")</f>
        <v/>
      </c>
    </row>
    <row r="2629">
      <c r="A2629">
        <f>HYPERLINK("https://www.youtube.com/watch?v=pIoaey57Jfk", "Video")</f>
        <v/>
      </c>
      <c r="B2629" t="inlineStr">
        <is>
          <t>0:09</t>
        </is>
      </c>
      <c r="C2629" t="inlineStr">
        <is>
          <t>the shape of a rabbit cute</t>
        </is>
      </c>
      <c r="D2629">
        <f>HYPERLINK("https://www.youtube.com/watch?v=pIoaey57Jfk&amp;t=9s", "Go to time")</f>
        <v/>
      </c>
    </row>
    <row r="2630">
      <c r="A2630">
        <f>HYPERLINK("https://www.youtube.com/watch?v=pIoaey57Jfk", "Video")</f>
        <v/>
      </c>
      <c r="B2630" t="inlineStr">
        <is>
          <t>0:11</t>
        </is>
      </c>
      <c r="C2630" t="inlineStr">
        <is>
          <t>no lower I rabbit in the shape of a</t>
        </is>
      </c>
      <c r="D2630">
        <f>HYPERLINK("https://www.youtube.com/watch?v=pIoaey57Jfk&amp;t=11s", "Go to time")</f>
        <v/>
      </c>
    </row>
    <row r="2631">
      <c r="A2631">
        <f>HYPERLINK("https://www.youtube.com/watch?v=pIoaey57Jfk", "Video")</f>
        <v/>
      </c>
      <c r="B2631" t="inlineStr">
        <is>
          <t>12:04</t>
        </is>
      </c>
      <c r="C2631" t="inlineStr">
        <is>
          <t>little bit nervous whether she likes you</t>
        </is>
      </c>
      <c r="D2631">
        <f>HYPERLINK("https://www.youtube.com/watch?v=pIoaey57Jfk&amp;t=724s", "Go to time")</f>
        <v/>
      </c>
    </row>
    <row r="2632">
      <c r="A2632">
        <f>HYPERLINK("https://www.youtube.com/watch?v=pIoaey57Jfk", "Video")</f>
        <v/>
      </c>
      <c r="B2632" t="inlineStr">
        <is>
          <t>20:06</t>
        </is>
      </c>
      <c r="C2632" t="inlineStr">
        <is>
          <t>bit I do that sometimes</t>
        </is>
      </c>
      <c r="D2632">
        <f>HYPERLINK("https://www.youtube.com/watch?v=pIoaey57Jfk&amp;t=1206s", "Go to time")</f>
        <v/>
      </c>
    </row>
    <row r="2633">
      <c r="A2633">
        <f>HYPERLINK("https://www.youtube.com/watch?v=d88W74gch0E", "Video")</f>
        <v/>
      </c>
      <c r="B2633" t="inlineStr">
        <is>
          <t>1:15</t>
        </is>
      </c>
      <c r="C2633" t="inlineStr">
        <is>
          <t>bit much well luckily for you for the</t>
        </is>
      </c>
      <c r="D2633">
        <f>HYPERLINK("https://www.youtube.com/watch?v=d88W74gch0E&amp;t=75s", "Go to time")</f>
        <v/>
      </c>
    </row>
    <row r="2634">
      <c r="A2634">
        <f>HYPERLINK("https://www.youtube.com/watch?v=BKZixouTZvc", "Video")</f>
        <v/>
      </c>
      <c r="B2634" t="inlineStr">
        <is>
          <t>0:18</t>
        </is>
      </c>
      <c r="C2634" t="inlineStr">
        <is>
          <t>you bite bite bite from morning to night</t>
        </is>
      </c>
      <c r="D2634">
        <f>HYPERLINK("https://www.youtube.com/watch?v=BKZixouTZvc&amp;t=18s", "Go to time")</f>
        <v/>
      </c>
    </row>
    <row r="2635">
      <c r="A2635">
        <f>HYPERLINK("https://www.youtube.com/watch?v=HVSY0sKP8-8", "Video")</f>
        <v/>
      </c>
      <c r="B2635" t="inlineStr">
        <is>
          <t>4:05</t>
        </is>
      </c>
      <c r="C2635" t="inlineStr">
        <is>
          <t>come on come on a little bit of this</t>
        </is>
      </c>
      <c r="D2635">
        <f>HYPERLINK("https://www.youtube.com/watch?v=HVSY0sKP8-8&amp;t=245s", "Go to time")</f>
        <v/>
      </c>
    </row>
    <row r="2636">
      <c r="A2636">
        <f>HYPERLINK("https://www.youtube.com/watch?v=CqtkZgZGzCU", "Video")</f>
        <v/>
      </c>
      <c r="B2636" t="inlineStr">
        <is>
          <t>0:00</t>
        </is>
      </c>
      <c r="C2636" t="inlineStr">
        <is>
          <t>Disney Channel's got a mini bite from</t>
        </is>
      </c>
      <c r="D2636">
        <f>HYPERLINK("https://www.youtube.com/watch?v=CqtkZgZGzCU&amp;t=0s", "Go to time")</f>
        <v/>
      </c>
    </row>
    <row r="2637">
      <c r="A2637">
        <f>HYPERLINK("https://www.youtube.com/watch?v=CqtkZgZGzCU", "Video")</f>
        <v/>
      </c>
      <c r="B2637" t="inlineStr">
        <is>
          <t>0:19</t>
        </is>
      </c>
      <c r="C2637" t="inlineStr">
        <is>
          <t>it's a little bit difficult with Jimmy</t>
        </is>
      </c>
      <c r="D2637">
        <f>HYPERLINK("https://www.youtube.com/watch?v=CqtkZgZGzCU&amp;t=19s", "Go to time")</f>
        <v/>
      </c>
    </row>
    <row r="2638">
      <c r="A2638">
        <f>HYPERLINK("https://www.youtube.com/watch?v=ie315YDacWg", "Video")</f>
        <v/>
      </c>
      <c r="B2638" t="inlineStr">
        <is>
          <t>1:47</t>
        </is>
      </c>
      <c r="C2638" t="inlineStr">
        <is>
          <t>whose whole work history
is being a two-bit hood.</t>
        </is>
      </c>
      <c r="D2638">
        <f>HYPERLINK("https://www.youtube.com/watch?v=ie315YDacWg&amp;t=107s", "Go to time")</f>
        <v/>
      </c>
    </row>
    <row r="2639">
      <c r="A2639">
        <f>HYPERLINK("https://www.youtube.com/watch?v=ie315YDacWg", "Video")</f>
        <v/>
      </c>
      <c r="B2639" t="inlineStr">
        <is>
          <t>1:49</t>
        </is>
      </c>
      <c r="C2639" t="inlineStr">
        <is>
          <t>(laughing)
Two-bit hood?</t>
        </is>
      </c>
      <c r="D2639">
        <f>HYPERLINK("https://www.youtube.com/watch?v=ie315YDacWg&amp;t=109s", "Go to time")</f>
        <v/>
      </c>
    </row>
    <row r="2640">
      <c r="A2640">
        <f>HYPERLINK("https://www.youtube.com/watch?v=ie315YDacWg", "Video")</f>
        <v/>
      </c>
      <c r="B2640" t="inlineStr">
        <is>
          <t>2:19</t>
        </is>
      </c>
      <c r="C2640" t="inlineStr">
        <is>
          <t>Two-bit hood?
I mean, she acts like</t>
        </is>
      </c>
      <c r="D2640">
        <f>HYPERLINK("https://www.youtube.com/watch?v=ie315YDacWg&amp;t=139s", "Go to time")</f>
        <v/>
      </c>
    </row>
    <row r="2641">
      <c r="A2641">
        <f>HYPERLINK("https://www.youtube.com/watch?v=fTKVRpPNR8E", "Video")</f>
        <v/>
      </c>
      <c r="B2641" t="inlineStr">
        <is>
          <t>0:19</t>
        </is>
      </c>
      <c r="C2641" t="inlineStr">
        <is>
          <t>thing is a bit harder than i imagined</t>
        </is>
      </c>
      <c r="D2641">
        <f>HYPERLINK("https://www.youtube.com/watch?v=fTKVRpPNR8E&amp;t=19s", "Go to time")</f>
        <v/>
      </c>
    </row>
    <row r="2642">
      <c r="A2642">
        <f>HYPERLINK("https://www.youtube.com/watch?v=T8elo0syffw", "Video")</f>
        <v/>
      </c>
      <c r="B2642" t="inlineStr">
        <is>
          <t>0:02</t>
        </is>
      </c>
      <c r="C2642" t="inlineStr">
        <is>
          <t>bite from Jesse right now it's</t>
        </is>
      </c>
      <c r="D2642">
        <f>HYPERLINK("https://www.youtube.com/watch?v=T8elo0syffw&amp;t=2s", "Go to time")</f>
        <v/>
      </c>
    </row>
    <row r="2643">
      <c r="A2643">
        <f>HYPERLINK("https://www.youtube.com/watch?v=cqftZDM7XQQ", "Video")</f>
        <v/>
      </c>
      <c r="B2643" t="inlineStr">
        <is>
          <t>6:51</t>
        </is>
      </c>
      <c r="C2643" t="inlineStr">
        <is>
          <t>bit of mass destruction</t>
        </is>
      </c>
      <c r="D2643">
        <f>HYPERLINK("https://www.youtube.com/watch?v=cqftZDM7XQQ&amp;t=411s", "Go to time")</f>
        <v/>
      </c>
    </row>
    <row r="2644">
      <c r="A2644">
        <f>HYPERLINK("https://www.youtube.com/watch?v=cqftZDM7XQQ", "Video")</f>
        <v/>
      </c>
      <c r="B2644" t="inlineStr">
        <is>
          <t>14:02</t>
        </is>
      </c>
      <c r="C2644" t="inlineStr">
        <is>
          <t>bitty baby legs baby legs that's it draw</t>
        </is>
      </c>
      <c r="D2644">
        <f>HYPERLINK("https://www.youtube.com/watch?v=cqftZDM7XQQ&amp;t=842s", "Go to time")</f>
        <v/>
      </c>
    </row>
    <row r="2645">
      <c r="A2645">
        <f>HYPERLINK("https://www.youtube.com/watch?v=zxOy485TIqI", "Video")</f>
        <v/>
      </c>
      <c r="B2645" t="inlineStr">
        <is>
          <t>0:46</t>
        </is>
      </c>
      <c r="C2645" t="inlineStr">
        <is>
          <t>full of regrets and bitterness</t>
        </is>
      </c>
      <c r="D2645">
        <f>HYPERLINK("https://www.youtube.com/watch?v=zxOy485TIqI&amp;t=46s", "Go to time")</f>
        <v/>
      </c>
    </row>
    <row r="2646">
      <c r="A2646">
        <f>HYPERLINK("https://www.youtube.com/watch?v=QBxzKVQ6Ff0", "Video")</f>
        <v/>
      </c>
      <c r="B2646" t="inlineStr">
        <is>
          <t>0:02</t>
        </is>
      </c>
      <c r="C2646" t="inlineStr">
        <is>
          <t>bite from Phineas and</t>
        </is>
      </c>
      <c r="D2646">
        <f>HYPERLINK("https://www.youtube.com/watch?v=QBxzKVQ6Ff0&amp;t=2s", "Go to time")</f>
        <v/>
      </c>
    </row>
    <row r="2647">
      <c r="A2647">
        <f>HYPERLINK("https://www.youtube.com/watch?v=BLXZy7xvo5o", "Video")</f>
        <v/>
      </c>
      <c r="B2647" t="inlineStr">
        <is>
          <t>141:02</t>
        </is>
      </c>
      <c r="C2647" t="inlineStr">
        <is>
          <t>mirror thanks Sasha that was a bit much</t>
        </is>
      </c>
      <c r="D2647">
        <f>HYPERLINK("https://www.youtube.com/watch?v=BLXZy7xvo5o&amp;t=8462s", "Go to time")</f>
        <v/>
      </c>
    </row>
    <row r="2648">
      <c r="A2648">
        <f>HYPERLINK("https://www.youtube.com/watch?v=V_Gakr2U2NI", "Video")</f>
        <v/>
      </c>
      <c r="B2648" t="inlineStr">
        <is>
          <t>14:07</t>
        </is>
      </c>
      <c r="C2648" t="inlineStr">
        <is>
          <t>LOS-307: All it took
was one itty bitty fake text,</t>
        </is>
      </c>
      <c r="D2648">
        <f>HYPERLINK("https://www.youtube.com/watch?v=V_Gakr2U2NI&amp;t=847s", "Go to time")</f>
        <v/>
      </c>
    </row>
    <row r="2649">
      <c r="A2649">
        <f>HYPERLINK("https://www.youtube.com/watch?v=yTjB43xwr3Q", "Video")</f>
        <v/>
      </c>
      <c r="B2649" t="inlineStr">
        <is>
          <t>0:42</t>
        </is>
      </c>
      <c r="C2649" t="inlineStr">
        <is>
          <t>Standing up to Bite.</t>
        </is>
      </c>
      <c r="D2649">
        <f>HYPERLINK("https://www.youtube.com/watch?v=yTjB43xwr3Q&amp;t=42s", "Go to time")</f>
        <v/>
      </c>
    </row>
    <row r="2650">
      <c r="A2650">
        <f>HYPERLINK("https://www.youtube.com/watch?v=AFpAL33Shfs", "Video")</f>
        <v/>
      </c>
      <c r="B2650" t="inlineStr">
        <is>
          <t>2:16</t>
        </is>
      </c>
      <c r="C2650" t="inlineStr">
        <is>
          <t>It took me all day yesterday
to eliminate bacon bits.</t>
        </is>
      </c>
      <c r="D2650">
        <f>HYPERLINK("https://www.youtube.com/watch?v=AFpAL33Shfs&amp;t=136s", "Go to time")</f>
        <v/>
      </c>
    </row>
    <row r="2651">
      <c r="A2651">
        <f>HYPERLINK("https://www.youtube.com/watch?v=7obwSBcstZQ", "Video")</f>
        <v/>
      </c>
      <c r="B2651" t="inlineStr">
        <is>
          <t>1:46</t>
        </is>
      </c>
      <c r="C2651" t="inlineStr">
        <is>
          <t>and sometimes
a little bit of mustard.</t>
        </is>
      </c>
      <c r="D2651">
        <f>HYPERLINK("https://www.youtube.com/watch?v=7obwSBcstZQ&amp;t=106s", "Go to time")</f>
        <v/>
      </c>
    </row>
    <row r="2652">
      <c r="A2652">
        <f>HYPERLINK("https://www.youtube.com/watch?v=jerMwDA_PMY", "Video")</f>
        <v/>
      </c>
      <c r="B2652" t="inlineStr">
        <is>
          <t>5:12</t>
        </is>
      </c>
      <c r="C2652" t="inlineStr">
        <is>
          <t>tourists are put off by the bitter</t>
        </is>
      </c>
      <c r="D2652">
        <f>HYPERLINK("https://www.youtube.com/watch?v=jerMwDA_PMY&amp;t=312s", "Go to time")</f>
        <v/>
      </c>
    </row>
    <row r="2653">
      <c r="A2653">
        <f>HYPERLINK("https://www.youtube.com/watch?v=Vbu8TI-I6Pk", "Video")</f>
        <v/>
      </c>
      <c r="B2653" t="inlineStr">
        <is>
          <t>0:59</t>
        </is>
      </c>
      <c r="C2653" t="inlineStr">
        <is>
          <t>little bit of dress</t>
        </is>
      </c>
      <c r="D2653">
        <f>HYPERLINK("https://www.youtube.com/watch?v=Vbu8TI-I6Pk&amp;t=59s", "Go to time")</f>
        <v/>
      </c>
    </row>
    <row r="2654">
      <c r="A2654">
        <f>HYPERLINK("https://www.youtube.com/watch?v=6rRIF01z-t0", "Video")</f>
        <v/>
      </c>
      <c r="B2654" t="inlineStr">
        <is>
          <t>6:44</t>
        </is>
      </c>
      <c r="C2654" t="inlineStr">
        <is>
          <t>sorry force a habit</t>
        </is>
      </c>
      <c r="D2654">
        <f>HYPERLINK("https://www.youtube.com/watch?v=6rRIF01z-t0&amp;t=404s", "Go to time")</f>
        <v/>
      </c>
    </row>
    <row r="2655">
      <c r="A2655">
        <f>HYPERLINK("https://www.youtube.com/watch?v=6rRIF01z-t0", "Video")</f>
        <v/>
      </c>
      <c r="B2655" t="inlineStr">
        <is>
          <t>19:44</t>
        </is>
      </c>
      <c r="C2655" t="inlineStr">
        <is>
          <t>you try to suck a hug it bites you work</t>
        </is>
      </c>
      <c r="D2655">
        <f>HYPERLINK("https://www.youtube.com/watch?v=6rRIF01z-t0&amp;t=1184s", "Go to time")</f>
        <v/>
      </c>
    </row>
    <row r="2656">
      <c r="A2656">
        <f>HYPERLINK("https://www.youtube.com/watch?v=PGPTxiSNix8", "Video")</f>
        <v/>
      </c>
      <c r="B2656" t="inlineStr">
        <is>
          <t>2:57</t>
        </is>
      </c>
      <c r="C2656" t="inlineStr">
        <is>
          <t>little bit of my mojo no more talking</t>
        </is>
      </c>
      <c r="D2656">
        <f>HYPERLINK("https://www.youtube.com/watch?v=PGPTxiSNix8&amp;t=177s", "Go to time")</f>
        <v/>
      </c>
    </row>
    <row r="2657">
      <c r="A2657">
        <f>HYPERLINK("https://www.youtube.com/watch?v=FPZqtkifYH4", "Video")</f>
        <v/>
      </c>
      <c r="B2657" t="inlineStr">
        <is>
          <t>11:40</t>
        </is>
      </c>
      <c r="C2657" t="inlineStr">
        <is>
          <t>Look, I was having
a tiny bit of trouble</t>
        </is>
      </c>
      <c r="D2657">
        <f>HYPERLINK("https://www.youtube.com/watch?v=FPZqtkifYH4&amp;t=700s", "Go to time")</f>
        <v/>
      </c>
    </row>
    <row r="2658">
      <c r="A2658">
        <f>HYPERLINK("https://www.youtube.com/watch?v=FPZqtkifYH4", "Video")</f>
        <v/>
      </c>
      <c r="B2658" t="inlineStr">
        <is>
          <t>21:28</t>
        </is>
      </c>
      <c r="C2658" t="inlineStr">
        <is>
          <t>Loyal, clever
and a little bit naughty.</t>
        </is>
      </c>
      <c r="D2658">
        <f>HYPERLINK("https://www.youtube.com/watch?v=FPZqtkifYH4&amp;t=1288s", "Go to time")</f>
        <v/>
      </c>
    </row>
    <row r="2659">
      <c r="A2659">
        <f>HYPERLINK("https://www.youtube.com/watch?v=5roU8xd8DEU", "Video")</f>
        <v/>
      </c>
      <c r="B2659" t="inlineStr">
        <is>
          <t>0:06</t>
        </is>
      </c>
      <c r="C2659" t="inlineStr">
        <is>
          <t>Chandler and I are having
a bit of a thing here.</t>
        </is>
      </c>
      <c r="D2659">
        <f>HYPERLINK("https://www.youtube.com/watch?v=5roU8xd8DEU&amp;t=6s", "Go to time")</f>
        <v/>
      </c>
    </row>
    <row r="2660">
      <c r="A2660">
        <f>HYPERLINK("https://www.youtube.com/watch?v=5roU8xd8DEU", "Video")</f>
        <v/>
      </c>
      <c r="B2660" t="inlineStr">
        <is>
          <t>0:58</t>
        </is>
      </c>
      <c r="C2660" t="inlineStr">
        <is>
          <t>Now, Dr. Laidre,
tell us a little bit more</t>
        </is>
      </c>
      <c r="D2660">
        <f>HYPERLINK("https://www.youtube.com/watch?v=5roU8xd8DEU&amp;t=58s", "Go to time")</f>
        <v/>
      </c>
    </row>
    <row r="2661">
      <c r="A2661">
        <f>HYPERLINK("https://www.youtube.com/watch?v=cZOeKb6So9Q", "Video")</f>
        <v/>
      </c>
      <c r="B2661" t="inlineStr">
        <is>
          <t>2:12</t>
        </is>
      </c>
      <c r="C2661" t="inlineStr">
        <is>
          <t>oh bit of a property damage there</t>
        </is>
      </c>
      <c r="D2661">
        <f>HYPERLINK("https://www.youtube.com/watch?v=cZOeKb6So9Q&amp;t=132s", "Go to time")</f>
        <v/>
      </c>
    </row>
    <row r="2662">
      <c r="A2662">
        <f>HYPERLINK("https://www.youtube.com/watch?v=KcFaRbAm0_M", "Video")</f>
        <v/>
      </c>
      <c r="B2662" t="inlineStr">
        <is>
          <t>0:02</t>
        </is>
      </c>
      <c r="C2662" t="inlineStr">
        <is>
          <t>bite from Jesse right</t>
        </is>
      </c>
      <c r="D2662">
        <f>HYPERLINK("https://www.youtube.com/watch?v=KcFaRbAm0_M&amp;t=2s", "Go to time")</f>
        <v/>
      </c>
    </row>
    <row r="2663">
      <c r="A2663">
        <f>HYPERLINK("https://www.youtube.com/watch?v=KNTUhqgnzHE", "Video")</f>
        <v/>
      </c>
      <c r="B2663" t="inlineStr">
        <is>
          <t>1:06</t>
        </is>
      </c>
      <c r="C2663" t="inlineStr">
        <is>
          <t>it's a rabbit it's sand</t>
        </is>
      </c>
      <c r="D2663">
        <f>HYPERLINK("https://www.youtube.com/watch?v=KNTUhqgnzHE&amp;t=66s", "Go to time")</f>
        <v/>
      </c>
    </row>
    <row r="2664">
      <c r="A2664">
        <f>HYPERLINK("https://www.youtube.com/watch?v=KNTUhqgnzHE", "Video")</f>
        <v/>
      </c>
      <c r="B2664" t="inlineStr">
        <is>
          <t>5:58</t>
        </is>
      </c>
      <c r="C2664" t="inlineStr">
        <is>
          <t>a ruby in her natural habitat when she's</t>
        </is>
      </c>
      <c r="D2664">
        <f>HYPERLINK("https://www.youtube.com/watch?v=KNTUhqgnzHE&amp;t=358s", "Go to time")</f>
        <v/>
      </c>
    </row>
    <row r="2665">
      <c r="A2665">
        <f>HYPERLINK("https://www.youtube.com/watch?v=fDueGXfuvjI", "Video")</f>
        <v/>
      </c>
      <c r="B2665" t="inlineStr">
        <is>
          <t>0:00</t>
        </is>
      </c>
      <c r="C2665" t="inlineStr">
        <is>
          <t>Disney Channel's got a mini bite from</t>
        </is>
      </c>
      <c r="D2665">
        <f>HYPERLINK("https://www.youtube.com/watch?v=fDueGXfuvjI&amp;t=0s", "Go to time")</f>
        <v/>
      </c>
    </row>
    <row r="2666">
      <c r="A2666">
        <f>HYPERLINK("https://www.youtube.com/watch?v=HEHHW0_kHfg", "Video")</f>
        <v/>
      </c>
      <c r="B2666" t="inlineStr">
        <is>
          <t>0:53</t>
        </is>
      </c>
      <c r="C2666" t="inlineStr">
        <is>
          <t>bit better every day is such a dream</t>
        </is>
      </c>
      <c r="D2666">
        <f>HYPERLINK("https://www.youtube.com/watch?v=HEHHW0_kHfg&amp;t=53s", "Go to time")</f>
        <v/>
      </c>
    </row>
    <row r="2667">
      <c r="A2667">
        <f>HYPERLINK("https://www.youtube.com/watch?v=daWFMYp-d-A", "Video")</f>
        <v/>
      </c>
      <c r="B2667" t="inlineStr">
        <is>
          <t>0:38</t>
        </is>
      </c>
      <c r="C2667" t="inlineStr">
        <is>
          <t>hate to fly into that one see i'm a bit</t>
        </is>
      </c>
      <c r="D2667">
        <f>HYPERLINK("https://www.youtube.com/watch?v=daWFMYp-d-A&amp;t=38s", "Go to time")</f>
        <v/>
      </c>
    </row>
    <row r="2668">
      <c r="A2668">
        <f>HYPERLINK("https://www.youtube.com/watch?v=auegUFM9MyY", "Video")</f>
        <v/>
      </c>
      <c r="B2668" t="inlineStr">
        <is>
          <t>0:47</t>
        </is>
      </c>
      <c r="C2668" t="inlineStr">
        <is>
          <t>bit about Moon girls roller skating</t>
        </is>
      </c>
      <c r="D2668">
        <f>HYPERLINK("https://www.youtube.com/watch?v=auegUFM9MyY&amp;t=47s", "Go to time")</f>
        <v/>
      </c>
    </row>
    <row r="2669">
      <c r="A2669">
        <f>HYPERLINK("https://www.youtube.com/watch?v=WBiRbqfosuk", "Video")</f>
        <v/>
      </c>
      <c r="B2669" t="inlineStr">
        <is>
          <t>23:30</t>
        </is>
      </c>
      <c r="C2669" t="inlineStr">
        <is>
          <t>little bit nope good riddance</t>
        </is>
      </c>
      <c r="D2669">
        <f>HYPERLINK("https://www.youtube.com/watch?v=WBiRbqfosuk&amp;t=1410s", "Go to time")</f>
        <v/>
      </c>
    </row>
    <row r="2670">
      <c r="A2670">
        <f>HYPERLINK("https://www.youtube.com/watch?v=08x84I4d99g", "Video")</f>
        <v/>
      </c>
      <c r="B2670" t="inlineStr">
        <is>
          <t>3:26</t>
        </is>
      </c>
      <c r="C2670" t="inlineStr">
        <is>
          <t>last bite of existence</t>
        </is>
      </c>
      <c r="D2670">
        <f>HYPERLINK("https://www.youtube.com/watch?v=08x84I4d99g&amp;t=206s", "Go to time")</f>
        <v/>
      </c>
    </row>
    <row r="2671">
      <c r="A2671">
        <f>HYPERLINK("https://www.youtube.com/watch?v=8N9JymI0GGM", "Video")</f>
        <v/>
      </c>
      <c r="B2671" t="inlineStr">
        <is>
          <t>0:35</t>
        </is>
      </c>
      <c r="C2671" t="inlineStr">
        <is>
          <t>bite who knows what will catch out here</t>
        </is>
      </c>
      <c r="D2671">
        <f>HYPERLINK("https://www.youtube.com/watch?v=8N9JymI0GGM&amp;t=35s", "Go to time")</f>
        <v/>
      </c>
    </row>
    <row r="2672">
      <c r="A2672">
        <f>HYPERLINK("https://www.youtube.com/watch?v=YrBHHNu7zls", "Video")</f>
        <v/>
      </c>
      <c r="B2672" t="inlineStr">
        <is>
          <t>3:59</t>
        </is>
      </c>
      <c r="C2672" t="inlineStr">
        <is>
          <t>little bit about your process and what</t>
        </is>
      </c>
      <c r="D2672">
        <f>HYPERLINK("https://www.youtube.com/watch?v=YrBHHNu7zls&amp;t=239s", "Go to time")</f>
        <v/>
      </c>
    </row>
    <row r="2673">
      <c r="A2673">
        <f>HYPERLINK("https://www.youtube.com/watch?v=YrBHHNu7zls", "Video")</f>
        <v/>
      </c>
      <c r="B2673" t="inlineStr">
        <is>
          <t>4:08</t>
        </is>
      </c>
      <c r="C2673" t="inlineStr">
        <is>
          <t>left in a little bit of a situation</t>
        </is>
      </c>
      <c r="D2673">
        <f>HYPERLINK("https://www.youtube.com/watch?v=YrBHHNu7zls&amp;t=248s", "Go to time")</f>
        <v/>
      </c>
    </row>
    <row r="2674">
      <c r="A2674">
        <f>HYPERLINK("https://www.youtube.com/watch?v=aCYtyrx6Qmk", "Video")</f>
        <v/>
      </c>
      <c r="B2674" t="inlineStr">
        <is>
          <t>0:50</t>
        </is>
      </c>
      <c r="C2674" t="inlineStr">
        <is>
          <t>results wow that is quite a bit more</t>
        </is>
      </c>
      <c r="D2674">
        <f>HYPERLINK("https://www.youtube.com/watch?v=aCYtyrx6Qmk&amp;t=50s", "Go to time")</f>
        <v/>
      </c>
    </row>
    <row r="2675">
      <c r="A2675">
        <f>HYPERLINK("https://www.youtube.com/watch?v=aCYtyrx6Qmk", "Video")</f>
        <v/>
      </c>
      <c r="B2675" t="inlineStr">
        <is>
          <t>1:55</t>
        </is>
      </c>
      <c r="C2675" t="inlineStr">
        <is>
          <t>hey follow that rabbit you got it</t>
        </is>
      </c>
      <c r="D2675">
        <f>HYPERLINK("https://www.youtube.com/watch?v=aCYtyrx6Qmk&amp;t=115s", "Go to time")</f>
        <v/>
      </c>
    </row>
    <row r="2676">
      <c r="A2676">
        <f>HYPERLINK("https://www.youtube.com/watch?v=2qRFYkc6rLA", "Video")</f>
        <v/>
      </c>
      <c r="B2676" t="inlineStr">
        <is>
          <t>0:02</t>
        </is>
      </c>
      <c r="C2676" t="inlineStr">
        <is>
          <t>squee's a bit rambunctious but there's</t>
        </is>
      </c>
      <c r="D2676">
        <f>HYPERLINK("https://www.youtube.com/watch?v=2qRFYkc6rLA&amp;t=2s", "Go to time")</f>
        <v/>
      </c>
    </row>
    <row r="2677">
      <c r="A2677">
        <f>HYPERLINK("https://www.youtube.com/watch?v=U9i-Kk8GjPU", "Video")</f>
        <v/>
      </c>
      <c r="B2677" t="inlineStr">
        <is>
          <t>0:08</t>
        </is>
      </c>
      <c r="C2677" t="inlineStr">
        <is>
          <t>Then a bit of this.</t>
        </is>
      </c>
      <c r="D2677">
        <f>HYPERLINK("https://www.youtube.com/watch?v=U9i-Kk8GjPU&amp;t=8s", "Go to time")</f>
        <v/>
      </c>
    </row>
    <row r="2678">
      <c r="A2678">
        <f>HYPERLINK("https://www.youtube.com/watch?v=U9i-Kk8GjPU", "Video")</f>
        <v/>
      </c>
      <c r="B2678" t="inlineStr">
        <is>
          <t>0:11</t>
        </is>
      </c>
      <c r="C2678" t="inlineStr">
        <is>
          <t>Then a bit more of this.</t>
        </is>
      </c>
      <c r="D2678">
        <f>HYPERLINK("https://www.youtube.com/watch?v=U9i-Kk8GjPU&amp;t=11s", "Go to time")</f>
        <v/>
      </c>
    </row>
    <row r="2679">
      <c r="A2679">
        <f>HYPERLINK("https://www.youtube.com/watch?v=ZBhogj9qHAg", "Video")</f>
        <v/>
      </c>
      <c r="B2679" t="inlineStr">
        <is>
          <t>1:38</t>
        </is>
      </c>
      <c r="C2679" t="inlineStr">
        <is>
          <t>is you do have
a bit of a temper.</t>
        </is>
      </c>
      <c r="D2679">
        <f>HYPERLINK("https://www.youtube.com/watch?v=ZBhogj9qHAg&amp;t=98s", "Go to time")</f>
        <v/>
      </c>
    </row>
    <row r="2680">
      <c r="A2680">
        <f>HYPERLINK("https://www.youtube.com/watch?v=Jg8zueWKf-I", "Video")</f>
        <v/>
      </c>
      <c r="B2680" t="inlineStr">
        <is>
          <t>19:16</t>
        </is>
      </c>
      <c r="C2680" t="inlineStr">
        <is>
          <t>That's a bit of a stretch.</t>
        </is>
      </c>
      <c r="D2680">
        <f>HYPERLINK("https://www.youtube.com/watch?v=Jg8zueWKf-I&amp;t=1156s", "Go to time")</f>
        <v/>
      </c>
    </row>
    <row r="2681">
      <c r="A2681">
        <f>HYPERLINK("https://www.youtube.com/watch?v=QUjVREoEMMQ", "Video")</f>
        <v/>
      </c>
      <c r="B2681" t="inlineStr">
        <is>
          <t>3:26</t>
        </is>
      </c>
      <c r="C2681" t="inlineStr">
        <is>
          <t>be a little bit sticky so it can stick</t>
        </is>
      </c>
      <c r="D2681">
        <f>HYPERLINK("https://www.youtube.com/watch?v=QUjVREoEMMQ&amp;t=206s", "Go to time")</f>
        <v/>
      </c>
    </row>
    <row r="2682">
      <c r="A2682">
        <f>HYPERLINK("https://www.youtube.com/watch?v=fekhPFgwXdc", "Video")</f>
        <v/>
      </c>
      <c r="B2682" t="inlineStr">
        <is>
          <t>2:09</t>
        </is>
      </c>
      <c r="C2682" t="inlineStr">
        <is>
          <t>since one bit my grandpa's ear off but</t>
        </is>
      </c>
      <c r="D2682">
        <f>HYPERLINK("https://www.youtube.com/watch?v=fekhPFgwXdc&amp;t=129s", "Go to time")</f>
        <v/>
      </c>
    </row>
    <row r="2683">
      <c r="A2683">
        <f>HYPERLINK("https://www.youtube.com/watch?v=k4bNVB35FBE", "Video")</f>
        <v/>
      </c>
      <c r="B2683" t="inlineStr">
        <is>
          <t>0:02</t>
        </is>
      </c>
      <c r="C2683" t="inlineStr">
        <is>
          <t>bite from Phineas and</t>
        </is>
      </c>
      <c r="D2683">
        <f>HYPERLINK("https://www.youtube.com/watch?v=k4bNVB35FBE&amp;t=2s", "Go to time")</f>
        <v/>
      </c>
    </row>
    <row r="2684">
      <c r="A2684">
        <f>HYPERLINK("https://www.youtube.com/watch?v=vgCJsV81GBk", "Video")</f>
        <v/>
      </c>
      <c r="B2684" t="inlineStr">
        <is>
          <t>0:00</t>
        </is>
      </c>
      <c r="C2684" t="inlineStr">
        <is>
          <t>disney channel's got a mini bite from</t>
        </is>
      </c>
      <c r="D2684">
        <f>HYPERLINK("https://www.youtube.com/watch?v=vgCJsV81GBk&amp;t=0s", "Go to time")</f>
        <v/>
      </c>
    </row>
    <row r="2685">
      <c r="A2685">
        <f>HYPERLINK("https://www.youtube.com/watch?v=vgCJsV81GBk", "Video")</f>
        <v/>
      </c>
      <c r="B2685" t="inlineStr">
        <is>
          <t>0:16</t>
        </is>
      </c>
      <c r="C2685" t="inlineStr">
        <is>
          <t>little bit earlier</t>
        </is>
      </c>
      <c r="D2685">
        <f>HYPERLINK("https://www.youtube.com/watch?v=vgCJsV81GBk&amp;t=16s", "Go to time")</f>
        <v/>
      </c>
    </row>
    <row r="2686">
      <c r="A2686">
        <f>HYPERLINK("https://www.youtube.com/watch?v=QiT3MZgMVB0", "Video")</f>
        <v/>
      </c>
      <c r="B2686" t="inlineStr">
        <is>
          <t>1:12</t>
        </is>
      </c>
      <c r="C2686" t="inlineStr">
        <is>
          <t>A bit of a klutz?
[pop]</t>
        </is>
      </c>
      <c r="D2686">
        <f>HYPERLINK("https://www.youtube.com/watch?v=QiT3MZgMVB0&amp;t=72s", "Go to time")</f>
        <v/>
      </c>
    </row>
    <row r="2687">
      <c r="A2687">
        <f>HYPERLINK("https://www.youtube.com/watch?v=OMcMJ3N8e6s", "Video")</f>
        <v/>
      </c>
      <c r="B2687" t="inlineStr">
        <is>
          <t>4:55</t>
        </is>
      </c>
      <c r="C2687" t="inlineStr">
        <is>
          <t>a bit of uncertainty.</t>
        </is>
      </c>
      <c r="D2687">
        <f>HYPERLINK("https://www.youtube.com/watch?v=OMcMJ3N8e6s&amp;t=295s", "Go to time")</f>
        <v/>
      </c>
    </row>
    <row r="2688">
      <c r="A2688">
        <f>HYPERLINK("https://www.youtube.com/watch?v=OMcMJ3N8e6s", "Video")</f>
        <v/>
      </c>
      <c r="B2688" t="inlineStr">
        <is>
          <t>6:15</t>
        </is>
      </c>
      <c r="C2688" t="inlineStr">
        <is>
          <t>likes a little bit more.</t>
        </is>
      </c>
      <c r="D2688">
        <f>HYPERLINK("https://www.youtube.com/watch?v=OMcMJ3N8e6s&amp;t=375s", "Go to time")</f>
        <v/>
      </c>
    </row>
    <row r="2689">
      <c r="A2689">
        <f>HYPERLINK("https://www.youtube.com/watch?v=63V0JspgvrE", "Video")</f>
        <v/>
      </c>
      <c r="B2689" t="inlineStr">
        <is>
          <t>2:15</t>
        </is>
      </c>
      <c r="C2689" t="inlineStr">
        <is>
          <t>signature bit</t>
        </is>
      </c>
      <c r="D2689">
        <f>HYPERLINK("https://www.youtube.com/watch?v=63V0JspgvrE&amp;t=135s", "Go to time")</f>
        <v/>
      </c>
    </row>
    <row r="2690">
      <c r="A2690">
        <f>HYPERLINK("https://www.youtube.com/watch?v=63V0JspgvrE", "Video")</f>
        <v/>
      </c>
      <c r="B2690" t="inlineStr">
        <is>
          <t>7:56</t>
        </is>
      </c>
      <c r="C2690" t="inlineStr">
        <is>
          <t>bito little light on the laps he college</t>
        </is>
      </c>
      <c r="D2690">
        <f>HYPERLINK("https://www.youtube.com/watch?v=63V0JspgvrE&amp;t=476s", "Go to time")</f>
        <v/>
      </c>
    </row>
    <row r="2691">
      <c r="A2691">
        <f>HYPERLINK("https://www.youtube.com/watch?v=63V0JspgvrE", "Video")</f>
        <v/>
      </c>
      <c r="B2691" t="inlineStr">
        <is>
          <t>16:05</t>
        </is>
      </c>
      <c r="C2691" t="inlineStr">
        <is>
          <t>what I got this great bit I do with uh</t>
        </is>
      </c>
      <c r="D2691">
        <f>HYPERLINK("https://www.youtube.com/watch?v=63V0JspgvrE&amp;t=965s", "Go to time")</f>
        <v/>
      </c>
    </row>
    <row r="2692">
      <c r="A2692">
        <f>HYPERLINK("https://www.youtube.com/watch?v=2qpYabaF_w4", "Video")</f>
        <v/>
      </c>
      <c r="B2692" t="inlineStr">
        <is>
          <t>0:02</t>
        </is>
      </c>
      <c r="C2692" t="inlineStr">
        <is>
          <t>bite from an allnew Phineas and Ferb I</t>
        </is>
      </c>
      <c r="D2692">
        <f>HYPERLINK("https://www.youtube.com/watch?v=2qpYabaF_w4&amp;t=2s", "Go to time")</f>
        <v/>
      </c>
    </row>
    <row r="2693">
      <c r="A2693">
        <f>HYPERLINK("https://www.youtube.com/watch?v=WhRRv0Nvm-M", "Video")</f>
        <v/>
      </c>
      <c r="B2693" t="inlineStr">
        <is>
          <t>1:26</t>
        </is>
      </c>
      <c r="C2693" t="inlineStr">
        <is>
          <t>little bit of the country with you</t>
        </is>
      </c>
      <c r="D2693">
        <f>HYPERLINK("https://www.youtube.com/watch?v=WhRRv0Nvm-M&amp;t=86s", "Go to time")</f>
        <v/>
      </c>
    </row>
    <row r="2694">
      <c r="A2694">
        <f>HYPERLINK("https://www.youtube.com/watch?v=Kw9WRLMKRR4", "Video")</f>
        <v/>
      </c>
      <c r="B2694" t="inlineStr">
        <is>
          <t>0:02</t>
        </is>
      </c>
      <c r="C2694" t="inlineStr">
        <is>
          <t>bite from an all-new phineas and ferb</t>
        </is>
      </c>
      <c r="D2694">
        <f>HYPERLINK("https://www.youtube.com/watch?v=Kw9WRLMKRR4&amp;t=2s", "Go to time")</f>
        <v/>
      </c>
    </row>
    <row r="2695">
      <c r="A2695">
        <f>HYPERLINK("https://www.youtube.com/watch?v=Kw9WRLMKRR4", "Video")</f>
        <v/>
      </c>
      <c r="B2695" t="inlineStr">
        <is>
          <t>0:07</t>
        </is>
      </c>
      <c r="C2695" t="inlineStr">
        <is>
          <t>darling nobody's had a bite to eat all</t>
        </is>
      </c>
      <c r="D2695">
        <f>HYPERLINK("https://www.youtube.com/watch?v=Kw9WRLMKRR4&amp;t=7s", "Go to time")</f>
        <v/>
      </c>
    </row>
    <row r="2696">
      <c r="A2696">
        <f>HYPERLINK("https://www.youtube.com/watch?v=pLFmp8HuG-A", "Video")</f>
        <v/>
      </c>
      <c r="B2696" t="inlineStr">
        <is>
          <t>0:09</t>
        </is>
      </c>
      <c r="C2696" t="inlineStr">
        <is>
          <t>a little bit of christmas</t>
        </is>
      </c>
      <c r="D2696">
        <f>HYPERLINK("https://www.youtube.com/watch?v=pLFmp8HuG-A&amp;t=9s", "Go to time")</f>
        <v/>
      </c>
    </row>
    <row r="2697">
      <c r="A2697">
        <f>HYPERLINK("https://www.youtube.com/watch?v=pLFmp8HuG-A", "Video")</f>
        <v/>
      </c>
      <c r="B2697" t="inlineStr">
        <is>
          <t>1:03</t>
        </is>
      </c>
      <c r="C2697" t="inlineStr">
        <is>
          <t>around the world exhibit at the museum</t>
        </is>
      </c>
      <c r="D2697">
        <f>HYPERLINK("https://www.youtube.com/watch?v=pLFmp8HuG-A&amp;t=63s", "Go to time")</f>
        <v/>
      </c>
    </row>
    <row r="2698">
      <c r="A2698">
        <f>HYPERLINK("https://www.youtube.com/watch?v=pLFmp8HuG-A", "Video")</f>
        <v/>
      </c>
      <c r="B2698" t="inlineStr">
        <is>
          <t>1:51</t>
        </is>
      </c>
      <c r="C2698" t="inlineStr">
        <is>
          <t>bit this year it's our first christmas</t>
        </is>
      </c>
      <c r="D2698">
        <f>HYPERLINK("https://www.youtube.com/watch?v=pLFmp8HuG-A&amp;t=111s", "Go to time")</f>
        <v/>
      </c>
    </row>
    <row r="2699">
      <c r="A2699">
        <f>HYPERLINK("https://www.youtube.com/watch?v=7cjjr5sN6sw", "Video")</f>
        <v/>
      </c>
      <c r="B2699" t="inlineStr">
        <is>
          <t>0:02</t>
        </is>
      </c>
      <c r="C2699" t="inlineStr">
        <is>
          <t>bite from Jesse right</t>
        </is>
      </c>
      <c r="D2699">
        <f>HYPERLINK("https://www.youtube.com/watch?v=7cjjr5sN6sw&amp;t=2s", "Go to time")</f>
        <v/>
      </c>
    </row>
    <row r="2700">
      <c r="A2700">
        <f>HYPERLINK("https://www.youtube.com/watch?v=0eiYhV740tQ", "Video")</f>
        <v/>
      </c>
      <c r="B2700" t="inlineStr">
        <is>
          <t>2:18</t>
        </is>
      </c>
      <c r="C2700" t="inlineStr">
        <is>
          <t>rabbit miraculous</t>
        </is>
      </c>
      <c r="D2700">
        <f>HYPERLINK("https://www.youtube.com/watch?v=0eiYhV740tQ&amp;t=138s", "Go to time")</f>
        <v/>
      </c>
    </row>
    <row r="2701">
      <c r="A2701">
        <f>HYPERLINK("https://www.youtube.com/watch?v=0eiYhV740tQ", "Video")</f>
        <v/>
      </c>
      <c r="B2701" t="inlineStr">
        <is>
          <t>2:35</t>
        </is>
      </c>
      <c r="C2701" t="inlineStr">
        <is>
          <t>the rabbit miraculous the most powerful</t>
        </is>
      </c>
      <c r="D2701">
        <f>HYPERLINK("https://www.youtube.com/watch?v=0eiYhV740tQ&amp;t=155s", "Go to time")</f>
        <v/>
      </c>
    </row>
    <row r="2702">
      <c r="A2702">
        <f>HYPERLINK("https://www.youtube.com/watch?v=0eiYhV740tQ", "Video")</f>
        <v/>
      </c>
      <c r="B2702" t="inlineStr">
        <is>
          <t>3:54</t>
        </is>
      </c>
      <c r="C2702" t="inlineStr">
        <is>
          <t>a rabbit miraculous amateur time is like</t>
        </is>
      </c>
      <c r="D2702">
        <f>HYPERLINK("https://www.youtube.com/watch?v=0eiYhV740tQ&amp;t=234s", "Go to time")</f>
        <v/>
      </c>
    </row>
    <row r="2703">
      <c r="A2703">
        <f>HYPERLINK("https://www.youtube.com/watch?v=0eiYhV740tQ", "Video")</f>
        <v/>
      </c>
      <c r="B2703" t="inlineStr">
        <is>
          <t>38:58</t>
        </is>
      </c>
      <c r="C2703" t="inlineStr">
        <is>
          <t>make my wish you bit what do you want</t>
        </is>
      </c>
      <c r="D2703">
        <f>HYPERLINK("https://www.youtube.com/watch?v=0eiYhV740tQ&amp;t=2338s", "Go to time")</f>
        <v/>
      </c>
    </row>
    <row r="2704">
      <c r="A2704">
        <f>HYPERLINK("https://www.youtube.com/watch?v=i2KPhkdJLY4", "Video")</f>
        <v/>
      </c>
      <c r="B2704" t="inlineStr">
        <is>
          <t>7:56</t>
        </is>
      </c>
      <c r="C2704" t="inlineStr">
        <is>
          <t>let a pocket elf bite you</t>
        </is>
      </c>
      <c r="D2704">
        <f>HYPERLINK("https://www.youtube.com/watch?v=i2KPhkdJLY4&amp;t=476s", "Go to time")</f>
        <v/>
      </c>
    </row>
    <row r="2705">
      <c r="A2705">
        <f>HYPERLINK("https://www.youtube.com/watch?v=i2KPhkdJLY4", "Video")</f>
        <v/>
      </c>
      <c r="B2705" t="inlineStr">
        <is>
          <t>17:25</t>
        </is>
      </c>
      <c r="C2705" t="inlineStr">
        <is>
          <t>bite me I'm eating chocolate like</t>
        </is>
      </c>
      <c r="D2705">
        <f>HYPERLINK("https://www.youtube.com/watch?v=i2KPhkdJLY4&amp;t=1045s", "Go to time")</f>
        <v/>
      </c>
    </row>
    <row r="2706">
      <c r="A2706">
        <f>HYPERLINK("https://www.youtube.com/watch?v=i2KPhkdJLY4", "Video")</f>
        <v/>
      </c>
      <c r="B2706" t="inlineStr">
        <is>
          <t>17:46</t>
        </is>
      </c>
      <c r="C2706" t="inlineStr">
        <is>
          <t>I didn't go crazy it's just bitter oh</t>
        </is>
      </c>
      <c r="D2706">
        <f>HYPERLINK("https://www.youtube.com/watch?v=i2KPhkdJLY4&amp;t=1066s", "Go to time")</f>
        <v/>
      </c>
    </row>
    <row r="2707">
      <c r="A2707">
        <f>HYPERLINK("https://www.youtube.com/watch?v=i2KPhkdJLY4", "Video")</f>
        <v/>
      </c>
      <c r="B2707" t="inlineStr">
        <is>
          <t>17:54</t>
        </is>
      </c>
      <c r="C2707" t="inlineStr">
        <is>
          <t>great with my eyes can I have a bite of</t>
        </is>
      </c>
      <c r="D2707">
        <f>HYPERLINK("https://www.youtube.com/watch?v=i2KPhkdJLY4&amp;t=1074s", "Go to time")</f>
        <v/>
      </c>
    </row>
    <row r="2708">
      <c r="A2708">
        <f>HYPERLINK("https://www.youtube.com/watch?v=cNITQGs-gUU", "Video")</f>
        <v/>
      </c>
      <c r="B2708" t="inlineStr">
        <is>
          <t>0:12</t>
        </is>
      </c>
      <c r="C2708" t="inlineStr">
        <is>
          <t>stewart's a bit of a germaphobe that was</t>
        </is>
      </c>
      <c r="D2708">
        <f>HYPERLINK("https://www.youtube.com/watch?v=cNITQGs-gUU&amp;t=12s", "Go to time")</f>
        <v/>
      </c>
    </row>
    <row r="2709">
      <c r="A2709">
        <f>HYPERLINK("https://www.youtube.com/watch?v=PC8HsFiRYlQ", "Video")</f>
        <v/>
      </c>
      <c r="B2709" t="inlineStr">
        <is>
          <t>0:03</t>
        </is>
      </c>
      <c r="C2709" t="inlineStr">
        <is>
          <t>dewey do bites branded online content</t>
        </is>
      </c>
      <c r="D2709">
        <f>HYPERLINK("https://www.youtube.com/watch?v=PC8HsFiRYlQ&amp;t=3s", "Go to time")</f>
        <v/>
      </c>
    </row>
    <row r="2710">
      <c r="A2710">
        <f>HYPERLINK("https://www.youtube.com/watch?v=Jf6IokqDsUI", "Video")</f>
        <v/>
      </c>
      <c r="B2710" t="inlineStr">
        <is>
          <t>1:01</t>
        </is>
      </c>
      <c r="C2710" t="inlineStr">
        <is>
          <t>I'm just feeling a bit jumpy</t>
        </is>
      </c>
      <c r="D2710">
        <f>HYPERLINK("https://www.youtube.com/watch?v=Jf6IokqDsUI&amp;t=61s", "Go to time")</f>
        <v/>
      </c>
    </row>
    <row r="2711">
      <c r="A2711">
        <f>HYPERLINK("https://www.youtube.com/watch?v=Jf6IokqDsUI", "Video")</f>
        <v/>
      </c>
      <c r="B2711" t="inlineStr">
        <is>
          <t>16:27</t>
        </is>
      </c>
      <c r="C2711" t="inlineStr">
        <is>
          <t>bit of a tough one brother you sure you</t>
        </is>
      </c>
      <c r="D2711">
        <f>HYPERLINK("https://www.youtube.com/watch?v=Jf6IokqDsUI&amp;t=987s", "Go to time")</f>
        <v/>
      </c>
    </row>
    <row r="2712">
      <c r="A2712">
        <f>HYPERLINK("https://www.youtube.com/watch?v=Jf6IokqDsUI", "Video")</f>
        <v/>
      </c>
      <c r="B2712" t="inlineStr">
        <is>
          <t>23:35</t>
        </is>
      </c>
      <c r="C2712" t="inlineStr">
        <is>
          <t>I can't thank you enough I was in a bit</t>
        </is>
      </c>
      <c r="D2712">
        <f>HYPERLINK("https://www.youtube.com/watch?v=Jf6IokqDsUI&amp;t=1415s", "Go to time")</f>
        <v/>
      </c>
    </row>
    <row r="2713">
      <c r="A2713">
        <f>HYPERLINK("https://www.youtube.com/watch?v=Jf6IokqDsUI", "Video")</f>
        <v/>
      </c>
      <c r="B2713" t="inlineStr">
        <is>
          <t>24:48</t>
        </is>
      </c>
      <c r="C2713" t="inlineStr">
        <is>
          <t>basis habits he wants something</t>
        </is>
      </c>
      <c r="D2713">
        <f>HYPERLINK("https://www.youtube.com/watch?v=Jf6IokqDsUI&amp;t=1488s", "Go to time")</f>
        <v/>
      </c>
    </row>
    <row r="2714">
      <c r="A2714">
        <f>HYPERLINK("https://www.youtube.com/watch?v=Jf6IokqDsUI", "Video")</f>
        <v/>
      </c>
      <c r="B2714" t="inlineStr">
        <is>
          <t>28:01</t>
        </is>
      </c>
      <c r="C2714" t="inlineStr">
        <is>
          <t>a little bit of the country with you</t>
        </is>
      </c>
      <c r="D2714">
        <f>HYPERLINK("https://www.youtube.com/watch?v=Jf6IokqDsUI&amp;t=1681s", "Go to time")</f>
        <v/>
      </c>
    </row>
    <row r="2715">
      <c r="A2715">
        <f>HYPERLINK("https://www.youtube.com/watch?v=Jf6IokqDsUI", "Video")</f>
        <v/>
      </c>
      <c r="B2715" t="inlineStr">
        <is>
          <t>56:03</t>
        </is>
      </c>
      <c r="C2715" t="inlineStr">
        <is>
          <t>feeling a bit lonely without you and I'm</t>
        </is>
      </c>
      <c r="D2715">
        <f>HYPERLINK("https://www.youtube.com/watch?v=Jf6IokqDsUI&amp;t=3363s", "Go to time")</f>
        <v/>
      </c>
    </row>
    <row r="2716">
      <c r="A2716">
        <f>HYPERLINK("https://www.youtube.com/watch?v=liZM-afUIUk", "Video")</f>
        <v/>
      </c>
      <c r="B2716" t="inlineStr">
        <is>
          <t>6:29</t>
        </is>
      </c>
      <c r="C2716" t="inlineStr">
        <is>
          <t>for a bit and the lees is perfectly fine</t>
        </is>
      </c>
      <c r="D2716">
        <f>HYPERLINK("https://www.youtube.com/watch?v=liZM-afUIUk&amp;t=389s", "Go to time")</f>
        <v/>
      </c>
    </row>
    <row r="2717">
      <c r="A2717">
        <f>HYPERLINK("https://www.youtube.com/watch?v=liZM-afUIUk", "Video")</f>
        <v/>
      </c>
      <c r="B2717" t="inlineStr">
        <is>
          <t>6:34</t>
        </is>
      </c>
      <c r="C2717" t="inlineStr">
        <is>
          <t>bit what do you think</t>
        </is>
      </c>
      <c r="D2717">
        <f>HYPERLINK("https://www.youtube.com/watch?v=liZM-afUIUk&amp;t=394s", "Go to time")</f>
        <v/>
      </c>
    </row>
    <row r="2718">
      <c r="A2718">
        <f>HYPERLINK("https://www.youtube.com/watch?v=943F7Fdsn5w", "Video")</f>
        <v/>
      </c>
      <c r="B2718" t="inlineStr">
        <is>
          <t>0:00</t>
        </is>
      </c>
      <c r="C2718" t="inlineStr">
        <is>
          <t>Disney Channel's got a mini bite from</t>
        </is>
      </c>
      <c r="D2718">
        <f>HYPERLINK("https://www.youtube.com/watch?v=943F7Fdsn5w&amp;t=0s", "Go to time")</f>
        <v/>
      </c>
    </row>
    <row r="2719">
      <c r="A2719">
        <f>HYPERLINK("https://www.youtube.com/watch?v=seF3Yj2467A", "Video")</f>
        <v/>
      </c>
      <c r="B2719" t="inlineStr">
        <is>
          <t>37:35</t>
        </is>
      </c>
      <c r="C2719" t="inlineStr">
        <is>
          <t>that house now wait Abita you know that</t>
        </is>
      </c>
      <c r="D2719">
        <f>HYPERLINK("https://www.youtube.com/watch?v=seF3Yj2467A&amp;t=2255s", "Go to time")</f>
        <v/>
      </c>
    </row>
    <row r="2720">
      <c r="A2720">
        <f>HYPERLINK("https://www.youtube.com/watch?v=lmIxueG0OcM", "Video")</f>
        <v/>
      </c>
      <c r="B2720" t="inlineStr">
        <is>
          <t>1:01</t>
        </is>
      </c>
      <c r="C2720" t="inlineStr">
        <is>
          <t>hurt a bit mostly because you're a pilot</t>
        </is>
      </c>
      <c r="D2720">
        <f>HYPERLINK("https://www.youtube.com/watch?v=lmIxueG0OcM&amp;t=61s", "Go to time")</f>
        <v/>
      </c>
    </row>
    <row r="2721">
      <c r="A2721">
        <f>HYPERLINK("https://www.youtube.com/watch?v=kqiisMt08EM", "Video")</f>
        <v/>
      </c>
      <c r="B2721" t="inlineStr">
        <is>
          <t>0:02</t>
        </is>
      </c>
      <c r="C2721" t="inlineStr">
        <is>
          <t>bite from jesse right now</t>
        </is>
      </c>
      <c r="D2721">
        <f>HYPERLINK("https://www.youtube.com/watch?v=kqiisMt08EM&amp;t=2s", "Go to time")</f>
        <v/>
      </c>
    </row>
    <row r="2722">
      <c r="A2722">
        <f>HYPERLINK("https://www.youtube.com/watch?v=VC10CguSZkM", "Video")</f>
        <v/>
      </c>
      <c r="B2722" t="inlineStr">
        <is>
          <t>2:26</t>
        </is>
      </c>
      <c r="C2722" t="inlineStr">
        <is>
          <t>the oyster sets it off a little bit in</t>
        </is>
      </c>
      <c r="D2722">
        <f>HYPERLINK("https://www.youtube.com/watch?v=VC10CguSZkM&amp;t=146s", "Go to time")</f>
        <v/>
      </c>
    </row>
    <row r="2723">
      <c r="A2723">
        <f>HYPERLINK("https://www.youtube.com/watch?v=VC10CguSZkM", "Video")</f>
        <v/>
      </c>
      <c r="B2723" t="inlineStr">
        <is>
          <t>3:31</t>
        </is>
      </c>
      <c r="C2723" t="inlineStr">
        <is>
          <t>i'm gonna help you out a little bit with</t>
        </is>
      </c>
      <c r="D2723">
        <f>HYPERLINK("https://www.youtube.com/watch?v=VC10CguSZkM&amp;t=211s", "Go to time")</f>
        <v/>
      </c>
    </row>
    <row r="2724">
      <c r="A2724">
        <f>HYPERLINK("https://www.youtube.com/watch?v=8abFrLZiYpA", "Video")</f>
        <v/>
      </c>
      <c r="B2724" t="inlineStr">
        <is>
          <t>4:32</t>
        </is>
      </c>
      <c r="C2724" t="inlineStr">
        <is>
          <t>we still have a little bit more
to learn about each other.</t>
        </is>
      </c>
      <c r="D2724">
        <f>HYPERLINK("https://www.youtube.com/watch?v=8abFrLZiYpA&amp;t=272s", "Go to time")</f>
        <v/>
      </c>
    </row>
    <row r="2725">
      <c r="A2725">
        <f>HYPERLINK("https://www.youtube.com/watch?v=oDNHXfigumM", "Video")</f>
        <v/>
      </c>
      <c r="B2725" t="inlineStr">
        <is>
          <t>0:48</t>
        </is>
      </c>
      <c r="C2725" t="inlineStr">
        <is>
          <t>little bit</t>
        </is>
      </c>
      <c r="D2725">
        <f>HYPERLINK("https://www.youtube.com/watch?v=oDNHXfigumM&amp;t=48s", "Go to time")</f>
        <v/>
      </c>
    </row>
    <row r="2726">
      <c r="A2726">
        <f>HYPERLINK("https://www.youtube.com/watch?v=oDNHXfigumM", "Video")</f>
        <v/>
      </c>
      <c r="B2726" t="inlineStr">
        <is>
          <t>1:47</t>
        </is>
      </c>
      <c r="C2726" t="inlineStr">
        <is>
          <t>bittersweet</t>
        </is>
      </c>
      <c r="D2726">
        <f>HYPERLINK("https://www.youtube.com/watch?v=oDNHXfigumM&amp;t=107s", "Go to time")</f>
        <v/>
      </c>
    </row>
    <row r="2727">
      <c r="A2727">
        <f>HYPERLINK("https://www.youtube.com/watch?v=Qt7TGOvvFWQ", "Video")</f>
        <v/>
      </c>
      <c r="B2727" t="inlineStr">
        <is>
          <t>9:03</t>
        </is>
      </c>
      <c r="C2727" t="inlineStr">
        <is>
          <t>bit</t>
        </is>
      </c>
      <c r="D2727">
        <f>HYPERLINK("https://www.youtube.com/watch?v=Qt7TGOvvFWQ&amp;t=543s", "Go to time")</f>
        <v/>
      </c>
    </row>
    <row r="2728">
      <c r="A2728">
        <f>HYPERLINK("https://www.youtube.com/watch?v=Ytzvy11D6to", "Video")</f>
        <v/>
      </c>
      <c r="B2728" t="inlineStr">
        <is>
          <t>0:00</t>
        </is>
      </c>
      <c r="C2728" t="inlineStr">
        <is>
          <t>here's a Disney Channel mini bite from</t>
        </is>
      </c>
      <c r="D2728">
        <f>HYPERLINK("https://www.youtube.com/watch?v=Ytzvy11D6to&amp;t=0s", "Go to time")</f>
        <v/>
      </c>
    </row>
    <row r="2729">
      <c r="A2729">
        <f>HYPERLINK("https://www.youtube.com/watch?v=Mrsq1VPxNa4", "Video")</f>
        <v/>
      </c>
      <c r="B2729" t="inlineStr">
        <is>
          <t>13:21</t>
        </is>
      </c>
      <c r="C2729" t="inlineStr">
        <is>
          <t>now scare me up a bit reg i need a nap i</t>
        </is>
      </c>
      <c r="D2729">
        <f>HYPERLINK("https://www.youtube.com/watch?v=Mrsq1VPxNa4&amp;t=801s", "Go to time")</f>
        <v/>
      </c>
    </row>
    <row r="2730">
      <c r="A2730">
        <f>HYPERLINK("https://www.youtube.com/watch?v=Mrsq1VPxNa4", "Video")</f>
        <v/>
      </c>
      <c r="B2730" t="inlineStr">
        <is>
          <t>17:37</t>
        </is>
      </c>
      <c r="C2730" t="inlineStr">
        <is>
          <t>and white and sometimes a little bit of</t>
        </is>
      </c>
      <c r="D2730">
        <f>HYPERLINK("https://www.youtube.com/watch?v=Mrsq1VPxNa4&amp;t=1057s", "Go to time")</f>
        <v/>
      </c>
    </row>
    <row r="2731">
      <c r="A2731">
        <f>HYPERLINK("https://www.youtube.com/watch?v=kM3Y9pBhzdM", "Video")</f>
        <v/>
      </c>
      <c r="B2731" t="inlineStr">
        <is>
          <t>0:26</t>
        </is>
      </c>
      <c r="C2731" t="inlineStr">
        <is>
          <t>of fine foods with maybe a little bit of</t>
        </is>
      </c>
      <c r="D2731">
        <f>HYPERLINK("https://www.youtube.com/watch?v=kM3Y9pBhzdM&amp;t=26s", "Go to time")</f>
        <v/>
      </c>
    </row>
    <row r="2732">
      <c r="A2732">
        <f>HYPERLINK("https://www.youtube.com/watch?v=F5aGZG9kRtg", "Video")</f>
        <v/>
      </c>
      <c r="B2732" t="inlineStr">
        <is>
          <t>12:37</t>
        </is>
      </c>
      <c r="C2732" t="inlineStr">
        <is>
          <t>Habitat for Jerry's
Spring Break.</t>
        </is>
      </c>
      <c r="D2732">
        <f>HYPERLINK("https://www.youtube.com/watch?v=F5aGZG9kRtg&amp;t=757s", "Go to time")</f>
        <v/>
      </c>
    </row>
    <row r="2733">
      <c r="A2733">
        <f>HYPERLINK("https://www.youtube.com/watch?v=ZDj9oW7qTvw", "Video")</f>
        <v/>
      </c>
      <c r="B2733" t="inlineStr">
        <is>
          <t>0:31</t>
        </is>
      </c>
      <c r="C2733" t="inlineStr">
        <is>
          <t>name of the people who inhabit Pandora</t>
        </is>
      </c>
      <c r="D2733">
        <f>HYPERLINK("https://www.youtube.com/watch?v=ZDj9oW7qTvw&amp;t=31s", "Go to time")</f>
        <v/>
      </c>
    </row>
    <row r="2734">
      <c r="A2734">
        <f>HYPERLINK("https://www.youtube.com/watch?v=9tO-KJ2wqG0", "Video")</f>
        <v/>
      </c>
      <c r="B2734" t="inlineStr">
        <is>
          <t>0:00</t>
        </is>
      </c>
      <c r="C2734" t="inlineStr">
        <is>
          <t>here's a disney channel mini bite from</t>
        </is>
      </c>
      <c r="D2734">
        <f>HYPERLINK("https://www.youtube.com/watch?v=9tO-KJ2wqG0&amp;t=0s", "Go to time")</f>
        <v/>
      </c>
    </row>
    <row r="2735">
      <c r="A2735">
        <f>HYPERLINK("https://www.youtube.com/watch?v=CfudCOfk5vI", "Video")</f>
        <v/>
      </c>
      <c r="B2735" t="inlineStr">
        <is>
          <t>0:29</t>
        </is>
      </c>
      <c r="C2735" t="inlineStr">
        <is>
          <t>unless your grandma's Beyonce it's a bit</t>
        </is>
      </c>
      <c r="D2735">
        <f>HYPERLINK("https://www.youtube.com/watch?v=CfudCOfk5vI&amp;t=29s", "Go to time")</f>
        <v/>
      </c>
    </row>
    <row r="2736">
      <c r="A2736">
        <f>HYPERLINK("https://www.youtube.com/watch?v=QzYLxu6MqGo", "Video")</f>
        <v/>
      </c>
      <c r="B2736" t="inlineStr">
        <is>
          <t>0:02</t>
        </is>
      </c>
      <c r="C2736" t="inlineStr">
        <is>
          <t>bite from an allnew Phineas and fur from</t>
        </is>
      </c>
      <c r="D2736">
        <f>HYPERLINK("https://www.youtube.com/watch?v=QzYLxu6MqGo&amp;t=2s", "Go to time")</f>
        <v/>
      </c>
    </row>
    <row r="2737">
      <c r="A2737">
        <f>HYPERLINK("https://www.youtube.com/watch?v=i3mwgUH6SDA", "Video")</f>
        <v/>
      </c>
      <c r="B2737" t="inlineStr">
        <is>
          <t>3:52</t>
        </is>
      </c>
      <c r="C2737" t="inlineStr">
        <is>
          <t>now back up a bit give the wire some</t>
        </is>
      </c>
      <c r="D2737">
        <f>HYPERLINK("https://www.youtube.com/watch?v=i3mwgUH6SDA&amp;t=232s", "Go to time")</f>
        <v/>
      </c>
    </row>
    <row r="2738">
      <c r="A2738">
        <f>HYPERLINK("https://www.youtube.com/watch?v=i3mwgUH6SDA", "Video")</f>
        <v/>
      </c>
      <c r="B2738" t="inlineStr">
        <is>
          <t>5:21</t>
        </is>
      </c>
      <c r="C2738" t="inlineStr">
        <is>
          <t>cough up a teeny bit just squeeze it out</t>
        </is>
      </c>
      <c r="D2738">
        <f>HYPERLINK("https://www.youtube.com/watch?v=i3mwgUH6SDA&amp;t=321s", "Go to time")</f>
        <v/>
      </c>
    </row>
    <row r="2739">
      <c r="A2739">
        <f>HYPERLINK("https://www.youtube.com/watch?v=60UCYZAd5Wc", "Video")</f>
        <v/>
      </c>
      <c r="B2739" t="inlineStr">
        <is>
          <t>0:00</t>
        </is>
      </c>
      <c r="C2739" t="inlineStr">
        <is>
          <t>Disney Channel's got a mini bite from</t>
        </is>
      </c>
      <c r="D2739">
        <f>HYPERLINK("https://www.youtube.com/watch?v=60UCYZAd5Wc&amp;t=0s", "Go to time")</f>
        <v/>
      </c>
    </row>
    <row r="2740">
      <c r="A2740">
        <f>HYPERLINK("https://www.youtube.com/watch?v=0CpKOZb2C0Y", "Video")</f>
        <v/>
      </c>
      <c r="B2740" t="inlineStr">
        <is>
          <t>6:58</t>
        </is>
      </c>
      <c r="C2740" t="inlineStr">
        <is>
          <t>what isn't that taking it a bit too far</t>
        </is>
      </c>
      <c r="D2740">
        <f>HYPERLINK("https://www.youtube.com/watch?v=0CpKOZb2C0Y&amp;t=418s", "Go to time")</f>
        <v/>
      </c>
    </row>
    <row r="2741">
      <c r="A2741">
        <f>HYPERLINK("https://www.youtube.com/watch?v=0CpKOZb2C0Y", "Video")</f>
        <v/>
      </c>
      <c r="B2741" t="inlineStr">
        <is>
          <t>13:18</t>
        </is>
      </c>
      <c r="C2741" t="inlineStr">
        <is>
          <t>dabbity no you're here</t>
        </is>
      </c>
      <c r="D2741">
        <f>HYPERLINK("https://www.youtube.com/watch?v=0CpKOZb2C0Y&amp;t=798s", "Go to time")</f>
        <v/>
      </c>
    </row>
    <row r="2742">
      <c r="A2742">
        <f>HYPERLINK("https://www.youtube.com/watch?v=CrB7xAozhOA", "Video")</f>
        <v/>
      </c>
      <c r="B2742" t="inlineStr">
        <is>
          <t>2:18</t>
        </is>
      </c>
      <c r="C2742" t="inlineStr">
        <is>
          <t>rabbit miraculous</t>
        </is>
      </c>
      <c r="D2742">
        <f>HYPERLINK("https://www.youtube.com/watch?v=CrB7xAozhOA&amp;t=138s", "Go to time")</f>
        <v/>
      </c>
    </row>
    <row r="2743">
      <c r="A2743">
        <f>HYPERLINK("https://www.youtube.com/watch?v=CrB7xAozhOA", "Video")</f>
        <v/>
      </c>
      <c r="B2743" t="inlineStr">
        <is>
          <t>2:35</t>
        </is>
      </c>
      <c r="C2743" t="inlineStr">
        <is>
          <t>rabbit miraculous the most powerful one</t>
        </is>
      </c>
      <c r="D2743">
        <f>HYPERLINK("https://www.youtube.com/watch?v=CrB7xAozhOA&amp;t=155s", "Go to time")</f>
        <v/>
      </c>
    </row>
    <row r="2744">
      <c r="A2744">
        <f>HYPERLINK("https://www.youtube.com/watch?v=CrB7xAozhOA", "Video")</f>
        <v/>
      </c>
      <c r="B2744" t="inlineStr">
        <is>
          <t>3:54</t>
        </is>
      </c>
      <c r="C2744" t="inlineStr">
        <is>
          <t>a rabbit miraculous amateur time is like</t>
        </is>
      </c>
      <c r="D2744">
        <f>HYPERLINK("https://www.youtube.com/watch?v=CrB7xAozhOA&amp;t=234s", "Go to time")</f>
        <v/>
      </c>
    </row>
    <row r="2745">
      <c r="A2745">
        <f>HYPERLINK("https://www.youtube.com/watch?v=dkPhyJvxLSI", "Video")</f>
        <v/>
      </c>
      <c r="B2745" t="inlineStr">
        <is>
          <t>0:16</t>
        </is>
      </c>
      <c r="C2745" t="inlineStr">
        <is>
          <t>so much fun probably a bit more fun for</t>
        </is>
      </c>
      <c r="D2745">
        <f>HYPERLINK("https://www.youtube.com/watch?v=dkPhyJvxLSI&amp;t=16s", "Go to time")</f>
        <v/>
      </c>
    </row>
    <row r="2746">
      <c r="A2746">
        <f>HYPERLINK("https://www.youtube.com/watch?v=1ZmKlkoY7pE", "Video")</f>
        <v/>
      </c>
      <c r="B2746" t="inlineStr">
        <is>
          <t>0:56</t>
        </is>
      </c>
      <c r="C2746" t="inlineStr">
        <is>
          <t>still have a little bit of extra gold</t>
        </is>
      </c>
      <c r="D2746">
        <f>HYPERLINK("https://www.youtube.com/watch?v=1ZmKlkoY7pE&amp;t=56s", "Go to time")</f>
        <v/>
      </c>
    </row>
    <row r="2747">
      <c r="A2747">
        <f>HYPERLINK("https://www.youtube.com/watch?v=RjiBgXzqNi4", "Video")</f>
        <v/>
      </c>
      <c r="B2747" t="inlineStr">
        <is>
          <t>20:50</t>
        </is>
      </c>
      <c r="C2747" t="inlineStr">
        <is>
          <t>last thing they said was after one bite</t>
        </is>
      </c>
      <c r="D2747">
        <f>HYPERLINK("https://www.youtube.com/watch?v=RjiBgXzqNi4&amp;t=1250s", "Go to time")</f>
        <v/>
      </c>
    </row>
    <row r="2748">
      <c r="A2748">
        <f>HYPERLINK("https://www.youtube.com/watch?v=7pglALGmuEU", "Video")</f>
        <v/>
      </c>
      <c r="B2748" t="inlineStr">
        <is>
          <t>0:20</t>
        </is>
      </c>
      <c r="C2748" t="inlineStr">
        <is>
          <t>than yesterday's meatloaf bits I think</t>
        </is>
      </c>
      <c r="D2748">
        <f>HYPERLINK("https://www.youtube.com/watch?v=7pglALGmuEU&amp;t=20s", "Go to time")</f>
        <v/>
      </c>
    </row>
    <row r="2749">
      <c r="A2749">
        <f>HYPERLINK("https://www.youtube.com/watch?v=2l5EkpF_wgM", "Video")</f>
        <v/>
      </c>
      <c r="B2749" t="inlineStr">
        <is>
          <t>1:33</t>
        </is>
      </c>
      <c r="C2749" t="inlineStr">
        <is>
          <t>All I did was cause a little,
tiny bit of mass destruction.</t>
        </is>
      </c>
      <c r="D2749">
        <f>HYPERLINK("https://www.youtube.com/watch?v=2l5EkpF_wgM&amp;t=93s", "Go to time")</f>
        <v/>
      </c>
    </row>
    <row r="2750">
      <c r="A2750">
        <f>HYPERLINK("https://www.youtube.com/watch?v=bX2KHWpM8UQ", "Video")</f>
        <v/>
      </c>
      <c r="B2750" t="inlineStr">
        <is>
          <t>3:35</t>
        </is>
      </c>
      <c r="C2750" t="inlineStr">
        <is>
          <t>yeah i do it's a little bit silly but it</t>
        </is>
      </c>
      <c r="D2750">
        <f>HYPERLINK("https://www.youtube.com/watch?v=bX2KHWpM8UQ&amp;t=215s", "Go to time")</f>
        <v/>
      </c>
    </row>
    <row r="2751">
      <c r="A2751">
        <f>HYPERLINK("https://www.youtube.com/watch?v=bX2KHWpM8UQ", "Video")</f>
        <v/>
      </c>
      <c r="B2751" t="inlineStr">
        <is>
          <t>16:45</t>
        </is>
      </c>
      <c r="C2751" t="inlineStr">
        <is>
          <t>okay everyone a little bit closer and on</t>
        </is>
      </c>
      <c r="D2751">
        <f>HYPERLINK("https://www.youtube.com/watch?v=bX2KHWpM8UQ&amp;t=1005s", "Go to time")</f>
        <v/>
      </c>
    </row>
    <row r="2752">
      <c r="A2752">
        <f>HYPERLINK("https://www.youtube.com/watch?v=x9t2CiNgXEw", "Video")</f>
        <v/>
      </c>
      <c r="B2752" t="inlineStr">
        <is>
          <t>0:24</t>
        </is>
      </c>
      <c r="C2752" t="inlineStr">
        <is>
          <t>oh no the magician i hope the rabbit's</t>
        </is>
      </c>
      <c r="D2752">
        <f>HYPERLINK("https://www.youtube.com/watch?v=x9t2CiNgXEw&amp;t=24s", "Go to time")</f>
        <v/>
      </c>
    </row>
    <row r="2753">
      <c r="A2753">
        <f>HYPERLINK("https://www.youtube.com/watch?v=q8aG8cVx-oI", "Video")</f>
        <v/>
      </c>
      <c r="B2753" t="inlineStr">
        <is>
          <t>35:35</t>
        </is>
      </c>
      <c r="C2753" t="inlineStr">
        <is>
          <t>cleaning this thing is a bit harder than</t>
        </is>
      </c>
      <c r="D2753">
        <f>HYPERLINK("https://www.youtube.com/watch?v=q8aG8cVx-oI&amp;t=2135s", "Go to time")</f>
        <v/>
      </c>
    </row>
    <row r="2754">
      <c r="A2754">
        <f>HYPERLINK("https://www.youtube.com/watch?v=q8aG8cVx-oI", "Video")</f>
        <v/>
      </c>
      <c r="B2754" t="inlineStr">
        <is>
          <t>42:59</t>
        </is>
      </c>
      <c r="C2754" t="inlineStr">
        <is>
          <t>need a bit more space who's a joke now</t>
        </is>
      </c>
      <c r="D2754">
        <f>HYPERLINK("https://www.youtube.com/watch?v=q8aG8cVx-oI&amp;t=2579s", "Go to time")</f>
        <v/>
      </c>
    </row>
    <row r="2755">
      <c r="A2755">
        <f>HYPERLINK("https://www.youtube.com/watch?v=q8aG8cVx-oI", "Video")</f>
        <v/>
      </c>
      <c r="B2755" t="inlineStr">
        <is>
          <t>58:19</t>
        </is>
      </c>
      <c r="C2755" t="inlineStr">
        <is>
          <t>here for a little bit he needs something</t>
        </is>
      </c>
      <c r="D2755">
        <f>HYPERLINK("https://www.youtube.com/watch?v=q8aG8cVx-oI&amp;t=3499s", "Go to time")</f>
        <v/>
      </c>
    </row>
    <row r="2756">
      <c r="A2756">
        <f>HYPERLINK("https://www.youtube.com/watch?v=q8aG8cVx-oI", "Video")</f>
        <v/>
      </c>
      <c r="B2756" t="inlineStr">
        <is>
          <t>63:04</t>
        </is>
      </c>
      <c r="C2756" t="inlineStr">
        <is>
          <t>biting jeez what's wrong with d</t>
        </is>
      </c>
      <c r="D2756">
        <f>HYPERLINK("https://www.youtube.com/watch?v=q8aG8cVx-oI&amp;t=3784s", "Go to time")</f>
        <v/>
      </c>
    </row>
    <row r="2757">
      <c r="A2757">
        <f>HYPERLINK("https://www.youtube.com/watch?v=v1FfLfDUqps", "Video")</f>
        <v/>
      </c>
      <c r="B2757" t="inlineStr">
        <is>
          <t>3:00</t>
        </is>
      </c>
      <c r="C2757" t="inlineStr">
        <is>
          <t>me back granted it is a bit of a fixer</t>
        </is>
      </c>
      <c r="D2757">
        <f>HYPERLINK("https://www.youtube.com/watch?v=v1FfLfDUqps&amp;t=180s", "Go to time")</f>
        <v/>
      </c>
    </row>
    <row r="2758">
      <c r="A2758">
        <f>HYPERLINK("https://www.youtube.com/watch?v=Vq3geyQP2-4", "Video")</f>
        <v/>
      </c>
      <c r="B2758" t="inlineStr">
        <is>
          <t>14:23</t>
        </is>
      </c>
      <c r="C2758" t="inlineStr">
        <is>
          <t>I've been told
I can be a bit much,</t>
        </is>
      </c>
      <c r="D2758">
        <f>HYPERLINK("https://www.youtube.com/watch?v=Vq3geyQP2-4&amp;t=863s", "Go to time")</f>
        <v/>
      </c>
    </row>
    <row r="2759">
      <c r="A2759">
        <f>HYPERLINK("https://www.youtube.com/watch?v=Vq3geyQP2-4", "Video")</f>
        <v/>
      </c>
      <c r="B2759" t="inlineStr">
        <is>
          <t>35:42</t>
        </is>
      </c>
      <c r="C2759" t="inlineStr">
        <is>
          <t>Guess I can be a bit much.</t>
        </is>
      </c>
      <c r="D2759">
        <f>HYPERLINK("https://www.youtube.com/watch?v=Vq3geyQP2-4&amp;t=2142s", "Go to time")</f>
        <v/>
      </c>
    </row>
    <row r="2760">
      <c r="A2760">
        <f>HYPERLINK("https://www.youtube.com/watch?v=OmCVhpTky_k", "Video")</f>
        <v/>
      </c>
      <c r="B2760" t="inlineStr">
        <is>
          <t>0:02</t>
        </is>
      </c>
      <c r="C2760" t="inlineStr">
        <is>
          <t>mini bite from an all new Sweet Life on</t>
        </is>
      </c>
      <c r="D2760">
        <f>HYPERLINK("https://www.youtube.com/watch?v=OmCVhpTky_k&amp;t=2s", "Go to time")</f>
        <v/>
      </c>
    </row>
    <row r="2761">
      <c r="A2761">
        <f>HYPERLINK("https://www.youtube.com/watch?v=RTLbUdeE22Q", "Video")</f>
        <v/>
      </c>
      <c r="B2761" t="inlineStr">
        <is>
          <t>0:31</t>
        </is>
      </c>
      <c r="C2761" t="inlineStr">
        <is>
          <t>now and you too abity</t>
        </is>
      </c>
      <c r="D2761">
        <f>HYPERLINK("https://www.youtube.com/watch?v=RTLbUdeE22Q&amp;t=31s", "Go to time")</f>
        <v/>
      </c>
    </row>
    <row r="2762">
      <c r="A2762">
        <f>HYPERLINK("https://www.youtube.com/watch?v=MO9PCTFJiRs", "Video")</f>
        <v/>
      </c>
      <c r="B2762" t="inlineStr">
        <is>
          <t>14:17</t>
        </is>
      </c>
      <c r="C2762" t="inlineStr">
        <is>
          <t>Li'l bit.</t>
        </is>
      </c>
      <c r="D2762">
        <f>HYPERLINK("https://www.youtube.com/watch?v=MO9PCTFJiRs&amp;t=857s", "Go to time")</f>
        <v/>
      </c>
    </row>
    <row r="2763">
      <c r="A2763">
        <f>HYPERLINK("https://www.youtube.com/watch?v=upYcrABjKP4", "Video")</f>
        <v/>
      </c>
      <c r="B2763" t="inlineStr">
        <is>
          <t>0:54</t>
        </is>
      </c>
      <c r="C2763" t="inlineStr">
        <is>
          <t>featured in this week's obituary And</t>
        </is>
      </c>
      <c r="D2763">
        <f>HYPERLINK("https://www.youtube.com/watch?v=upYcrABjKP4&amp;t=54s", "Go to time")</f>
        <v/>
      </c>
    </row>
    <row r="2764">
      <c r="A2764">
        <f>HYPERLINK("https://www.youtube.com/watch?v=34S-z9ZYC8U", "Video")</f>
        <v/>
      </c>
      <c r="B2764" t="inlineStr">
        <is>
          <t>0:01</t>
        </is>
      </c>
      <c r="C2764" t="inlineStr">
        <is>
          <t>starting to feel a bit easy</t>
        </is>
      </c>
      <c r="D2764">
        <f>HYPERLINK("https://www.youtube.com/watch?v=34S-z9ZYC8U&amp;t=1s", "Go to time")</f>
        <v/>
      </c>
    </row>
    <row r="2765">
      <c r="A2765">
        <f>HYPERLINK("https://www.youtube.com/watch?v=8wvbaAEApVU", "Video")</f>
        <v/>
      </c>
      <c r="B2765" t="inlineStr">
        <is>
          <t>1:05</t>
        </is>
      </c>
      <c r="C2765" t="inlineStr">
        <is>
          <t>sorry force of habit I guess</t>
        </is>
      </c>
      <c r="D2765">
        <f>HYPERLINK("https://www.youtube.com/watch?v=8wvbaAEApVU&amp;t=65s", "Go to time")</f>
        <v/>
      </c>
    </row>
    <row r="2766">
      <c r="A2766">
        <f>HYPERLINK("https://www.youtube.com/watch?v=-0lf1Yx4aGk", "Video")</f>
        <v/>
      </c>
      <c r="B2766" t="inlineStr">
        <is>
          <t>3:56</t>
        </is>
      </c>
      <c r="C2766" t="inlineStr">
        <is>
          <t>exhibit is at the Rockport Museum of</t>
        </is>
      </c>
      <c r="D2766">
        <f>HYPERLINK("https://www.youtube.com/watch?v=-0lf1Yx4aGk&amp;t=236s", "Go to time")</f>
        <v/>
      </c>
    </row>
    <row r="2767">
      <c r="A2767">
        <f>HYPERLINK("https://www.youtube.com/watch?v=jx0cPKwzuwg", "Video")</f>
        <v/>
      </c>
      <c r="B2767" t="inlineStr">
        <is>
          <t>22:19</t>
        </is>
      </c>
      <c r="C2767" t="inlineStr">
        <is>
          <t>things a bit better it's true</t>
        </is>
      </c>
      <c r="D2767">
        <f>HYPERLINK("https://www.youtube.com/watch?v=jx0cPKwzuwg&amp;t=1339s", "Go to time")</f>
        <v/>
      </c>
    </row>
    <row r="2768">
      <c r="A2768">
        <f>HYPERLINK("https://www.youtube.com/watch?v=0uVWH-xWzPk", "Video")</f>
        <v/>
      </c>
      <c r="B2768" t="inlineStr">
        <is>
          <t>0:48</t>
        </is>
      </c>
      <c r="C2768" t="inlineStr">
        <is>
          <t>else something a bit more exciting oh</t>
        </is>
      </c>
      <c r="D2768">
        <f>HYPERLINK("https://www.youtube.com/watch?v=0uVWH-xWzPk&amp;t=48s", "Go to time")</f>
        <v/>
      </c>
    </row>
    <row r="2769">
      <c r="A2769">
        <f>HYPERLINK("https://www.youtube.com/watch?v=FYoDnZt02ek", "Video")</f>
        <v/>
      </c>
      <c r="B2769" t="inlineStr">
        <is>
          <t>0:38</t>
        </is>
      </c>
      <c r="C2769" t="inlineStr">
        <is>
          <t>biggest things in show bit started out</t>
        </is>
      </c>
      <c r="D2769">
        <f>HYPERLINK("https://www.youtube.com/watch?v=FYoDnZt02ek&amp;t=38s", "Go to time")</f>
        <v/>
      </c>
    </row>
    <row r="2770">
      <c r="A2770">
        <f>HYPERLINK("https://www.youtube.com/watch?v=WxW-5FYLGMc", "Video")</f>
        <v/>
      </c>
      <c r="B2770" t="inlineStr">
        <is>
          <t>0:00</t>
        </is>
      </c>
      <c r="C2770" t="inlineStr">
        <is>
          <t>Disney Channel's got a mini bite from</t>
        </is>
      </c>
      <c r="D2770">
        <f>HYPERLINK("https://www.youtube.com/watch?v=WxW-5FYLGMc&amp;t=0s", "Go to time")</f>
        <v/>
      </c>
    </row>
    <row r="2771">
      <c r="A2771">
        <f>HYPERLINK("https://www.youtube.com/watch?v=BiFxntNbEGI", "Video")</f>
        <v/>
      </c>
      <c r="B2771" t="inlineStr">
        <is>
          <t>5:49</t>
        </is>
      </c>
      <c r="C2771" t="inlineStr">
        <is>
          <t>eh we'll have to hunt around a bit come</t>
        </is>
      </c>
      <c r="D2771">
        <f>HYPERLINK("https://www.youtube.com/watch?v=BiFxntNbEGI&amp;t=349s", "Go to time")</f>
        <v/>
      </c>
    </row>
    <row r="2772">
      <c r="A2772">
        <f>HYPERLINK("https://www.youtube.com/watch?v=BiFxntNbEGI", "Video")</f>
        <v/>
      </c>
      <c r="B2772" t="inlineStr">
        <is>
          <t>10:58</t>
        </is>
      </c>
      <c r="C2772" t="inlineStr">
        <is>
          <t>bite</t>
        </is>
      </c>
      <c r="D2772">
        <f>HYPERLINK("https://www.youtube.com/watch?v=BiFxntNbEGI&amp;t=658s", "Go to time")</f>
        <v/>
      </c>
    </row>
    <row r="2773">
      <c r="A2773">
        <f>HYPERLINK("https://www.youtube.com/watch?v=BiFxntNbEGI", "Video")</f>
        <v/>
      </c>
      <c r="B2773" t="inlineStr">
        <is>
          <t>23:26</t>
        </is>
      </c>
      <c r="C2773" t="inlineStr">
        <is>
          <t>final Gambit it's what</t>
        </is>
      </c>
      <c r="D2773">
        <f>HYPERLINK("https://www.youtube.com/watch?v=BiFxntNbEGI&amp;t=1406s", "Go to time")</f>
        <v/>
      </c>
    </row>
    <row r="2774">
      <c r="A2774">
        <f>HYPERLINK("https://www.youtube.com/watch?v=Oa6sHzrtIZM", "Video")</f>
        <v/>
      </c>
      <c r="B2774" t="inlineStr">
        <is>
          <t>16:26</t>
        </is>
      </c>
      <c r="C2774" t="inlineStr">
        <is>
          <t>because I'm
a bit of a troublemaker.</t>
        </is>
      </c>
      <c r="D2774">
        <f>HYPERLINK("https://www.youtube.com/watch?v=Oa6sHzrtIZM&amp;t=986s", "Go to time")</f>
        <v/>
      </c>
    </row>
    <row r="2775">
      <c r="A2775">
        <f>HYPERLINK("https://www.youtube.com/watch?v=WuOpfQ9idPs", "Video")</f>
        <v/>
      </c>
      <c r="B2775" t="inlineStr">
        <is>
          <t>1:11</t>
        </is>
      </c>
      <c r="C2775" t="inlineStr">
        <is>
          <t>A BIT OF A HARD TIME
FIGURING OUT WHAT
TO WRITE ABOUT.</t>
        </is>
      </c>
      <c r="D2775">
        <f>HYPERLINK("https://www.youtube.com/watch?v=WuOpfQ9idPs&amp;t=71s", "Go to time")</f>
        <v/>
      </c>
    </row>
    <row r="2776">
      <c r="A2776">
        <f>HYPERLINK("https://www.youtube.com/watch?v=PkD70FdhWi0", "Video")</f>
        <v/>
      </c>
      <c r="B2776" t="inlineStr">
        <is>
          <t>1:40</t>
        </is>
      </c>
      <c r="C2776" t="inlineStr">
        <is>
          <t>Widen it out a little bit.</t>
        </is>
      </c>
      <c r="D2776">
        <f>HYPERLINK("https://www.youtube.com/watch?v=PkD70FdhWi0&amp;t=100s", "Go to time")</f>
        <v/>
      </c>
    </row>
    <row r="2777">
      <c r="A2777">
        <f>HYPERLINK("https://www.youtube.com/watch?v=GNf_oalCiHM", "Video")</f>
        <v/>
      </c>
      <c r="B2777" t="inlineStr">
        <is>
          <t>0:00</t>
        </is>
      </c>
      <c r="C2777" t="inlineStr">
        <is>
          <t>Disney Channel's got a mini bite from</t>
        </is>
      </c>
      <c r="D2777">
        <f>HYPERLINK("https://www.youtube.com/watch?v=GNf_oalCiHM&amp;t=0s", "Go to time")</f>
        <v/>
      </c>
    </row>
    <row r="2778">
      <c r="A2778">
        <f>HYPERLINK("https://www.youtube.com/watch?v=GNf_oalCiHM", "Video")</f>
        <v/>
      </c>
      <c r="B2778" t="inlineStr">
        <is>
          <t>1:18</t>
        </is>
      </c>
      <c r="C2778" t="inlineStr">
        <is>
          <t>bit out of control no I don't know why I</t>
        </is>
      </c>
      <c r="D2778">
        <f>HYPERLINK("https://www.youtube.com/watch?v=GNf_oalCiHM&amp;t=78s", "Go to time")</f>
        <v/>
      </c>
    </row>
    <row r="2779">
      <c r="A2779">
        <f>HYPERLINK("https://www.youtube.com/watch?v=pr3aP62XLuQ", "Video")</f>
        <v/>
      </c>
      <c r="B2779" t="inlineStr">
        <is>
          <t>0:19</t>
        </is>
      </c>
      <c r="C2779" t="inlineStr">
        <is>
          <t>little bit there are some super cool</t>
        </is>
      </c>
      <c r="D2779">
        <f>HYPERLINK("https://www.youtube.com/watch?v=pr3aP62XLuQ&amp;t=19s", "Go to time")</f>
        <v/>
      </c>
    </row>
    <row r="2780">
      <c r="A2780">
        <f>HYPERLINK("https://www.youtube.com/watch?v=Q6351L6swqk", "Video")</f>
        <v/>
      </c>
      <c r="B2780" t="inlineStr">
        <is>
          <t>0:43</t>
        </is>
      </c>
      <c r="C2780" t="inlineStr">
        <is>
          <t>bite</t>
        </is>
      </c>
      <c r="D2780">
        <f>HYPERLINK("https://www.youtube.com/watch?v=Q6351L6swqk&amp;t=43s", "Go to time")</f>
        <v/>
      </c>
    </row>
    <row r="2781">
      <c r="A2781">
        <f>HYPERLINK("https://www.youtube.com/watch?v=Acuu8554SA8", "Video")</f>
        <v/>
      </c>
      <c r="B2781" t="inlineStr">
        <is>
          <t>2:57</t>
        </is>
      </c>
      <c r="C2781" t="inlineStr">
        <is>
          <t>cave inhabited by a fearsome treasure</t>
        </is>
      </c>
      <c r="D2781">
        <f>HYPERLINK("https://www.youtube.com/watch?v=Acuu8554SA8&amp;t=177s", "Go to time")</f>
        <v/>
      </c>
    </row>
    <row r="2782">
      <c r="A2782">
        <f>HYPERLINK("https://www.youtube.com/watch?v=Acuu8554SA8", "Video")</f>
        <v/>
      </c>
      <c r="B2782" t="inlineStr">
        <is>
          <t>5:21</t>
        </is>
      </c>
      <c r="C2782" t="inlineStr">
        <is>
          <t>today has been a bit of a wake-up call</t>
        </is>
      </c>
      <c r="D2782">
        <f>HYPERLINK("https://www.youtube.com/watch?v=Acuu8554SA8&amp;t=321s", "Go to time")</f>
        <v/>
      </c>
    </row>
    <row r="2783">
      <c r="A2783">
        <f>HYPERLINK("https://www.youtube.com/watch?v=vGBcUxKEYxU", "Video")</f>
        <v/>
      </c>
      <c r="B2783" t="inlineStr">
        <is>
          <t>1:25</t>
        </is>
      </c>
      <c r="C2783" t="inlineStr">
        <is>
          <t>and try to use a little bit of glue for</t>
        </is>
      </c>
      <c r="D2783">
        <f>HYPERLINK("https://www.youtube.com/watch?v=vGBcUxKEYxU&amp;t=85s", "Go to time")</f>
        <v/>
      </c>
    </row>
    <row r="2784">
      <c r="A2784">
        <f>HYPERLINK("https://www.youtube.com/watch?v=vGBcUxKEYxU", "Video")</f>
        <v/>
      </c>
      <c r="B2784" t="inlineStr">
        <is>
          <t>3:43</t>
        </is>
      </c>
      <c r="C2784" t="inlineStr">
        <is>
          <t>got a little bit of a horn she's just</t>
        </is>
      </c>
      <c r="D2784">
        <f>HYPERLINK("https://www.youtube.com/watch?v=vGBcUxKEYxU&amp;t=223s", "Go to time")</f>
        <v/>
      </c>
    </row>
    <row r="2785">
      <c r="A2785">
        <f>HYPERLINK("https://www.youtube.com/watch?v=ghQtjarN3Ic", "Video")</f>
        <v/>
      </c>
      <c r="B2785" t="inlineStr">
        <is>
          <t>0:00</t>
        </is>
      </c>
      <c r="C2785" t="inlineStr">
        <is>
          <t>Disney Channel's got a mini bite from</t>
        </is>
      </c>
      <c r="D2785">
        <f>HYPERLINK("https://www.youtube.com/watch?v=ghQtjarN3Ic&amp;t=0s", "Go to time")</f>
        <v/>
      </c>
    </row>
    <row r="2786">
      <c r="A2786">
        <f>HYPERLINK("https://www.youtube.com/watch?v=nNDhdHbL518", "Video")</f>
        <v/>
      </c>
      <c r="B2786" t="inlineStr">
        <is>
          <t>16:45</t>
        </is>
      </c>
      <c r="C2786" t="inlineStr">
        <is>
          <t>Ocean view is a bit
of a stretch.</t>
        </is>
      </c>
      <c r="D2786">
        <f>HYPERLINK("https://www.youtube.com/watch?v=nNDhdHbL518&amp;t=1005s", "Go to time")</f>
        <v/>
      </c>
    </row>
    <row r="2787">
      <c r="A2787">
        <f>HYPERLINK("https://www.youtube.com/watch?v=IY2hHmQy3_c", "Video")</f>
        <v/>
      </c>
      <c r="B2787" t="inlineStr">
        <is>
          <t>2:18</t>
        </is>
      </c>
      <c r="C2787" t="inlineStr">
        <is>
          <t>rabbit miraculous</t>
        </is>
      </c>
      <c r="D2787">
        <f>HYPERLINK("https://www.youtube.com/watch?v=IY2hHmQy3_c&amp;t=138s", "Go to time")</f>
        <v/>
      </c>
    </row>
    <row r="2788">
      <c r="A2788">
        <f>HYPERLINK("https://www.youtube.com/watch?v=IY2hHmQy3_c", "Video")</f>
        <v/>
      </c>
      <c r="B2788" t="inlineStr">
        <is>
          <t>2:35</t>
        </is>
      </c>
      <c r="C2788" t="inlineStr">
        <is>
          <t>rabbit miraculous the most powerful one</t>
        </is>
      </c>
      <c r="D2788">
        <f>HYPERLINK("https://www.youtube.com/watch?v=IY2hHmQy3_c&amp;t=155s", "Go to time")</f>
        <v/>
      </c>
    </row>
    <row r="2789">
      <c r="A2789">
        <f>HYPERLINK("https://www.youtube.com/watch?v=IY2hHmQy3_c", "Video")</f>
        <v/>
      </c>
      <c r="B2789" t="inlineStr">
        <is>
          <t>3:54</t>
        </is>
      </c>
      <c r="C2789" t="inlineStr">
        <is>
          <t>a rabbit miraculous amateur time is like</t>
        </is>
      </c>
      <c r="D2789">
        <f>HYPERLINK("https://www.youtube.com/watch?v=IY2hHmQy3_c&amp;t=234s", "Go to time")</f>
        <v/>
      </c>
    </row>
    <row r="2790">
      <c r="A2790">
        <f>HYPERLINK("https://www.youtube.com/watch?v=kU3C5stPOvg", "Video")</f>
        <v/>
      </c>
      <c r="B2790" t="inlineStr">
        <is>
          <t>1:53</t>
        </is>
      </c>
      <c r="C2790" t="inlineStr">
        <is>
          <t>bit of a wake-up call for tilly after</t>
        </is>
      </c>
      <c r="D2790">
        <f>HYPERLINK("https://www.youtube.com/watch?v=kU3C5stPOvg&amp;t=113s", "Go to time")</f>
        <v/>
      </c>
    </row>
    <row r="2791">
      <c r="A2791">
        <f>HYPERLINK("https://www.youtube.com/watch?v=-ZNWQsy88io", "Video")</f>
        <v/>
      </c>
      <c r="B2791" t="inlineStr">
        <is>
          <t>0:55</t>
        </is>
      </c>
      <c r="C2791" t="inlineStr">
        <is>
          <t>paying me for a little bit you know a</t>
        </is>
      </c>
      <c r="D2791">
        <f>HYPERLINK("https://www.youtube.com/watch?v=-ZNWQsy88io&amp;t=55s", "Go to time")</f>
        <v/>
      </c>
    </row>
    <row r="2792">
      <c r="A2792">
        <f>HYPERLINK("https://www.youtube.com/watch?v=iOMu86yxneA", "Video")</f>
        <v/>
      </c>
      <c r="B2792" t="inlineStr">
        <is>
          <t>7:19</t>
        </is>
      </c>
      <c r="C2792" t="inlineStr">
        <is>
          <t>The tiny ones
that line the digestive tract
might still be bitey, so--</t>
        </is>
      </c>
      <c r="D2792">
        <f>HYPERLINK("https://www.youtube.com/watch?v=iOMu86yxneA&amp;t=439s", "Go to time")</f>
        <v/>
      </c>
    </row>
    <row r="2793">
      <c r="A2793">
        <f>HYPERLINK("https://www.youtube.com/watch?v=iOMu86yxneA", "Video")</f>
        <v/>
      </c>
      <c r="B2793" t="inlineStr">
        <is>
          <t>18:52</t>
        </is>
      </c>
      <c r="C2793" t="inlineStr">
        <is>
          <t>No offense,
but this seems a bit...</t>
        </is>
      </c>
      <c r="D2793">
        <f>HYPERLINK("https://www.youtube.com/watch?v=iOMu86yxneA&amp;t=1132s", "Go to time")</f>
        <v/>
      </c>
    </row>
    <row r="2794">
      <c r="A2794">
        <f>HYPERLINK("https://www.youtube.com/watch?v=iOMu86yxneA", "Video")</f>
        <v/>
      </c>
      <c r="B2794" t="inlineStr">
        <is>
          <t>34:44</t>
        </is>
      </c>
      <c r="C2794" t="inlineStr">
        <is>
          <t>This is a bit much.
Even for you.</t>
        </is>
      </c>
      <c r="D2794">
        <f>HYPERLINK("https://www.youtube.com/watch?v=iOMu86yxneA&amp;t=2084s", "Go to time")</f>
        <v/>
      </c>
    </row>
    <row r="2795">
      <c r="A2795">
        <f>HYPERLINK("https://www.youtube.com/watch?v=BwGCPzVyVJw", "Video")</f>
        <v/>
      </c>
      <c r="B2795" t="inlineStr">
        <is>
          <t>1:35</t>
        </is>
      </c>
      <c r="C2795" t="inlineStr">
        <is>
          <t>a bit of a stretch</t>
        </is>
      </c>
      <c r="D2795">
        <f>HYPERLINK("https://www.youtube.com/watch?v=BwGCPzVyVJw&amp;t=95s", "Go to time")</f>
        <v/>
      </c>
    </row>
    <row r="2796">
      <c r="A2796">
        <f>HYPERLINK("https://www.youtube.com/watch?v=XJ33bDXhtv0", "Video")</f>
        <v/>
      </c>
      <c r="B2796" t="inlineStr">
        <is>
          <t>0:02</t>
        </is>
      </c>
      <c r="C2796" t="inlineStr">
        <is>
          <t>bite from Phineas and Ferb so cousin</t>
        </is>
      </c>
      <c r="D2796">
        <f>HYPERLINK("https://www.youtube.com/watch?v=XJ33bDXhtv0&amp;t=2s", "Go to time")</f>
        <v/>
      </c>
    </row>
    <row r="2797">
      <c r="A2797">
        <f>HYPERLINK("https://www.youtube.com/watch?v=Gad0mDardQc", "Video")</f>
        <v/>
      </c>
      <c r="B2797" t="inlineStr">
        <is>
          <t>0:00</t>
        </is>
      </c>
      <c r="C2797" t="inlineStr">
        <is>
          <t>and now a tasty mini bite from Sunny</t>
        </is>
      </c>
      <c r="D2797">
        <f>HYPERLINK("https://www.youtube.com/watch?v=Gad0mDardQc&amp;t=0s", "Go to time")</f>
        <v/>
      </c>
    </row>
    <row r="2798">
      <c r="A2798">
        <f>HYPERLINK("https://www.youtube.com/watch?v=7fFC4k_693g", "Video")</f>
        <v/>
      </c>
      <c r="B2798" t="inlineStr">
        <is>
          <t>1:40</t>
        </is>
      </c>
      <c r="C2798" t="inlineStr">
        <is>
          <t>bit of a chest cold we need to get you</t>
        </is>
      </c>
      <c r="D2798">
        <f>HYPERLINK("https://www.youtube.com/watch?v=7fFC4k_693g&amp;t=100s", "Go to time")</f>
        <v/>
      </c>
    </row>
    <row r="2799">
      <c r="A2799">
        <f>HYPERLINK("https://www.youtube.com/watch?v=XX3uta-AuEg", "Video")</f>
        <v/>
      </c>
      <c r="B2799" t="inlineStr">
        <is>
          <t>5:50</t>
        </is>
      </c>
      <c r="C2799" t="inlineStr">
        <is>
          <t>Mmm. We'll have to
hunt around a bit.</t>
        </is>
      </c>
      <c r="D2799">
        <f>HYPERLINK("https://www.youtube.com/watch?v=XX3uta-AuEg&amp;t=350s", "Go to time")</f>
        <v/>
      </c>
    </row>
    <row r="2800">
      <c r="A2800">
        <f>HYPERLINK("https://www.youtube.com/watch?v=XX3uta-AuEg", "Video")</f>
        <v/>
      </c>
      <c r="B2800" t="inlineStr">
        <is>
          <t>10:58</t>
        </is>
      </c>
      <c r="C2800" t="inlineStr">
        <is>
          <t>Don't let
the bed bugs bite.</t>
        </is>
      </c>
      <c r="D2800">
        <f>HYPERLINK("https://www.youtube.com/watch?v=XX3uta-AuEg&amp;t=658s", "Go to time")</f>
        <v/>
      </c>
    </row>
    <row r="2801">
      <c r="A2801">
        <f>HYPERLINK("https://www.youtube.com/watch?v=vx4qaWVSUxI", "Video")</f>
        <v/>
      </c>
      <c r="B2801" t="inlineStr">
        <is>
          <t>0:58</t>
        </is>
      </c>
      <c r="C2801" t="inlineStr">
        <is>
          <t>and luke get a little bit heated i told</t>
        </is>
      </c>
      <c r="D2801">
        <f>HYPERLINK("https://www.youtube.com/watch?v=vx4qaWVSUxI&amp;t=58s", "Go to time")</f>
        <v/>
      </c>
    </row>
    <row r="2802">
      <c r="A2802">
        <f>HYPERLINK("https://www.youtube.com/watch?v=J6QzqgWC7Po", "Video")</f>
        <v/>
      </c>
      <c r="B2802" t="inlineStr">
        <is>
          <t>2:21</t>
        </is>
      </c>
      <c r="C2802" t="inlineStr">
        <is>
          <t>Pinching, biting,
purple nurples.</t>
        </is>
      </c>
      <c r="D2802">
        <f>HYPERLINK("https://www.youtube.com/watch?v=J6QzqgWC7Po&amp;t=141s", "Go to time")</f>
        <v/>
      </c>
    </row>
    <row r="2803">
      <c r="A2803">
        <f>HYPERLINK("https://www.youtube.com/watch?v=J6QzqgWC7Po", "Video")</f>
        <v/>
      </c>
      <c r="B2803" t="inlineStr">
        <is>
          <t>14:36</t>
        </is>
      </c>
      <c r="C2803" t="inlineStr">
        <is>
          <t>Lockdown? I didn't bite
or nurple anyone.</t>
        </is>
      </c>
      <c r="D2803">
        <f>HYPERLINK("https://www.youtube.com/watch?v=J6QzqgWC7Po&amp;t=876s", "Go to time")</f>
        <v/>
      </c>
    </row>
    <row r="2804">
      <c r="A2804">
        <f>HYPERLINK("https://www.youtube.com/watch?v=d5CixBF0Zz0", "Video")</f>
        <v/>
      </c>
      <c r="B2804" t="inlineStr">
        <is>
          <t>1:22</t>
        </is>
      </c>
      <c r="C2804" t="inlineStr">
        <is>
          <t>i'm a funny rabbit</t>
        </is>
      </c>
      <c r="D2804">
        <f>HYPERLINK("https://www.youtube.com/watch?v=d5CixBF0Zz0&amp;t=82s", "Go to time")</f>
        <v/>
      </c>
    </row>
    <row r="2805">
      <c r="A2805">
        <f>HYPERLINK("https://www.youtube.com/watch?v=tgn_fzxKa_8", "Video")</f>
        <v/>
      </c>
      <c r="B2805" t="inlineStr">
        <is>
          <t>1:24</t>
        </is>
      </c>
      <c r="C2805" t="inlineStr">
        <is>
          <t>me kind of pumped up a little bit when</t>
        </is>
      </c>
      <c r="D2805">
        <f>HYPERLINK("https://www.youtube.com/watch?v=tgn_fzxKa_8&amp;t=84s", "Go to time")</f>
        <v/>
      </c>
    </row>
    <row r="2806">
      <c r="A2806">
        <f>HYPERLINK("https://www.youtube.com/watch?v=lgp0HN5ZKEs", "Video")</f>
        <v/>
      </c>
      <c r="B2806" t="inlineStr">
        <is>
          <t>0:14</t>
        </is>
      </c>
      <c r="C2806" t="inlineStr">
        <is>
          <t>process that information a little bit</t>
        </is>
      </c>
      <c r="D2806">
        <f>HYPERLINK("https://www.youtube.com/watch?v=lgp0HN5ZKEs&amp;t=14s", "Go to time")</f>
        <v/>
      </c>
    </row>
    <row r="2807">
      <c r="A2807">
        <f>HYPERLINK("https://www.youtube.com/watch?v=avJ2SBfsUq4", "Video")</f>
        <v/>
      </c>
      <c r="B2807" t="inlineStr">
        <is>
          <t>11:32</t>
        </is>
      </c>
      <c r="C2807" t="inlineStr">
        <is>
          <t>AND I ALWAYS SMELL
A LITTLE BIT LIKE VANILLA.</t>
        </is>
      </c>
      <c r="D2807">
        <f>HYPERLINK("https://www.youtube.com/watch?v=avJ2SBfsUq4&amp;t=692s", "Go to time")</f>
        <v/>
      </c>
    </row>
    <row r="2808">
      <c r="A2808">
        <f>HYPERLINK("https://www.youtube.com/watch?v=VdnSi3bpoKQ", "Video")</f>
        <v/>
      </c>
      <c r="B2808" t="inlineStr">
        <is>
          <t>0:00</t>
        </is>
      </c>
      <c r="C2808" t="inlineStr">
        <is>
          <t>here's a Disney Channel mini bite from</t>
        </is>
      </c>
      <c r="D2808">
        <f>HYPERLINK("https://www.youtube.com/watch?v=VdnSi3bpoKQ&amp;t=0s", "Go to time")</f>
        <v/>
      </c>
    </row>
    <row r="2809">
      <c r="A2809">
        <f>HYPERLINK("https://www.youtube.com/watch?v=lGLCEF9WzpU", "Video")</f>
        <v/>
      </c>
      <c r="B2809" t="inlineStr">
        <is>
          <t>0:02</t>
        </is>
      </c>
      <c r="C2809" t="inlineStr">
        <is>
          <t>mini bite from Sweet Life on</t>
        </is>
      </c>
      <c r="D2809">
        <f>HYPERLINK("https://www.youtube.com/watch?v=lGLCEF9WzpU&amp;t=2s", "Go to time")</f>
        <v/>
      </c>
    </row>
    <row r="2810">
      <c r="A2810">
        <f>HYPERLINK("https://www.youtube.com/watch?v=lGLCEF9WzpU", "Video")</f>
        <v/>
      </c>
      <c r="B2810" t="inlineStr">
        <is>
          <t>0:41</t>
        </is>
      </c>
      <c r="C2810" t="inlineStr">
        <is>
          <t>little bit confused of when I should use</t>
        </is>
      </c>
      <c r="D2810">
        <f>HYPERLINK("https://www.youtube.com/watch?v=lGLCEF9WzpU&amp;t=41s", "Go to time")</f>
        <v/>
      </c>
    </row>
    <row r="2811">
      <c r="A2811">
        <f>HYPERLINK("https://www.youtube.com/watch?v=_obt-x0IxeY", "Video")</f>
        <v/>
      </c>
      <c r="B2811" t="inlineStr">
        <is>
          <t>7:14</t>
        </is>
      </c>
      <c r="C2811" t="inlineStr">
        <is>
          <t>though none of it screams when you bite</t>
        </is>
      </c>
      <c r="D2811">
        <f>HYPERLINK("https://www.youtube.com/watch?v=_obt-x0IxeY&amp;t=434s", "Go to time")</f>
        <v/>
      </c>
    </row>
    <row r="2812">
      <c r="A2812">
        <f>HYPERLINK("https://www.youtube.com/watch?v=uxafWN1aX7k", "Video")</f>
        <v/>
      </c>
      <c r="B2812" t="inlineStr">
        <is>
          <t>4:39</t>
        </is>
      </c>
      <c r="C2812" t="inlineStr">
        <is>
          <t>We were a little bit silent.</t>
        </is>
      </c>
      <c r="D2812">
        <f>HYPERLINK("https://www.youtube.com/watch?v=uxafWN1aX7k&amp;t=279s", "Go to time")</f>
        <v/>
      </c>
    </row>
    <row r="2813">
      <c r="A2813">
        <f>HYPERLINK("https://www.youtube.com/watch?v=uxafWN1aX7k", "Video")</f>
        <v/>
      </c>
      <c r="B2813" t="inlineStr">
        <is>
          <t>7:35</t>
        </is>
      </c>
      <c r="C2813" t="inlineStr">
        <is>
          <t>I still have a little bit
more work to do,</t>
        </is>
      </c>
      <c r="D2813">
        <f>HYPERLINK("https://www.youtube.com/watch?v=uxafWN1aX7k&amp;t=455s", "Go to time")</f>
        <v/>
      </c>
    </row>
    <row r="2814">
      <c r="A2814">
        <f>HYPERLINK("https://www.youtube.com/watch?v=uxafWN1aX7k", "Video")</f>
        <v/>
      </c>
      <c r="B2814" t="inlineStr">
        <is>
          <t>8:09</t>
        </is>
      </c>
      <c r="C2814" t="inlineStr">
        <is>
          <t>and have a little bit of time
away from their home,</t>
        </is>
      </c>
      <c r="D2814">
        <f>HYPERLINK("https://www.youtube.com/watch?v=uxafWN1aX7k&amp;t=489s", "Go to time")</f>
        <v/>
      </c>
    </row>
    <row r="2815">
      <c r="A2815">
        <f>HYPERLINK("https://www.youtube.com/watch?v=cxRIbAxGFfM", "Video")</f>
        <v/>
      </c>
      <c r="B2815" t="inlineStr">
        <is>
          <t>0:35</t>
        </is>
      </c>
      <c r="C2815" t="inlineStr">
        <is>
          <t>also harder and uh a little bit more</t>
        </is>
      </c>
      <c r="D2815">
        <f>HYPERLINK("https://www.youtube.com/watch?v=cxRIbAxGFfM&amp;t=35s", "Go to time")</f>
        <v/>
      </c>
    </row>
    <row r="2816">
      <c r="A2816">
        <f>HYPERLINK("https://www.youtube.com/watch?v=Pz3DIgDcFjU", "Video")</f>
        <v/>
      </c>
      <c r="B2816" t="inlineStr">
        <is>
          <t>1:50</t>
        </is>
      </c>
      <c r="C2816" t="inlineStr">
        <is>
          <t>I'M NOT EVEN
A LITTLE BIT UPSET</t>
        </is>
      </c>
      <c r="D2816">
        <f>HYPERLINK("https://www.youtube.com/watch?v=Pz3DIgDcFjU&amp;t=110s", "Go to time")</f>
        <v/>
      </c>
    </row>
    <row r="2817">
      <c r="A2817">
        <f>HYPERLINK("https://www.youtube.com/watch?v=cBhdGUdhP84", "Video")</f>
        <v/>
      </c>
      <c r="B2817" t="inlineStr">
        <is>
          <t>5:46</t>
        </is>
      </c>
      <c r="C2817" t="inlineStr">
        <is>
          <t>you'll be fine okay yes spell me bits of</t>
        </is>
      </c>
      <c r="D2817">
        <f>HYPERLINK("https://www.youtube.com/watch?v=cBhdGUdhP84&amp;t=346s", "Go to time")</f>
        <v/>
      </c>
    </row>
    <row r="2818">
      <c r="A2818">
        <f>HYPERLINK("https://www.youtube.com/watch?v=Md8Rg3iCrXo", "Video")</f>
        <v/>
      </c>
      <c r="B2818" t="inlineStr">
        <is>
          <t>19:21</t>
        </is>
      </c>
      <c r="C2818" t="inlineStr">
        <is>
          <t>about the owl habitat I'll still be able</t>
        </is>
      </c>
      <c r="D2818">
        <f>HYPERLINK("https://www.youtube.com/watch?v=Md8Rg3iCrXo&amp;t=1161s", "Go to time")</f>
        <v/>
      </c>
    </row>
    <row r="2819">
      <c r="A2819">
        <f>HYPERLINK("https://www.youtube.com/watch?v=Md8Rg3iCrXo", "Video")</f>
        <v/>
      </c>
      <c r="B2819" t="inlineStr">
        <is>
          <t>19:56</t>
        </is>
      </c>
      <c r="C2819" t="inlineStr">
        <is>
          <t>this Flamingo can be a bit of a burden</t>
        </is>
      </c>
      <c r="D2819">
        <f>HYPERLINK("https://www.youtube.com/watch?v=Md8Rg3iCrXo&amp;t=1196s", "Go to time")</f>
        <v/>
      </c>
    </row>
    <row r="2820">
      <c r="A2820">
        <f>HYPERLINK("https://www.youtube.com/watch?v=Md8Rg3iCrXo", "Video")</f>
        <v/>
      </c>
      <c r="B2820" t="inlineStr">
        <is>
          <t>24:19</t>
        </is>
      </c>
      <c r="C2820" t="inlineStr">
        <is>
          <t>me I mean his work was ambitious and</t>
        </is>
      </c>
      <c r="D2820">
        <f>HYPERLINK("https://www.youtube.com/watch?v=Md8Rg3iCrXo&amp;t=1459s", "Go to time")</f>
        <v/>
      </c>
    </row>
    <row r="2821">
      <c r="A2821">
        <f>HYPERLINK("https://www.youtube.com/watch?v=Md8Rg3iCrXo", "Video")</f>
        <v/>
      </c>
      <c r="B2821" t="inlineStr">
        <is>
          <t>33:33</t>
        </is>
      </c>
      <c r="C2821" t="inlineStr">
        <is>
          <t>37 pull a hat out of a rabbit we like</t>
        </is>
      </c>
      <c r="D2821">
        <f>HYPERLINK("https://www.youtube.com/watch?v=Md8Rg3iCrXo&amp;t=2013s", "Go to time")</f>
        <v/>
      </c>
    </row>
    <row r="2822">
      <c r="A2822">
        <f>HYPERLINK("https://www.youtube.com/watch?v=04s37COGw6s", "Video")</f>
        <v/>
      </c>
      <c r="B2822" t="inlineStr">
        <is>
          <t>9:35</t>
        </is>
      </c>
      <c r="C2822" t="inlineStr">
        <is>
          <t>Thanks, Sasha.
That was a bit much.</t>
        </is>
      </c>
      <c r="D2822">
        <f>HYPERLINK("https://www.youtube.com/watch?v=04s37COGw6s&amp;t=575s", "Go to time")</f>
        <v/>
      </c>
    </row>
    <row r="2823">
      <c r="A2823">
        <f>HYPERLINK("https://www.youtube.com/watch?v=o09Ks8Wd3z0", "Video")</f>
        <v/>
      </c>
      <c r="B2823" t="inlineStr">
        <is>
          <t>2:18</t>
        </is>
      </c>
      <c r="C2823" t="inlineStr">
        <is>
          <t>♪ The only thing that is worse
than our bark's our bite ♪</t>
        </is>
      </c>
      <c r="D2823">
        <f>HYPERLINK("https://www.youtube.com/watch?v=o09Ks8Wd3z0&amp;t=138s", "Go to time")</f>
        <v/>
      </c>
    </row>
    <row r="2824">
      <c r="A2824">
        <f>HYPERLINK("https://www.youtube.com/watch?v=lDZzh9_Nkgo", "Video")</f>
        <v/>
      </c>
      <c r="B2824" t="inlineStr">
        <is>
          <t>1:22</t>
        </is>
      </c>
      <c r="C2824" t="inlineStr">
        <is>
          <t>gym class gives everybody to see my bits</t>
        </is>
      </c>
      <c r="D2824">
        <f>HYPERLINK("https://www.youtube.com/watch?v=lDZzh9_Nkgo&amp;t=82s", "Go to time")</f>
        <v/>
      </c>
    </row>
    <row r="2825">
      <c r="A2825">
        <f>HYPERLINK("https://www.youtube.com/watch?v=lDZzh9_Nkgo", "Video")</f>
        <v/>
      </c>
      <c r="B2825" t="inlineStr">
        <is>
          <t>1:26</t>
        </is>
      </c>
      <c r="C2825" t="inlineStr">
        <is>
          <t>before you see my bits and pieces</t>
        </is>
      </c>
      <c r="D2825">
        <f>HYPERLINK("https://www.youtube.com/watch?v=lDZzh9_Nkgo&amp;t=86s", "Go to time")</f>
        <v/>
      </c>
    </row>
    <row r="2826">
      <c r="A2826">
        <f>HYPERLINK("https://www.youtube.com/watch?v=BdrDNtElUOw", "Video")</f>
        <v/>
      </c>
      <c r="B2826" t="inlineStr">
        <is>
          <t>3:25</t>
        </is>
      </c>
      <c r="C2826" t="inlineStr">
        <is>
          <t>tell us a little bit about difference</t>
        </is>
      </c>
      <c r="D2826">
        <f>HYPERLINK("https://www.youtube.com/watch?v=BdrDNtElUOw&amp;t=205s", "Go to time")</f>
        <v/>
      </c>
    </row>
    <row r="2827">
      <c r="A2827">
        <f>HYPERLINK("https://www.youtube.com/watch?v=BdrDNtElUOw", "Video")</f>
        <v/>
      </c>
      <c r="B2827" t="inlineStr">
        <is>
          <t>20:54</t>
        </is>
      </c>
      <c r="C2827" t="inlineStr">
        <is>
          <t>here in just a bit and enjoy Disney</t>
        </is>
      </c>
      <c r="D2827">
        <f>HYPERLINK("https://www.youtube.com/watch?v=BdrDNtElUOw&amp;t=1254s", "Go to time")</f>
        <v/>
      </c>
    </row>
    <row r="2828">
      <c r="A2828">
        <f>HYPERLINK("https://www.youtube.com/watch?v=iDb1uwq99kw", "Video")</f>
        <v/>
      </c>
      <c r="B2828" t="inlineStr">
        <is>
          <t>0:48</t>
        </is>
      </c>
      <c r="C2828" t="inlineStr">
        <is>
          <t>Something a bit more exciting.</t>
        </is>
      </c>
      <c r="D2828">
        <f>HYPERLINK("https://www.youtube.com/watch?v=iDb1uwq99kw&amp;t=48s", "Go to time")</f>
        <v/>
      </c>
    </row>
    <row r="2829">
      <c r="A2829">
        <f>HYPERLINK("https://www.youtube.com/watch?v=bfdzwzs2pyo", "Video")</f>
        <v/>
      </c>
      <c r="B2829" t="inlineStr">
        <is>
          <t>5:11</t>
        </is>
      </c>
      <c r="C2829" t="inlineStr">
        <is>
          <t>that is not a rabbit. That is where you</t>
        </is>
      </c>
      <c r="D2829">
        <f>HYPERLINK("https://www.youtube.com/watch?v=bfdzwzs2pyo&amp;t=311s", "Go to time")</f>
        <v/>
      </c>
    </row>
    <row r="2830">
      <c r="A2830">
        <f>HYPERLINK("https://www.youtube.com/watch?v=bfdzwzs2pyo", "Video")</f>
        <v/>
      </c>
      <c r="B2830" t="inlineStr">
        <is>
          <t>5:59</t>
        </is>
      </c>
      <c r="C2830" t="inlineStr">
        <is>
          <t>friend with a little bit more</t>
        </is>
      </c>
      <c r="D2830">
        <f>HYPERLINK("https://www.youtube.com/watch?v=bfdzwzs2pyo&amp;t=359s", "Go to time")</f>
        <v/>
      </c>
    </row>
    <row r="2831">
      <c r="A2831">
        <f>HYPERLINK("https://www.youtube.com/watch?v=bfdzwzs2pyo", "Video")</f>
        <v/>
      </c>
      <c r="B2831" t="inlineStr">
        <is>
          <t>6:32</t>
        </is>
      </c>
      <c r="C2831" t="inlineStr">
        <is>
          <t>That is not a rabbit. Whiskers.</t>
        </is>
      </c>
      <c r="D2831">
        <f>HYPERLINK("https://www.youtube.com/watch?v=bfdzwzs2pyo&amp;t=392s", "Go to time")</f>
        <v/>
      </c>
    </row>
    <row r="2832">
      <c r="A2832">
        <f>HYPERLINK("https://www.youtube.com/watch?v=bfdzwzs2pyo", "Video")</f>
        <v/>
      </c>
      <c r="B2832" t="inlineStr">
        <is>
          <t>7:01</t>
        </is>
      </c>
      <c r="C2832" t="inlineStr">
        <is>
          <t>want your very own rabbit friend. But</t>
        </is>
      </c>
      <c r="D2832">
        <f>HYPERLINK("https://www.youtube.com/watch?v=bfdzwzs2pyo&amp;t=421s", "Go to time")</f>
        <v/>
      </c>
    </row>
    <row r="2833">
      <c r="A2833">
        <f>HYPERLINK("https://www.youtube.com/watch?v=bfdzwzs2pyo", "Video")</f>
        <v/>
      </c>
      <c r="B2833" t="inlineStr">
        <is>
          <t>12:40</t>
        </is>
      </c>
      <c r="C2833" t="inlineStr">
        <is>
          <t>introduce you to the greatest of rabbit</t>
        </is>
      </c>
      <c r="D2833">
        <f>HYPERLINK("https://www.youtube.com/watch?v=bfdzwzs2pyo&amp;t=760s", "Go to time")</f>
        <v/>
      </c>
    </row>
    <row r="2834">
      <c r="A2834">
        <f>HYPERLINK("https://www.youtube.com/watch?v=bfdzwzs2pyo", "Video")</f>
        <v/>
      </c>
      <c r="B2834" t="inlineStr">
        <is>
          <t>18:13</t>
        </is>
      </c>
      <c r="C2834" t="inlineStr">
        <is>
          <t>Put me down. Man, I didn't know rabbits</t>
        </is>
      </c>
      <c r="D2834">
        <f>HYPERLINK("https://www.youtube.com/watch?v=bfdzwzs2pyo&amp;t=1093s", "Go to time")</f>
        <v/>
      </c>
    </row>
    <row r="2835">
      <c r="A2835">
        <f>HYPERLINK("https://www.youtube.com/watch?v=bfdzwzs2pyo", "Video")</f>
        <v/>
      </c>
      <c r="B2835" t="inlineStr">
        <is>
          <t>18:24</t>
        </is>
      </c>
      <c r="C2835" t="inlineStr">
        <is>
          <t>terrible mistake. I'm not a rabbit.</t>
        </is>
      </c>
      <c r="D2835">
        <f>HYPERLINK("https://www.youtube.com/watch?v=bfdzwzs2pyo&amp;t=1104s", "Go to time")</f>
        <v/>
      </c>
    </row>
    <row r="2836">
      <c r="A2836">
        <f>HYPERLINK("https://www.youtube.com/watch?v=bfdzwzs2pyo", "Video")</f>
        <v/>
      </c>
      <c r="B2836" t="inlineStr">
        <is>
          <t>20:10</t>
        </is>
      </c>
      <c r="C2836" t="inlineStr">
        <is>
          <t>For the last time, I am not a rabbit.</t>
        </is>
      </c>
      <c r="D2836">
        <f>HYPERLINK("https://www.youtube.com/watch?v=bfdzwzs2pyo&amp;t=1210s", "Go to time")</f>
        <v/>
      </c>
    </row>
    <row r="2837">
      <c r="A2837">
        <f>HYPERLINK("https://www.youtube.com/watch?v=Tr7FcIvjVc4", "Video")</f>
        <v/>
      </c>
      <c r="B2837" t="inlineStr">
        <is>
          <t>13:40</t>
        </is>
      </c>
      <c r="C2837" t="inlineStr">
        <is>
          <t>TV: SO DON'T MISS
THIS EXCITING EXHIBIT
ON BLACK HISTORY.</t>
        </is>
      </c>
      <c r="D2837">
        <f>HYPERLINK("https://www.youtube.com/watch?v=Tr7FcIvjVc4&amp;t=820s", "Go to time")</f>
        <v/>
      </c>
    </row>
    <row r="2838">
      <c r="A2838">
        <f>HYPERLINK("https://www.youtube.com/watch?v=fBhvHaI1OLM", "Video")</f>
        <v/>
      </c>
      <c r="B2838" t="inlineStr">
        <is>
          <t>1:15</t>
        </is>
      </c>
      <c r="C2838" t="inlineStr">
        <is>
          <t>phones is anybody else getting bit</t>
        </is>
      </c>
      <c r="D2838">
        <f>HYPERLINK("https://www.youtube.com/watch?v=fBhvHaI1OLM&amp;t=75s", "Go to time")</f>
        <v/>
      </c>
    </row>
    <row r="2839">
      <c r="A2839">
        <f>HYPERLINK("https://www.youtube.com/watch?v=fBhvHaI1OLM", "Video")</f>
        <v/>
      </c>
      <c r="B2839" t="inlineStr">
        <is>
          <t>1:18</t>
        </is>
      </c>
      <c r="C2839" t="inlineStr">
        <is>
          <t>up are you kidding me I just got bit by</t>
        </is>
      </c>
      <c r="D2839">
        <f>HYPERLINK("https://www.youtube.com/watch?v=fBhvHaI1OLM&amp;t=78s", "Go to time")</f>
        <v/>
      </c>
    </row>
    <row r="2840">
      <c r="A2840">
        <f>HYPERLINK("https://www.youtube.com/watch?v=dvgLte7KqNc", "Video")</f>
        <v/>
      </c>
      <c r="B2840" t="inlineStr">
        <is>
          <t>13:03</t>
        </is>
      </c>
      <c r="C2840" t="inlineStr">
        <is>
          <t>hurt a bit mostly because you're a pile</t>
        </is>
      </c>
      <c r="D2840">
        <f>HYPERLINK("https://www.youtube.com/watch?v=dvgLte7KqNc&amp;t=783s", "Go to time")</f>
        <v/>
      </c>
    </row>
    <row r="2841">
      <c r="A2841">
        <f>HYPERLINK("https://www.youtube.com/watch?v=vt7kIy7Tj0Q", "Video")</f>
        <v/>
      </c>
      <c r="B2841" t="inlineStr">
        <is>
          <t>0:36</t>
        </is>
      </c>
      <c r="C2841" t="inlineStr">
        <is>
          <t>she's a bit of a bookworm gonna ace that</t>
        </is>
      </c>
      <c r="D2841">
        <f>HYPERLINK("https://www.youtube.com/watch?v=vt7kIy7Tj0Q&amp;t=36s", "Go to time")</f>
        <v/>
      </c>
    </row>
    <row r="2842">
      <c r="A2842">
        <f>HYPERLINK("https://www.youtube.com/watch?v=c58C1-sd7rk", "Video")</f>
        <v/>
      </c>
      <c r="B2842" t="inlineStr">
        <is>
          <t>1:44</t>
        </is>
      </c>
      <c r="C2842" t="inlineStr">
        <is>
          <t>orbitals and electron pair repulsion</t>
        </is>
      </c>
      <c r="D2842">
        <f>HYPERLINK("https://www.youtube.com/watch?v=c58C1-sd7rk&amp;t=104s", "Go to time")</f>
        <v/>
      </c>
    </row>
    <row r="2843">
      <c r="A2843">
        <f>HYPERLINK("https://www.youtube.com/watch?v=YiZJDKVAloU", "Video")</f>
        <v/>
      </c>
      <c r="B2843" t="inlineStr">
        <is>
          <t>15:55</t>
        </is>
      </c>
      <c r="C2843" t="inlineStr">
        <is>
          <t>see if my big Billy fish is biting i'm</t>
        </is>
      </c>
      <c r="D2843">
        <f>HYPERLINK("https://www.youtube.com/watch?v=YiZJDKVAloU&amp;t=955s", "Go to time")</f>
        <v/>
      </c>
    </row>
    <row r="2844">
      <c r="A2844">
        <f>HYPERLINK("https://www.youtube.com/watch?v=93BPx-t724Y", "Video")</f>
        <v/>
      </c>
      <c r="B2844" t="inlineStr">
        <is>
          <t>0:19</t>
        </is>
      </c>
      <c r="C2844" t="inlineStr">
        <is>
          <t>Reggie's world see I programmed this bit</t>
        </is>
      </c>
      <c r="D2844">
        <f>HYPERLINK("https://www.youtube.com/watch?v=93BPx-t724Y&amp;t=19s", "Go to time")</f>
        <v/>
      </c>
    </row>
    <row r="2845">
      <c r="A2845">
        <f>HYPERLINK("https://www.youtube.com/watch?v=thh0Kc-Wz6Y", "Video")</f>
        <v/>
      </c>
      <c r="B2845" t="inlineStr">
        <is>
          <t>0:12</t>
        </is>
      </c>
      <c r="C2845" t="inlineStr">
        <is>
          <t>like feels a bit uninspired on my part</t>
        </is>
      </c>
      <c r="D2845">
        <f>HYPERLINK("https://www.youtube.com/watch?v=thh0Kc-Wz6Y&amp;t=12s", "Go to time")</f>
        <v/>
      </c>
    </row>
    <row r="2846">
      <c r="A2846">
        <f>HYPERLINK("https://www.youtube.com/watch?v=KLds0zWOjp0", "Video")</f>
        <v/>
      </c>
      <c r="B2846" t="inlineStr">
        <is>
          <t>0:00</t>
        </is>
      </c>
      <c r="C2846" t="inlineStr">
        <is>
          <t>Disney Channel's got a mini bite from</t>
        </is>
      </c>
      <c r="D2846">
        <f>HYPERLINK("https://www.youtube.com/watch?v=KLds0zWOjp0&amp;t=0s", "Go to time")</f>
        <v/>
      </c>
    </row>
    <row r="2847">
      <c r="A2847">
        <f>HYPERLINK("https://www.youtube.com/watch?v=KLds0zWOjp0", "Video")</f>
        <v/>
      </c>
      <c r="B2847" t="inlineStr">
        <is>
          <t>0:23</t>
        </is>
      </c>
      <c r="C2847" t="inlineStr">
        <is>
          <t>enough I got to say Amy I was a bit</t>
        </is>
      </c>
      <c r="D2847">
        <f>HYPERLINK("https://www.youtube.com/watch?v=KLds0zWOjp0&amp;t=23s", "Go to time")</f>
        <v/>
      </c>
    </row>
    <row r="2848">
      <c r="A2848">
        <f>HYPERLINK("https://www.youtube.com/watch?v=mDVQpLE5zPc", "Video")</f>
        <v/>
      </c>
      <c r="B2848" t="inlineStr">
        <is>
          <t>0:37</t>
        </is>
      </c>
      <c r="C2848" t="inlineStr">
        <is>
          <t>see there's a little bit more romance</t>
        </is>
      </c>
      <c r="D2848">
        <f>HYPERLINK("https://www.youtube.com/watch?v=mDVQpLE5zPc&amp;t=37s", "Go to time")</f>
        <v/>
      </c>
    </row>
    <row r="2849">
      <c r="A2849">
        <f>HYPERLINK("https://www.youtube.com/watch?v=p9nVvoy_4gk", "Video")</f>
        <v/>
      </c>
      <c r="B2849" t="inlineStr">
        <is>
          <t>0:02</t>
        </is>
      </c>
      <c r="C2849" t="inlineStr">
        <is>
          <t>bite from Phineas and Ferb the whole day</t>
        </is>
      </c>
      <c r="D2849">
        <f>HYPERLINK("https://www.youtube.com/watch?v=p9nVvoy_4gk&amp;t=2s", "Go to time")</f>
        <v/>
      </c>
    </row>
    <row r="2850">
      <c r="A2850">
        <f>HYPERLINK("https://www.youtube.com/watch?v=p9nVvoy_4gk", "Video")</f>
        <v/>
      </c>
      <c r="B2850" t="inlineStr">
        <is>
          <t>1:05</t>
        </is>
      </c>
      <c r="C2850" t="inlineStr">
        <is>
          <t>um can we up the action a bit here okay</t>
        </is>
      </c>
      <c r="D2850">
        <f>HYPERLINK("https://www.youtube.com/watch?v=p9nVvoy_4gk&amp;t=65s", "Go to time")</f>
        <v/>
      </c>
    </row>
    <row r="2851">
      <c r="A2851">
        <f>HYPERLINK("https://www.youtube.com/watch?v=dUMWmVU_6bs", "Video")</f>
        <v/>
      </c>
      <c r="B2851" t="inlineStr">
        <is>
          <t>0:00</t>
        </is>
      </c>
      <c r="C2851" t="inlineStr">
        <is>
          <t>here's a Disney Channel mini bite from</t>
        </is>
      </c>
      <c r="D2851">
        <f>HYPERLINK("https://www.youtube.com/watch?v=dUMWmVU_6bs&amp;t=0s", "Go to time")</f>
        <v/>
      </c>
    </row>
    <row r="2852">
      <c r="A2852">
        <f>HYPERLINK("https://www.youtube.com/watch?v=3F4QSDtAAao", "Video")</f>
        <v/>
      </c>
      <c r="B2852" t="inlineStr">
        <is>
          <t>0:16</t>
        </is>
      </c>
      <c r="C2852" t="inlineStr">
        <is>
          <t>is everyone's
favorite troglobite,</t>
        </is>
      </c>
      <c r="D2852">
        <f>HYPERLINK("https://www.youtube.com/watch?v=3F4QSDtAAao&amp;t=16s", "Go to time")</f>
        <v/>
      </c>
    </row>
    <row r="2853">
      <c r="A2853">
        <f>HYPERLINK("https://www.youtube.com/watch?v=87XLkRLbSvM", "Video")</f>
        <v/>
      </c>
      <c r="B2853" t="inlineStr">
        <is>
          <t>0:00</t>
        </is>
      </c>
      <c r="C2853" t="inlineStr">
        <is>
          <t>Disney Channel's got a mini bite from</t>
        </is>
      </c>
      <c r="D2853">
        <f>HYPERLINK("https://www.youtube.com/watch?v=87XLkRLbSvM&amp;t=0s", "Go to time")</f>
        <v/>
      </c>
    </row>
    <row r="2854">
      <c r="A2854">
        <f>HYPERLINK("https://www.youtube.com/watch?v=t1M9858Ok3Y", "Video")</f>
        <v/>
      </c>
      <c r="B2854" t="inlineStr">
        <is>
          <t>0:02</t>
        </is>
      </c>
      <c r="C2854" t="inlineStr">
        <is>
          <t>do a bit of a drawing challenge trevor</t>
        </is>
      </c>
      <c r="D2854">
        <f>HYPERLINK("https://www.youtube.com/watch?v=t1M9858Ok3Y&amp;t=2s", "Go to time")</f>
        <v/>
      </c>
    </row>
    <row r="2855">
      <c r="A2855">
        <f>HYPERLINK("https://www.youtube.com/watch?v=t1M9858Ok3Y", "Video")</f>
        <v/>
      </c>
      <c r="B2855" t="inlineStr">
        <is>
          <t>3:16</t>
        </is>
      </c>
      <c r="C2855" t="inlineStr">
        <is>
          <t>a bit of blue this is my mother's makeup</t>
        </is>
      </c>
      <c r="D2855">
        <f>HYPERLINK("https://www.youtube.com/watch?v=t1M9858Ok3Y&amp;t=196s", "Go to time")</f>
        <v/>
      </c>
    </row>
    <row r="2856">
      <c r="A2856">
        <f>HYPERLINK("https://www.youtube.com/watch?v=t1M9858Ok3Y", "Video")</f>
        <v/>
      </c>
      <c r="B2856" t="inlineStr">
        <is>
          <t>3:19</t>
        </is>
      </c>
      <c r="C2856" t="inlineStr">
        <is>
          <t>just mix in a bit of blue</t>
        </is>
      </c>
      <c r="D2856">
        <f>HYPERLINK("https://www.youtube.com/watch?v=t1M9858Ok3Y&amp;t=199s", "Go to time")</f>
        <v/>
      </c>
    </row>
    <row r="2857">
      <c r="A2857">
        <f>HYPERLINK("https://www.youtube.com/watch?v=t1M9858Ok3Y", "Video")</f>
        <v/>
      </c>
      <c r="B2857" t="inlineStr">
        <is>
          <t>4:41</t>
        </is>
      </c>
      <c r="C2857" t="inlineStr">
        <is>
          <t>little bit different this time you're</t>
        </is>
      </c>
      <c r="D2857">
        <f>HYPERLINK("https://www.youtube.com/watch?v=t1M9858Ok3Y&amp;t=281s", "Go to time")</f>
        <v/>
      </c>
    </row>
    <row r="2858">
      <c r="A2858">
        <f>HYPERLINK("https://www.youtube.com/watch?v=t1M9858Ok3Y", "Video")</f>
        <v/>
      </c>
      <c r="B2858" t="inlineStr">
        <is>
          <t>10:46</t>
        </is>
      </c>
      <c r="C2858" t="inlineStr">
        <is>
          <t>disney channel we are going to do a bit</t>
        </is>
      </c>
      <c r="D2858">
        <f>HYPERLINK("https://www.youtube.com/watch?v=t1M9858Ok3Y&amp;t=646s", "Go to time")</f>
        <v/>
      </c>
    </row>
    <row r="2859">
      <c r="A2859">
        <f>HYPERLINK("https://www.youtube.com/watch?v=rYff42AsXcI", "Video")</f>
        <v/>
      </c>
      <c r="B2859" t="inlineStr">
        <is>
          <t>0:02</t>
        </is>
      </c>
      <c r="C2859" t="inlineStr">
        <is>
          <t>bite from jesse right now</t>
        </is>
      </c>
      <c r="D2859">
        <f>HYPERLINK("https://www.youtube.com/watch?v=rYff42AsXcI&amp;t=2s", "Go to time")</f>
        <v/>
      </c>
    </row>
    <row r="2860">
      <c r="A2860">
        <f>HYPERLINK("https://www.youtube.com/watch?v=rYff42AsXcI", "Video")</f>
        <v/>
      </c>
      <c r="B2860" t="inlineStr">
        <is>
          <t>0:59</t>
        </is>
      </c>
      <c r="C2860" t="inlineStr">
        <is>
          <t>but why share my bitterness with you</t>
        </is>
      </c>
      <c r="D2860">
        <f>HYPERLINK("https://www.youtube.com/watch?v=rYff42AsXcI&amp;t=59s", "Go to time")</f>
        <v/>
      </c>
    </row>
    <row r="2861">
      <c r="A2861">
        <f>HYPERLINK("https://www.youtube.com/watch?v=o8eK7wryub8", "Video")</f>
        <v/>
      </c>
      <c r="B2861" t="inlineStr">
        <is>
          <t>21:37</t>
        </is>
      </c>
      <c r="C2861" t="inlineStr">
        <is>
          <t>Willow can be a bit
of a handful...</t>
        </is>
      </c>
      <c r="D2861">
        <f>HYPERLINK("https://www.youtube.com/watch?v=o8eK7wryub8&amp;t=1297s", "Go to time")</f>
        <v/>
      </c>
    </row>
    <row r="2862">
      <c r="A2862">
        <f>HYPERLINK("https://www.youtube.com/watch?v=gNRTI7Ft7dU", "Video")</f>
        <v/>
      </c>
      <c r="B2862" t="inlineStr">
        <is>
          <t>14:47</t>
        </is>
      </c>
      <c r="C2862" t="inlineStr">
        <is>
          <t>OH, I WOULD TRY A SORT
OF RABBITY THING,</t>
        </is>
      </c>
      <c r="D2862">
        <f>HYPERLINK("https://www.youtube.com/watch?v=gNRTI7Ft7dU&amp;t=887s", "Go to time")</f>
        <v/>
      </c>
    </row>
    <row r="2863">
      <c r="A2863">
        <f>HYPERLINK("https://www.youtube.com/watch?v=787nRcTtPf8", "Video")</f>
        <v/>
      </c>
      <c r="B2863" t="inlineStr">
        <is>
          <t>2:07</t>
        </is>
      </c>
      <c r="C2863" t="inlineStr">
        <is>
          <t>They can put anything they want
in these green bits.</t>
        </is>
      </c>
      <c r="D2863">
        <f>HYPERLINK("https://www.youtube.com/watch?v=787nRcTtPf8&amp;t=127s", "Go to time")</f>
        <v/>
      </c>
    </row>
    <row r="2864">
      <c r="A2864">
        <f>HYPERLINK("https://www.youtube.com/watch?v=787nRcTtPf8", "Video")</f>
        <v/>
      </c>
      <c r="B2864" t="inlineStr">
        <is>
          <t>3:50</t>
        </is>
      </c>
      <c r="C2864" t="inlineStr">
        <is>
          <t>you were treated to a bit
of a family reunion.</t>
        </is>
      </c>
      <c r="D2864">
        <f>HYPERLINK("https://www.youtube.com/watch?v=787nRcTtPf8&amp;t=230s", "Go to time")</f>
        <v/>
      </c>
    </row>
    <row r="2865">
      <c r="A2865">
        <f>HYPERLINK("https://www.youtube.com/watch?v=C_7AAINbvro", "Video")</f>
        <v/>
      </c>
      <c r="B2865" t="inlineStr">
        <is>
          <t>5:07</t>
        </is>
      </c>
      <c r="C2865" t="inlineStr">
        <is>
          <t>WHAT A GENIE LOOKS LIKE
IN ITS NATURAL HABITAT.</t>
        </is>
      </c>
      <c r="D2865">
        <f>HYPERLINK("https://www.youtube.com/watch?v=C_7AAINbvro&amp;t=307s", "Go to time")</f>
        <v/>
      </c>
    </row>
    <row r="2866">
      <c r="A2866">
        <f>HYPERLINK("https://www.youtube.com/watch?v=T97EKUImjo8", "Video")</f>
        <v/>
      </c>
      <c r="B2866" t="inlineStr">
        <is>
          <t>15:23</t>
        </is>
      </c>
      <c r="C2866" t="inlineStr">
        <is>
          <t>Wow. First a dog bite,
and now the hair.</t>
        </is>
      </c>
      <c r="D2866">
        <f>HYPERLINK("https://www.youtube.com/watch?v=T97EKUImjo8&amp;t=923s", "Go to time")</f>
        <v/>
      </c>
    </row>
    <row r="2867">
      <c r="A2867">
        <f>HYPERLINK("https://www.youtube.com/watch?v=velFVVse0qA", "Video")</f>
        <v/>
      </c>
      <c r="B2867" t="inlineStr">
        <is>
          <t>0:00</t>
        </is>
      </c>
      <c r="C2867" t="inlineStr">
        <is>
          <t>disney channel's got a mini bite from</t>
        </is>
      </c>
      <c r="D2867">
        <f>HYPERLINK("https://www.youtube.com/watch?v=velFVVse0qA&amp;t=0s", "Go to time")</f>
        <v/>
      </c>
    </row>
    <row r="2868">
      <c r="A2868">
        <f>HYPERLINK("https://www.youtube.com/watch?v=jyEs3Q92p0Q", "Video")</f>
        <v/>
      </c>
      <c r="B2868" t="inlineStr">
        <is>
          <t>0:02</t>
        </is>
      </c>
      <c r="C2868" t="inlineStr">
        <is>
          <t>bite from jesse right now</t>
        </is>
      </c>
      <c r="D2868">
        <f>HYPERLINK("https://www.youtube.com/watch?v=jyEs3Q92p0Q&amp;t=2s", "Go to time")</f>
        <v/>
      </c>
    </row>
    <row r="2869">
      <c r="A2869">
        <f>HYPERLINK("https://www.youtube.com/watch?v=Hs0F3tC5F28", "Video")</f>
        <v/>
      </c>
      <c r="B2869" t="inlineStr">
        <is>
          <t>0:22</t>
        </is>
      </c>
      <c r="C2869" t="inlineStr">
        <is>
          <t>take a bite out of your weekend with</t>
        </is>
      </c>
      <c r="D2869">
        <f>HYPERLINK("https://www.youtube.com/watch?v=Hs0F3tC5F28&amp;t=22s", "Go to time")</f>
        <v/>
      </c>
    </row>
    <row r="2870">
      <c r="A2870">
        <f>HYPERLINK("https://www.youtube.com/watch?v=whpe3gQMqjA", "Video")</f>
        <v/>
      </c>
      <c r="B2870" t="inlineStr">
        <is>
          <t>2:41</t>
        </is>
      </c>
      <c r="C2870" t="inlineStr">
        <is>
          <t>yummy mystery sauce take a bite and</t>
        </is>
      </c>
      <c r="D2870">
        <f>HYPERLINK("https://www.youtube.com/watch?v=whpe3gQMqjA&amp;t=161s", "Go to time")</f>
        <v/>
      </c>
    </row>
    <row r="2871">
      <c r="A2871">
        <f>HYPERLINK("https://www.youtube.com/watch?v=k3aOWDHFu0s", "Video")</f>
        <v/>
      </c>
      <c r="B2871" t="inlineStr">
        <is>
          <t>0:00</t>
        </is>
      </c>
      <c r="C2871" t="inlineStr">
        <is>
          <t>Disney Channel's got a mini bite from</t>
        </is>
      </c>
      <c r="D2871">
        <f>HYPERLINK("https://www.youtube.com/watch?v=k3aOWDHFu0s&amp;t=0s", "Go to time")</f>
        <v/>
      </c>
    </row>
    <row r="2872">
      <c r="A2872">
        <f>HYPERLINK("https://www.youtube.com/watch?v=d_ZPlVaDhNI", "Video")</f>
        <v/>
      </c>
      <c r="B2872" t="inlineStr">
        <is>
          <t>15:28</t>
        </is>
      </c>
      <c r="C2872" t="inlineStr">
        <is>
          <t>BIT OF PLASMIC
TURBO EDGING, YOU KNOW.</t>
        </is>
      </c>
      <c r="D2872">
        <f>HYPERLINK("https://www.youtube.com/watch?v=d_ZPlVaDhNI&amp;t=928s", "Go to time")</f>
        <v/>
      </c>
    </row>
    <row r="2873">
      <c r="A2873">
        <f>HYPERLINK("https://www.youtube.com/watch?v=N87DEVdhgUU", "Video")</f>
        <v/>
      </c>
      <c r="B2873" t="inlineStr">
        <is>
          <t>1:18</t>
        </is>
      </c>
      <c r="C2873" t="inlineStr">
        <is>
          <t>on a snail socks add a little bit of</t>
        </is>
      </c>
      <c r="D2873">
        <f>HYPERLINK("https://www.youtube.com/watch?v=N87DEVdhgUU&amp;t=78s", "Go to time")</f>
        <v/>
      </c>
    </row>
    <row r="2874">
      <c r="A2874">
        <f>HYPERLINK("https://www.youtube.com/watch?v=Etv6u5I48Bk", "Video")</f>
        <v/>
      </c>
      <c r="B2874" t="inlineStr">
        <is>
          <t>1:04</t>
        </is>
      </c>
      <c r="C2874" t="inlineStr">
        <is>
          <t>polar bear whose habitat was threatened</t>
        </is>
      </c>
      <c r="D2874">
        <f>HYPERLINK("https://www.youtube.com/watch?v=Etv6u5I48Bk&amp;t=64s", "Go to time")</f>
        <v/>
      </c>
    </row>
    <row r="2875">
      <c r="A2875">
        <f>HYPERLINK("https://www.youtube.com/watch?v=Etv6u5I48Bk", "Video")</f>
        <v/>
      </c>
      <c r="B2875" t="inlineStr">
        <is>
          <t>2:18</t>
        </is>
      </c>
      <c r="C2875" t="inlineStr">
        <is>
          <t>dreams my ambitions my morality but I</t>
        </is>
      </c>
      <c r="D2875">
        <f>HYPERLINK("https://www.youtube.com/watch?v=Etv6u5I48Bk&amp;t=138s", "Go to time")</f>
        <v/>
      </c>
    </row>
    <row r="2876">
      <c r="A2876">
        <f>HYPERLINK("https://www.youtube.com/watch?v=Rul6t2ey-94", "Video")</f>
        <v/>
      </c>
      <c r="B2876" t="inlineStr">
        <is>
          <t>2:23</t>
        </is>
      </c>
      <c r="C2876" t="inlineStr">
        <is>
          <t>Well, someone's
in a bit of a snit fit.</t>
        </is>
      </c>
      <c r="D2876">
        <f>HYPERLINK("https://www.youtube.com/watch?v=Rul6t2ey-94&amp;t=143s", "Go to time")</f>
        <v/>
      </c>
    </row>
    <row r="2877">
      <c r="A2877">
        <f>HYPERLINK("https://www.youtube.com/watch?v=Rul6t2ey-94", "Video")</f>
        <v/>
      </c>
      <c r="B2877" t="inlineStr">
        <is>
          <t>14:22</t>
        </is>
      </c>
      <c r="C2877" t="inlineStr">
        <is>
          <t>I'm just gonna
look around a little bit</t>
        </is>
      </c>
      <c r="D2877">
        <f>HYPERLINK("https://www.youtube.com/watch?v=Rul6t2ey-94&amp;t=862s", "Go to time")</f>
        <v/>
      </c>
    </row>
    <row r="2878">
      <c r="A2878">
        <f>HYPERLINK("https://www.youtube.com/watch?v=L9tEC6mAh30", "Video")</f>
        <v/>
      </c>
      <c r="B2878" t="inlineStr">
        <is>
          <t>3:46</t>
        </is>
      </c>
      <c r="C2878" t="inlineStr">
        <is>
          <t>Get better and better
each day, a little bit.</t>
        </is>
      </c>
      <c r="D2878">
        <f>HYPERLINK("https://www.youtube.com/watch?v=L9tEC6mAh30&amp;t=226s", "Go to time")</f>
        <v/>
      </c>
    </row>
    <row r="2879">
      <c r="A2879">
        <f>HYPERLINK("https://www.youtube.com/watch?v=DOsmvUFZ29A", "Video")</f>
        <v/>
      </c>
      <c r="B2879" t="inlineStr">
        <is>
          <t>3:49</t>
        </is>
      </c>
      <c r="C2879" t="inlineStr">
        <is>
          <t>exhibit</t>
        </is>
      </c>
      <c r="D2879">
        <f>HYPERLINK("https://www.youtube.com/watch?v=DOsmvUFZ29A&amp;t=229s", "Go to time")</f>
        <v/>
      </c>
    </row>
    <row r="2880">
      <c r="A2880">
        <f>HYPERLINK("https://www.youtube.com/watch?v=DOsmvUFZ29A", "Video")</f>
        <v/>
      </c>
      <c r="B2880" t="inlineStr">
        <is>
          <t>4:51</t>
        </is>
      </c>
      <c r="C2880" t="inlineStr">
        <is>
          <t>me I'm just a little bit a little</t>
        </is>
      </c>
      <c r="D2880">
        <f>HYPERLINK("https://www.youtube.com/watch?v=DOsmvUFZ29A&amp;t=291s", "Go to time")</f>
        <v/>
      </c>
    </row>
    <row r="2881">
      <c r="A2881">
        <f>HYPERLINK("https://www.youtube.com/watch?v=DOsmvUFZ29A", "Video")</f>
        <v/>
      </c>
      <c r="B2881" t="inlineStr">
        <is>
          <t>4:56</t>
        </is>
      </c>
      <c r="C2881" t="inlineStr">
        <is>
          <t>bit I like thunder I like lightning I</t>
        </is>
      </c>
      <c r="D2881">
        <f>HYPERLINK("https://www.youtube.com/watch?v=DOsmvUFZ29A&amp;t=296s", "Go to time")</f>
        <v/>
      </c>
    </row>
    <row r="2882">
      <c r="A2882">
        <f>HYPERLINK("https://www.youtube.com/watch?v=DOsmvUFZ29A", "Video")</f>
        <v/>
      </c>
      <c r="B2882" t="inlineStr">
        <is>
          <t>5:30</t>
        </is>
      </c>
      <c r="C2882" t="inlineStr">
        <is>
          <t>a little bit</t>
        </is>
      </c>
      <c r="D2882">
        <f>HYPERLINK("https://www.youtube.com/watch?v=DOsmvUFZ29A&amp;t=330s", "Go to time")</f>
        <v/>
      </c>
    </row>
    <row r="2883">
      <c r="A2883">
        <f>HYPERLINK("https://www.youtube.com/watch?v=DOsmvUFZ29A", "Video")</f>
        <v/>
      </c>
      <c r="B2883" t="inlineStr">
        <is>
          <t>16:10</t>
        </is>
      </c>
      <c r="C2883" t="inlineStr">
        <is>
          <t>song Bita has a broken</t>
        </is>
      </c>
      <c r="D2883">
        <f>HYPERLINK("https://www.youtube.com/watch?v=DOsmvUFZ29A&amp;t=970s", "Go to time")</f>
        <v/>
      </c>
    </row>
    <row r="2884">
      <c r="A2884">
        <f>HYPERLINK("https://www.youtube.com/watch?v=nPvX0KarghA", "Video")</f>
        <v/>
      </c>
      <c r="B2884" t="inlineStr">
        <is>
          <t>1:23</t>
        </is>
      </c>
      <c r="C2884" t="inlineStr">
        <is>
          <t>It makes you look
a little bit puffy.</t>
        </is>
      </c>
      <c r="D2884">
        <f>HYPERLINK("https://www.youtube.com/watch?v=nPvX0KarghA&amp;t=83s", "Go to time")</f>
        <v/>
      </c>
    </row>
    <row r="2885">
      <c r="A2885">
        <f>HYPERLINK("https://www.youtube.com/watch?v=SdaQ51jpbZQ", "Video")</f>
        <v/>
      </c>
      <c r="B2885" t="inlineStr">
        <is>
          <t>0:00</t>
        </is>
      </c>
      <c r="C2885" t="inlineStr">
        <is>
          <t>Disney Channel's got a mini bite from</t>
        </is>
      </c>
      <c r="D2885">
        <f>HYPERLINK("https://www.youtube.com/watch?v=SdaQ51jpbZQ&amp;t=0s", "Go to time")</f>
        <v/>
      </c>
    </row>
    <row r="2886">
      <c r="A2886">
        <f>HYPERLINK("https://www.youtube.com/watch?v=7whkktRHN1o", "Video")</f>
        <v/>
      </c>
      <c r="B2886" t="inlineStr">
        <is>
          <t>19:30</t>
        </is>
      </c>
      <c r="C2886" t="inlineStr">
        <is>
          <t>And just when I thought
I might get even the slightest
bit of respect.</t>
        </is>
      </c>
      <c r="D2886">
        <f>HYPERLINK("https://www.youtube.com/watch?v=7whkktRHN1o&amp;t=1170s", "Go to time")</f>
        <v/>
      </c>
    </row>
    <row r="2887">
      <c r="A2887">
        <f>HYPERLINK("https://www.youtube.com/watch?v=g2EowA06Bco", "Video")</f>
        <v/>
      </c>
      <c r="B2887" t="inlineStr">
        <is>
          <t>6:38</t>
        </is>
      </c>
      <c r="C2887" t="inlineStr">
        <is>
          <t>now the child was a bit of an x factor</t>
        </is>
      </c>
      <c r="D2887">
        <f>HYPERLINK("https://www.youtube.com/watch?v=g2EowA06Bco&amp;t=398s", "Go to time")</f>
        <v/>
      </c>
    </row>
    <row r="2888">
      <c r="A2888">
        <f>HYPERLINK("https://www.youtube.com/watch?v=-lhvdQEmo7c", "Video")</f>
        <v/>
      </c>
      <c r="B2888" t="inlineStr">
        <is>
          <t>0:00</t>
        </is>
      </c>
      <c r="C2888" t="inlineStr">
        <is>
          <t>here's a Disney Channel mini bite from</t>
        </is>
      </c>
      <c r="D2888">
        <f>HYPERLINK("https://www.youtube.com/watch?v=-lhvdQEmo7c&amp;t=0s", "Go to time")</f>
        <v/>
      </c>
    </row>
    <row r="2889">
      <c r="A2889">
        <f>HYPERLINK("https://www.youtube.com/watch?v=FczdXm_QO58", "Video")</f>
        <v/>
      </c>
      <c r="B2889" t="inlineStr">
        <is>
          <t>0:57</t>
        </is>
      </c>
      <c r="C2889" t="inlineStr">
        <is>
          <t>he doesn't bite right</t>
        </is>
      </c>
      <c r="D2889">
        <f>HYPERLINK("https://www.youtube.com/watch?v=FczdXm_QO58&amp;t=57s", "Go to time")</f>
        <v/>
      </c>
    </row>
    <row r="2890">
      <c r="A2890">
        <f>HYPERLINK("https://www.youtube.com/watch?v=bhWTZZilxHQ", "Video")</f>
        <v/>
      </c>
      <c r="B2890" t="inlineStr">
        <is>
          <t>5:02</t>
        </is>
      </c>
      <c r="C2890" t="inlineStr">
        <is>
          <t>[biting]</t>
        </is>
      </c>
      <c r="D2890">
        <f>HYPERLINK("https://www.youtube.com/watch?v=bhWTZZilxHQ&amp;t=302s", "Go to time")</f>
        <v/>
      </c>
    </row>
    <row r="2891">
      <c r="A2891">
        <f>HYPERLINK("https://www.youtube.com/watch?v=bhWTZZilxHQ", "Video")</f>
        <v/>
      </c>
      <c r="B2891" t="inlineStr">
        <is>
          <t>5:22</t>
        </is>
      </c>
      <c r="C2891" t="inlineStr">
        <is>
          <t>[biting]</t>
        </is>
      </c>
      <c r="D2891">
        <f>HYPERLINK("https://www.youtube.com/watch?v=bhWTZZilxHQ&amp;t=322s", "Go to time")</f>
        <v/>
      </c>
    </row>
    <row r="2892">
      <c r="A2892">
        <f>HYPERLINK("https://www.youtube.com/watch?v=bhWTZZilxHQ", "Video")</f>
        <v/>
      </c>
      <c r="B2892" t="inlineStr">
        <is>
          <t>5:47</t>
        </is>
      </c>
      <c r="C2892" t="inlineStr">
        <is>
          <t>[ribbiting]</t>
        </is>
      </c>
      <c r="D2892">
        <f>HYPERLINK("https://www.youtube.com/watch?v=bhWTZZilxHQ&amp;t=347s", "Go to time")</f>
        <v/>
      </c>
    </row>
    <row r="2893">
      <c r="A2893">
        <f>HYPERLINK("https://www.youtube.com/watch?v=MuvVhTgBrQI", "Video")</f>
        <v/>
      </c>
      <c r="B2893" t="inlineStr">
        <is>
          <t>0:02</t>
        </is>
      </c>
      <c r="C2893" t="inlineStr">
        <is>
          <t>last four years that's the least bit out</t>
        </is>
      </c>
      <c r="D2893">
        <f>HYPERLINK("https://www.youtube.com/watch?v=MuvVhTgBrQI&amp;t=2s", "Go to time")</f>
        <v/>
      </c>
    </row>
    <row r="2894">
      <c r="A2894">
        <f>HYPERLINK("https://www.youtube.com/watch?v=_YhWo7X121U", "Video")</f>
        <v/>
      </c>
      <c r="B2894" t="inlineStr">
        <is>
          <t>0:29</t>
        </is>
      </c>
      <c r="C2894" t="inlineStr">
        <is>
          <t>Could you try a bit harder?</t>
        </is>
      </c>
      <c r="D2894">
        <f>HYPERLINK("https://www.youtube.com/watch?v=_YhWo7X121U&amp;t=29s", "Go to time")</f>
        <v/>
      </c>
    </row>
    <row r="2895">
      <c r="A2895">
        <f>HYPERLINK("https://www.youtube.com/watch?v=2dTbE2GRZJA", "Video")</f>
        <v/>
      </c>
      <c r="B2895" t="inlineStr">
        <is>
          <t>7:05</t>
        </is>
      </c>
      <c r="C2895" t="inlineStr">
        <is>
          <t>I think she said
you look like a hobbit.</t>
        </is>
      </c>
      <c r="D2895">
        <f>HYPERLINK("https://www.youtube.com/watch?v=2dTbE2GRZJA&amp;t=425s", "Go to time")</f>
        <v/>
      </c>
    </row>
    <row r="2896">
      <c r="A2896">
        <f>HYPERLINK("https://www.youtube.com/watch?v=d_vahxFi-0g", "Video")</f>
        <v/>
      </c>
      <c r="B2896" t="inlineStr">
        <is>
          <t>2:17</t>
        </is>
      </c>
      <c r="C2896" t="inlineStr">
        <is>
          <t>It was just
an itty-bitty iceberg.</t>
        </is>
      </c>
      <c r="D2896">
        <f>HYPERLINK("https://www.youtube.com/watch?v=d_vahxFi-0g&amp;t=137s", "Go to time")</f>
        <v/>
      </c>
    </row>
    <row r="2897">
      <c r="A2897">
        <f>HYPERLINK("https://www.youtube.com/watch?v=dFmzjr-hQ9c", "Video")</f>
        <v/>
      </c>
      <c r="B2897" t="inlineStr">
        <is>
          <t>0:00</t>
        </is>
      </c>
      <c r="C2897" t="inlineStr">
        <is>
          <t>Disney Channel's got a mini bite from</t>
        </is>
      </c>
      <c r="D2897">
        <f>HYPERLINK("https://www.youtube.com/watch?v=dFmzjr-hQ9c&amp;t=0s", "Go to time")</f>
        <v/>
      </c>
    </row>
    <row r="2898">
      <c r="A2898">
        <f>HYPERLINK("https://www.youtube.com/watch?v=8-XOY4Ihy9w", "Video")</f>
        <v/>
      </c>
      <c r="B2898" t="inlineStr">
        <is>
          <t>0:23</t>
        </is>
      </c>
      <c r="C2898" t="inlineStr">
        <is>
          <t>can I help sure you can bit hey b hey</t>
        </is>
      </c>
      <c r="D2898">
        <f>HYPERLINK("https://www.youtube.com/watch?v=8-XOY4Ihy9w&amp;t=23s", "Go to time")</f>
        <v/>
      </c>
    </row>
    <row r="2899">
      <c r="A2899">
        <f>HYPERLINK("https://www.youtube.com/watch?v=8-XOY4Ihy9w", "Video")</f>
        <v/>
      </c>
      <c r="B2899" t="inlineStr">
        <is>
          <t>0:41</t>
        </is>
      </c>
      <c r="C2899" t="inlineStr">
        <is>
          <t>Isabella Buford bit and me oh and</t>
        </is>
      </c>
      <c r="D2899">
        <f>HYPERLINK("https://www.youtube.com/watch?v=8-XOY4Ihy9w&amp;t=41s", "Go to time")</f>
        <v/>
      </c>
    </row>
    <row r="2900">
      <c r="A2900">
        <f>HYPERLINK("https://www.youtube.com/watch?v=X8rT4uvuJCk", "Video")</f>
        <v/>
      </c>
      <c r="B2900" t="inlineStr">
        <is>
          <t>0:33</t>
        </is>
      </c>
      <c r="C2900" t="inlineStr">
        <is>
          <t>37 pull a hat out of a rabbit we like</t>
        </is>
      </c>
      <c r="D2900">
        <f>HYPERLINK("https://www.youtube.com/watch?v=X8rT4uvuJCk&amp;t=33s", "Go to time")</f>
        <v/>
      </c>
    </row>
    <row r="2901">
      <c r="A2901">
        <f>HYPERLINK("https://www.youtube.com/watch?v=OlMFwpag-es", "Video")</f>
        <v/>
      </c>
      <c r="B2901" t="inlineStr">
        <is>
          <t>2:59</t>
        </is>
      </c>
      <c r="C2901" t="inlineStr">
        <is>
          <t>I was like,
is it trying to bite me?</t>
        </is>
      </c>
      <c r="D2901">
        <f>HYPERLINK("https://www.youtube.com/watch?v=OlMFwpag-es&amp;t=179s", "Go to time")</f>
        <v/>
      </c>
    </row>
    <row r="2902">
      <c r="A2902">
        <f>HYPERLINK("https://www.youtube.com/watch?v=Gsnxfz4lq28", "Video")</f>
        <v/>
      </c>
      <c r="B2902" t="inlineStr">
        <is>
          <t>2:10</t>
        </is>
      </c>
      <c r="C2902" t="inlineStr">
        <is>
          <t>little bit about where you live and what</t>
        </is>
      </c>
      <c r="D2902">
        <f>HYPERLINK("https://www.youtube.com/watch?v=Gsnxfz4lq28&amp;t=130s", "Go to time")</f>
        <v/>
      </c>
    </row>
    <row r="2903">
      <c r="A2903">
        <f>HYPERLINK("https://www.youtube.com/watch?v=Gsnxfz4lq28", "Video")</f>
        <v/>
      </c>
      <c r="B2903" t="inlineStr">
        <is>
          <t>2:43</t>
        </is>
      </c>
      <c r="C2903" t="inlineStr">
        <is>
          <t>three bites of food are solely dependent</t>
        </is>
      </c>
      <c r="D2903">
        <f>HYPERLINK("https://www.youtube.com/watch?v=Gsnxfz4lq28&amp;t=163s", "Go to time")</f>
        <v/>
      </c>
    </row>
    <row r="2904">
      <c r="A2904">
        <f>HYPERLINK("https://www.youtube.com/watch?v=Gsnxfz4lq28", "Video")</f>
        <v/>
      </c>
      <c r="B2904" t="inlineStr">
        <is>
          <t>3:00</t>
        </is>
      </c>
      <c r="C2904" t="inlineStr">
        <is>
          <t>pollinator habitat loss pollinator packs</t>
        </is>
      </c>
      <c r="D2904">
        <f>HYPERLINK("https://www.youtube.com/watch?v=Gsnxfz4lq28&amp;t=180s", "Go to time")</f>
        <v/>
      </c>
    </row>
    <row r="2905">
      <c r="A2905">
        <f>HYPERLINK("https://www.youtube.com/watch?v=xWufPDrNW60", "Video")</f>
        <v/>
      </c>
      <c r="B2905" t="inlineStr">
        <is>
          <t>0:04</t>
        </is>
      </c>
      <c r="C2905" t="inlineStr">
        <is>
          <t>a teeny bit just squeeze it out</t>
        </is>
      </c>
      <c r="D2905">
        <f>HYPERLINK("https://www.youtube.com/watch?v=xWufPDrNW60&amp;t=4s", "Go to time")</f>
        <v/>
      </c>
    </row>
    <row r="2906">
      <c r="A2906">
        <f>HYPERLINK("https://www.youtube.com/watch?v=BSnYPtZulyQ", "Video")</f>
        <v/>
      </c>
      <c r="B2906" t="inlineStr">
        <is>
          <t>11:02</t>
        </is>
      </c>
      <c r="C2906" t="inlineStr">
        <is>
          <t>real rabbit duplicate</t>
        </is>
      </c>
      <c r="D2906">
        <f>HYPERLINK("https://www.youtube.com/watch?v=BSnYPtZulyQ&amp;t=662s", "Go to time")</f>
        <v/>
      </c>
    </row>
    <row r="2907">
      <c r="A2907">
        <f>HYPERLINK("https://www.youtube.com/watch?v=BSnYPtZulyQ", "Video")</f>
        <v/>
      </c>
      <c r="B2907" t="inlineStr">
        <is>
          <t>11:04</t>
        </is>
      </c>
      <c r="C2907" t="inlineStr">
        <is>
          <t>duplicate rabbit reel it's anyway</t>
        </is>
      </c>
      <c r="D2907">
        <f>HYPERLINK("https://www.youtube.com/watch?v=BSnYPtZulyQ&amp;t=664s", "Go to time")</f>
        <v/>
      </c>
    </row>
    <row r="2908">
      <c r="A2908">
        <f>HYPERLINK("https://www.youtube.com/watch?v=BSnYPtZulyQ", "Video")</f>
        <v/>
      </c>
      <c r="B2908" t="inlineStr">
        <is>
          <t>11:09</t>
        </is>
      </c>
      <c r="C2908" t="inlineStr">
        <is>
          <t>what's the big deal the rabbits wait</t>
        </is>
      </c>
      <c r="D2908">
        <f>HYPERLINK("https://www.youtube.com/watch?v=BSnYPtZulyQ&amp;t=669s", "Go to time")</f>
        <v/>
      </c>
    </row>
    <row r="2909">
      <c r="A2909">
        <f>HYPERLINK("https://www.youtube.com/watch?v=BSnYPtZulyQ", "Video")</f>
        <v/>
      </c>
      <c r="B2909" t="inlineStr">
        <is>
          <t>11:23</t>
        </is>
      </c>
      <c r="C2909" t="inlineStr">
        <is>
          <t>I've always wanted a guard rabbit you</t>
        </is>
      </c>
      <c r="D2909">
        <f>HYPERLINK("https://www.youtube.com/watch?v=BSnYPtZulyQ&amp;t=683s", "Go to time")</f>
        <v/>
      </c>
    </row>
    <row r="2910">
      <c r="A2910">
        <f>HYPERLINK("https://www.youtube.com/watch?v=BSnYPtZulyQ", "Video")</f>
        <v/>
      </c>
      <c r="B2910" t="inlineStr">
        <is>
          <t>35:27</t>
        </is>
      </c>
      <c r="C2910" t="inlineStr">
        <is>
          <t>more up more down a tiny bit perfect</t>
        </is>
      </c>
      <c r="D2910">
        <f>HYPERLINK("https://www.youtube.com/watch?v=BSnYPtZulyQ&amp;t=2127s", "Go to time")</f>
        <v/>
      </c>
    </row>
    <row r="2911">
      <c r="A2911">
        <f>HYPERLINK("https://www.youtube.com/watch?v=BSnYPtZulyQ", "Video")</f>
        <v/>
      </c>
      <c r="B2911" t="inlineStr">
        <is>
          <t>64:32</t>
        </is>
      </c>
      <c r="C2911" t="inlineStr">
        <is>
          <t>so it's uh taking Gabe a little bit</t>
        </is>
      </c>
      <c r="D2911">
        <f>HYPERLINK("https://www.youtube.com/watch?v=BSnYPtZulyQ&amp;t=3872s", "Go to time")</f>
        <v/>
      </c>
    </row>
    <row r="2912">
      <c r="A2912">
        <f>HYPERLINK("https://www.youtube.com/watch?v=BSnYPtZulyQ", "Video")</f>
        <v/>
      </c>
      <c r="B2912" t="inlineStr">
        <is>
          <t>66:03</t>
        </is>
      </c>
      <c r="C2912" t="inlineStr">
        <is>
          <t>close my eyes take a bite grab a ride</t>
        </is>
      </c>
      <c r="D2912">
        <f>HYPERLINK("https://www.youtube.com/watch?v=BSnYPtZulyQ&amp;t=3963s", "Go to time")</f>
        <v/>
      </c>
    </row>
    <row r="2913">
      <c r="A2913">
        <f>HYPERLINK("https://www.youtube.com/watch?v=BSnYPtZulyQ", "Video")</f>
        <v/>
      </c>
      <c r="B2913" t="inlineStr">
        <is>
          <t>76:12</t>
        </is>
      </c>
      <c r="C2913" t="inlineStr">
        <is>
          <t>mosquito bites spelled out beware</t>
        </is>
      </c>
      <c r="D2913">
        <f>HYPERLINK("https://www.youtube.com/watch?v=BSnYPtZulyQ&amp;t=4572s", "Go to time")</f>
        <v/>
      </c>
    </row>
    <row r="2914">
      <c r="A2914">
        <f>HYPERLINK("https://www.youtube.com/watch?v=BSnYPtZulyQ", "Video")</f>
        <v/>
      </c>
      <c r="B2914" t="inlineStr">
        <is>
          <t>79:42</t>
        </is>
      </c>
      <c r="C2914" t="inlineStr">
        <is>
          <t>vehicle is strictly prohibited by</t>
        </is>
      </c>
      <c r="D2914">
        <f>HYPERLINK("https://www.youtube.com/watch?v=BSnYPtZulyQ&amp;t=4782s", "Go to time")</f>
        <v/>
      </c>
    </row>
    <row r="2915">
      <c r="A2915">
        <f>HYPERLINK("https://www.youtube.com/watch?v=BSnYPtZulyQ", "Video")</f>
        <v/>
      </c>
      <c r="B2915" t="inlineStr">
        <is>
          <t>89:01</t>
        </is>
      </c>
      <c r="C2915" t="inlineStr">
        <is>
          <t>and your eye on an exhibition</t>
        </is>
      </c>
      <c r="D2915">
        <f>HYPERLINK("https://www.youtube.com/watch?v=BSnYPtZulyQ&amp;t=5341s", "Go to time")</f>
        <v/>
      </c>
    </row>
    <row r="2916">
      <c r="A2916">
        <f>HYPERLINK("https://www.youtube.com/watch?v=BSnYPtZulyQ", "Video")</f>
        <v/>
      </c>
      <c r="B2916" t="inlineStr">
        <is>
          <t>89:24</t>
        </is>
      </c>
      <c r="C2916" t="inlineStr">
        <is>
          <t>little bit nope good riddance</t>
        </is>
      </c>
      <c r="D2916">
        <f>HYPERLINK("https://www.youtube.com/watch?v=BSnYPtZulyQ&amp;t=5364s", "Go to time")</f>
        <v/>
      </c>
    </row>
    <row r="2917">
      <c r="A2917">
        <f>HYPERLINK("https://www.youtube.com/watch?v=NznW8aPi9xw", "Video")</f>
        <v/>
      </c>
      <c r="B2917" t="inlineStr">
        <is>
          <t>0:02</t>
        </is>
      </c>
      <c r="C2917" t="inlineStr">
        <is>
          <t>bite from Jesse right</t>
        </is>
      </c>
      <c r="D2917">
        <f>HYPERLINK("https://www.youtube.com/watch?v=NznW8aPi9xw&amp;t=2s", "Go to time")</f>
        <v/>
      </c>
    </row>
    <row r="2918">
      <c r="A2918">
        <f>HYPERLINK("https://www.youtube.com/watch?v=GEWsIrCqGEc", "Video")</f>
        <v/>
      </c>
      <c r="B2918" t="inlineStr">
        <is>
          <t>0:38</t>
        </is>
      </c>
      <c r="C2918" t="inlineStr">
        <is>
          <t>his tail is actually almost a little bit</t>
        </is>
      </c>
      <c r="D2918">
        <f>HYPERLINK("https://www.youtube.com/watch?v=GEWsIrCqGEc&amp;t=38s", "Go to time")</f>
        <v/>
      </c>
    </row>
    <row r="2919">
      <c r="A2919">
        <f>HYPERLINK("https://www.youtube.com/watch?v=-MMaYrzrAE4", "Video")</f>
        <v/>
      </c>
      <c r="B2919" t="inlineStr">
        <is>
          <t>0:00</t>
        </is>
      </c>
      <c r="C2919" t="inlineStr">
        <is>
          <t>here's a Disney Channel mini bite from</t>
        </is>
      </c>
      <c r="D2919">
        <f>HYPERLINK("https://www.youtube.com/watch?v=-MMaYrzrAE4&amp;t=0s", "Go to time")</f>
        <v/>
      </c>
    </row>
    <row r="2920">
      <c r="A2920">
        <f>HYPERLINK("https://www.youtube.com/watch?v=OA13xcT6yYc", "Video")</f>
        <v/>
      </c>
      <c r="B2920" t="inlineStr">
        <is>
          <t>1:01</t>
        </is>
      </c>
      <c r="C2920" t="inlineStr">
        <is>
          <t>i guess i'm just feeling a bit jumpy</t>
        </is>
      </c>
      <c r="D2920">
        <f>HYPERLINK("https://www.youtube.com/watch?v=OA13xcT6yYc&amp;t=61s", "Go to time")</f>
        <v/>
      </c>
    </row>
    <row r="2921">
      <c r="A2921">
        <f>HYPERLINK("https://www.youtube.com/watch?v=isihhwoU0mQ", "Video")</f>
        <v/>
      </c>
      <c r="B2921" t="inlineStr">
        <is>
          <t>7:21</t>
        </is>
      </c>
      <c r="C2921" t="inlineStr">
        <is>
          <t>exhibit a</t>
        </is>
      </c>
      <c r="D2921">
        <f>HYPERLINK("https://www.youtube.com/watch?v=isihhwoU0mQ&amp;t=441s", "Go to time")</f>
        <v/>
      </c>
    </row>
    <row r="2922">
      <c r="A2922">
        <f>HYPERLINK("https://www.youtube.com/watch?v=ZePA3wHIQGA", "Video")</f>
        <v/>
      </c>
      <c r="B2922" t="inlineStr">
        <is>
          <t>0:00</t>
        </is>
      </c>
      <c r="C2922" t="inlineStr">
        <is>
          <t>Disney Channel's got a mini bite from</t>
        </is>
      </c>
      <c r="D2922">
        <f>HYPERLINK("https://www.youtube.com/watch?v=ZePA3wHIQGA&amp;t=0s", "Go to time")</f>
        <v/>
      </c>
    </row>
    <row r="2923">
      <c r="A2923">
        <f>HYPERLINK("https://www.youtube.com/watch?v=xN84aW0JrBk", "Video")</f>
        <v/>
      </c>
      <c r="B2923" t="inlineStr">
        <is>
          <t>0:31</t>
        </is>
      </c>
      <c r="C2923" t="inlineStr">
        <is>
          <t>little bit frumpy</t>
        </is>
      </c>
      <c r="D2923">
        <f>HYPERLINK("https://www.youtube.com/watch?v=xN84aW0JrBk&amp;t=31s", "Go to time")</f>
        <v/>
      </c>
    </row>
    <row r="2924">
      <c r="A2924">
        <f>HYPERLINK("https://www.youtube.com/watch?v=01vfFaJW8TQ", "Video")</f>
        <v/>
      </c>
      <c r="B2924" t="inlineStr">
        <is>
          <t>0:19</t>
        </is>
      </c>
      <c r="C2924" t="inlineStr">
        <is>
          <t>me which makes it Bittersweet to know</t>
        </is>
      </c>
      <c r="D2924">
        <f>HYPERLINK("https://www.youtube.com/watch?v=01vfFaJW8TQ&amp;t=19s", "Go to time")</f>
        <v/>
      </c>
    </row>
    <row r="2925">
      <c r="A2925">
        <f>HYPERLINK("https://www.youtube.com/watch?v=01vfFaJW8TQ", "Video")</f>
        <v/>
      </c>
      <c r="B2925" t="inlineStr">
        <is>
          <t>0:50</t>
        </is>
      </c>
      <c r="C2925" t="inlineStr">
        <is>
          <t>overly ambitious kid and now I'm an</t>
        </is>
      </c>
      <c r="D2925">
        <f>HYPERLINK("https://www.youtube.com/watch?v=01vfFaJW8TQ&amp;t=50s", "Go to time")</f>
        <v/>
      </c>
    </row>
    <row r="2926">
      <c r="A2926">
        <f>HYPERLINK("https://www.youtube.com/watch?v=01vfFaJW8TQ", "Video")</f>
        <v/>
      </c>
      <c r="B2926" t="inlineStr">
        <is>
          <t>0:53</t>
        </is>
      </c>
      <c r="C2926" t="inlineStr">
        <is>
          <t>intense perfectionist overly ambitious</t>
        </is>
      </c>
      <c r="D2926">
        <f>HYPERLINK("https://www.youtube.com/watch?v=01vfFaJW8TQ&amp;t=53s", "Go to time")</f>
        <v/>
      </c>
    </row>
    <row r="2927">
      <c r="A2927">
        <f>HYPERLINK("https://www.youtube.com/watch?v=Xvt56NbLB2c", "Video")</f>
        <v/>
      </c>
      <c r="B2927" t="inlineStr">
        <is>
          <t>8:12</t>
        </is>
      </c>
      <c r="C2927" t="inlineStr">
        <is>
          <t>-[groans]
-A bit of a klutz?</t>
        </is>
      </c>
      <c r="D2927">
        <f>HYPERLINK("https://www.youtube.com/watch?v=Xvt56NbLB2c&amp;t=492s", "Go to time")</f>
        <v/>
      </c>
    </row>
    <row r="2928">
      <c r="A2928">
        <f>HYPERLINK("https://www.youtube.com/watch?v=aaxlYSyg17Q", "Video")</f>
        <v/>
      </c>
      <c r="B2928" t="inlineStr">
        <is>
          <t>0:35</t>
        </is>
      </c>
      <c r="C2928" t="inlineStr">
        <is>
          <t>movie I think she's got a little bit</t>
        </is>
      </c>
      <c r="D2928">
        <f>HYPERLINK("https://www.youtube.com/watch?v=aaxlYSyg17Q&amp;t=35s", "Go to time")</f>
        <v/>
      </c>
    </row>
    <row r="2929">
      <c r="A2929">
        <f>HYPERLINK("https://www.youtube.com/watch?v=0yik4dLxnFQ", "Video")</f>
        <v/>
      </c>
      <c r="B2929" t="inlineStr">
        <is>
          <t>3:21</t>
        </is>
      </c>
      <c r="C2929" t="inlineStr">
        <is>
          <t>mummy werewolf it can like bite you and</t>
        </is>
      </c>
      <c r="D2929">
        <f>HYPERLINK("https://www.youtube.com/watch?v=0yik4dLxnFQ&amp;t=201s", "Go to time")</f>
        <v/>
      </c>
    </row>
    <row r="2930">
      <c r="A2930">
        <f>HYPERLINK("https://www.youtube.com/watch?v=lQPEv3YnuPY", "Video")</f>
        <v/>
      </c>
      <c r="B2930" t="inlineStr">
        <is>
          <t>0:08</t>
        </is>
      </c>
      <c r="C2930" t="inlineStr">
        <is>
          <t>in a bit of a pickle</t>
        </is>
      </c>
      <c r="D2930">
        <f>HYPERLINK("https://www.youtube.com/watch?v=lQPEv3YnuPY&amp;t=8s", "Go to time")</f>
        <v/>
      </c>
    </row>
    <row r="2931">
      <c r="A2931">
        <f>HYPERLINK("https://www.youtube.com/watch?v=lQPEv3YnuPY", "Video")</f>
        <v/>
      </c>
      <c r="B2931" t="inlineStr">
        <is>
          <t>1:58</t>
        </is>
      </c>
      <c r="C2931" t="inlineStr">
        <is>
          <t>little bit</t>
        </is>
      </c>
      <c r="D2931">
        <f>HYPERLINK("https://www.youtube.com/watch?v=lQPEv3YnuPY&amp;t=118s", "Go to time")</f>
        <v/>
      </c>
    </row>
    <row r="2932">
      <c r="A2932">
        <f>HYPERLINK("https://www.youtube.com/watch?v=N6imFVmprX0", "Video")</f>
        <v/>
      </c>
      <c r="B2932" t="inlineStr">
        <is>
          <t>6:08</t>
        </is>
      </c>
      <c r="C2932" t="inlineStr">
        <is>
          <t>need a little bit of boogie okay how</t>
        </is>
      </c>
      <c r="D2932">
        <f>HYPERLINK("https://www.youtube.com/watch?v=N6imFVmprX0&amp;t=368s", "Go to time")</f>
        <v/>
      </c>
    </row>
    <row r="2933">
      <c r="A2933">
        <f>HYPERLINK("https://www.youtube.com/watch?v=azbwGcFcRSk", "Video")</f>
        <v/>
      </c>
      <c r="B2933" t="inlineStr">
        <is>
          <t>3:11</t>
        </is>
      </c>
      <c r="C2933" t="inlineStr">
        <is>
          <t>why are you biting me you food humans</t>
        </is>
      </c>
      <c r="D2933">
        <f>HYPERLINK("https://www.youtube.com/watch?v=azbwGcFcRSk&amp;t=191s", "Go to time")</f>
        <v/>
      </c>
    </row>
    <row r="2934">
      <c r="A2934">
        <f>HYPERLINK("https://www.youtube.com/watch?v=tgppHkBxvTk", "Video")</f>
        <v/>
      </c>
      <c r="B2934" t="inlineStr">
        <is>
          <t>0:51</t>
        </is>
      </c>
      <c r="C2934" t="inlineStr">
        <is>
          <t>a bite out of a raw onion like an apple</t>
        </is>
      </c>
      <c r="D2934">
        <f>HYPERLINK("https://www.youtube.com/watch?v=tgppHkBxvTk&amp;t=51s", "Go to time")</f>
        <v/>
      </c>
    </row>
    <row r="2935">
      <c r="A2935">
        <f>HYPERLINK("https://www.youtube.com/watch?v=JGZA7khSWNg", "Video")</f>
        <v/>
      </c>
      <c r="B2935" t="inlineStr">
        <is>
          <t>0:00</t>
        </is>
      </c>
      <c r="C2935" t="inlineStr">
        <is>
          <t>here's a Disney Channel mini bite from</t>
        </is>
      </c>
      <c r="D2935">
        <f>HYPERLINK("https://www.youtube.com/watch?v=JGZA7khSWNg&amp;t=0s", "Go to time")</f>
        <v/>
      </c>
    </row>
    <row r="2936">
      <c r="A2936">
        <f>HYPERLINK("https://www.youtube.com/watch?v=e_hV6jHwMI0", "Video")</f>
        <v/>
      </c>
      <c r="B2936" t="inlineStr">
        <is>
          <t>2:35</t>
        </is>
      </c>
      <c r="C2936" t="inlineStr">
        <is>
          <t>are you okay never bitter</t>
        </is>
      </c>
      <c r="D2936">
        <f>HYPERLINK("https://www.youtube.com/watch?v=e_hV6jHwMI0&amp;t=155s", "Go to time")</f>
        <v/>
      </c>
    </row>
    <row r="2937">
      <c r="A2937">
        <f>HYPERLINK("https://www.youtube.com/watch?v=2heO-m7XuLs", "Video")</f>
        <v/>
      </c>
      <c r="B2937" t="inlineStr">
        <is>
          <t>1:16</t>
        </is>
      </c>
      <c r="C2937" t="inlineStr">
        <is>
          <t>karate and fighting and biting and</t>
        </is>
      </c>
      <c r="D2937">
        <f>HYPERLINK("https://www.youtube.com/watch?v=2heO-m7XuLs&amp;t=76s", "Go to time")</f>
        <v/>
      </c>
    </row>
    <row r="2938">
      <c r="A2938">
        <f>HYPERLINK("https://www.youtube.com/watch?v=AWjnU01DORs", "Video")</f>
        <v/>
      </c>
      <c r="B2938" t="inlineStr">
        <is>
          <t>11:58</t>
        </is>
      </c>
      <c r="C2938" t="inlineStr">
        <is>
          <t>Ow!
I know I might've
come on a bit strong,</t>
        </is>
      </c>
      <c r="D2938">
        <f>HYPERLINK("https://www.youtube.com/watch?v=AWjnU01DORs&amp;t=718s", "Go to time")</f>
        <v/>
      </c>
    </row>
    <row r="2939">
      <c r="A2939">
        <f>HYPERLINK("https://www.youtube.com/watch?v=AWjnU01DORs", "Video")</f>
        <v/>
      </c>
      <c r="B2939" t="inlineStr">
        <is>
          <t>12:30</t>
        </is>
      </c>
      <c r="C2939" t="inlineStr">
        <is>
          <t>you'll have to accept that,
and back off a bit.</t>
        </is>
      </c>
      <c r="D2939">
        <f>HYPERLINK("https://www.youtube.com/watch?v=AWjnU01DORs&amp;t=750s", "Go to time")</f>
        <v/>
      </c>
    </row>
    <row r="2940">
      <c r="A2940">
        <f>HYPERLINK("https://www.youtube.com/watch?v=SqJlo6L4u8s", "Video")</f>
        <v/>
      </c>
      <c r="B2940" t="inlineStr">
        <is>
          <t>16:34</t>
        </is>
      </c>
      <c r="C2940" t="inlineStr">
        <is>
          <t>Nope, this Halloween
tale is a bit more groovy.</t>
        </is>
      </c>
      <c r="D2940">
        <f>HYPERLINK("https://www.youtube.com/watch?v=SqJlo6L4u8s&amp;t=994s", "Go to time")</f>
        <v/>
      </c>
    </row>
    <row r="2941">
      <c r="A2941">
        <f>HYPERLINK("https://www.youtube.com/watch?v=GQmCQHbEB6w", "Video")</f>
        <v/>
      </c>
      <c r="B2941" t="inlineStr">
        <is>
          <t>0:28</t>
        </is>
      </c>
      <c r="C2941" t="inlineStr">
        <is>
          <t>though none of it scream when you bite</t>
        </is>
      </c>
      <c r="D2941">
        <f>HYPERLINK("https://www.youtube.com/watch?v=GQmCQHbEB6w&amp;t=28s", "Go to time")</f>
        <v/>
      </c>
    </row>
    <row r="2942">
      <c r="A2942">
        <f>HYPERLINK("https://www.youtube.com/watch?v=3QBDz6wbKt0", "Video")</f>
        <v/>
      </c>
      <c r="B2942" t="inlineStr">
        <is>
          <t>0:53</t>
        </is>
      </c>
      <c r="C2942" t="inlineStr">
        <is>
          <t>- All DJs are a bit mad.
- Because?</t>
        </is>
      </c>
      <c r="D2942">
        <f>HYPERLINK("https://www.youtube.com/watch?v=3QBDz6wbKt0&amp;t=53s", "Go to time")</f>
        <v/>
      </c>
    </row>
    <row r="2943">
      <c r="A2943">
        <f>HYPERLINK("https://www.youtube.com/watch?v=lVV6M8ZPnoQ", "Video")</f>
        <v/>
      </c>
      <c r="B2943" t="inlineStr">
        <is>
          <t>0:10</t>
        </is>
      </c>
      <c r="C2943" t="inlineStr">
        <is>
          <t>ON THIS VACATION
A LITTLE BIT?</t>
        </is>
      </c>
      <c r="D2943">
        <f>HYPERLINK("https://www.youtube.com/watch?v=lVV6M8ZPnoQ&amp;t=10s", "Go to time")</f>
        <v/>
      </c>
    </row>
    <row r="2944">
      <c r="A2944">
        <f>HYPERLINK("https://www.youtube.com/watch?v=lVV6M8ZPnoQ", "Video")</f>
        <v/>
      </c>
      <c r="B2944" t="inlineStr">
        <is>
          <t>4:21</t>
        </is>
      </c>
      <c r="C2944" t="inlineStr">
        <is>
          <t>AND EXHIBITION
CENTER, JAKEY.</t>
        </is>
      </c>
      <c r="D2944">
        <f>HYPERLINK("https://www.youtube.com/watch?v=lVV6M8ZPnoQ&amp;t=261s", "Go to time")</f>
        <v/>
      </c>
    </row>
    <row r="2945">
      <c r="A2945">
        <f>HYPERLINK("https://www.youtube.com/watch?v=oDr5dJQ-thQ", "Video")</f>
        <v/>
      </c>
      <c r="B2945" t="inlineStr">
        <is>
          <t>0:00</t>
        </is>
      </c>
      <c r="C2945" t="inlineStr">
        <is>
          <t>And now, a tasty mini bite from Sunny</t>
        </is>
      </c>
      <c r="D2945">
        <f>HYPERLINK("https://www.youtube.com/watch?v=oDr5dJQ-thQ&amp;t=0s", "Go to time")</f>
        <v/>
      </c>
    </row>
    <row r="2946">
      <c r="A2946">
        <f>HYPERLINK("https://www.youtube.com/watch?v=z5Lxi49qPrQ", "Video")</f>
        <v/>
      </c>
      <c r="B2946" t="inlineStr">
        <is>
          <t>6:42</t>
        </is>
      </c>
      <c r="C2946" t="inlineStr">
        <is>
          <t>(clapping)
Great story. Could've used
a bit more conflict,</t>
        </is>
      </c>
      <c r="D2946">
        <f>HYPERLINK("https://www.youtube.com/watch?v=z5Lxi49qPrQ&amp;t=402s", "Go to time")</f>
        <v/>
      </c>
    </row>
    <row r="2947">
      <c r="A2947">
        <f>HYPERLINK("https://www.youtube.com/watch?v=2tkGrDcvFew", "Video")</f>
        <v/>
      </c>
      <c r="B2947" t="inlineStr">
        <is>
          <t>3:02</t>
        </is>
      </c>
      <c r="C2947" t="inlineStr">
        <is>
          <t>I was in a bit of a bind</t>
        </is>
      </c>
      <c r="D2947">
        <f>HYPERLINK("https://www.youtube.com/watch?v=2tkGrDcvFew&amp;t=182s", "Go to time")</f>
        <v/>
      </c>
    </row>
    <row r="2948">
      <c r="A2948">
        <f>HYPERLINK("https://www.youtube.com/watch?v=YoU97NsQg3I", "Video")</f>
        <v/>
      </c>
      <c r="B2948" t="inlineStr">
        <is>
          <t>0:54</t>
        </is>
      </c>
      <c r="C2948" t="inlineStr">
        <is>
          <t>bit right he does right i do okay you</t>
        </is>
      </c>
      <c r="D2948">
        <f>HYPERLINK("https://www.youtube.com/watch?v=YoU97NsQg3I&amp;t=54s", "Go to time")</f>
        <v/>
      </c>
    </row>
    <row r="2949">
      <c r="A2949">
        <f>HYPERLINK("https://www.youtube.com/watch?v=YoU97NsQg3I", "Video")</f>
        <v/>
      </c>
      <c r="B2949" t="inlineStr">
        <is>
          <t>4:08</t>
        </is>
      </c>
      <c r="C2949" t="inlineStr">
        <is>
          <t>your bottom lip is a tad bit bigger than</t>
        </is>
      </c>
      <c r="D2949">
        <f>HYPERLINK("https://www.youtube.com/watch?v=YoU97NsQg3I&amp;t=248s", "Go to time")</f>
        <v/>
      </c>
    </row>
    <row r="2950">
      <c r="A2950">
        <f>HYPERLINK("https://www.youtube.com/watch?v=yblvA-xe6Dg", "Video")</f>
        <v/>
      </c>
      <c r="B2950" t="inlineStr">
        <is>
          <t>0:16</t>
        </is>
      </c>
      <c r="C2950" t="inlineStr">
        <is>
          <t>to do some dancing a little bit of the</t>
        </is>
      </c>
      <c r="D2950">
        <f>HYPERLINK("https://www.youtube.com/watch?v=yblvA-xe6Dg&amp;t=16s", "Go to time")</f>
        <v/>
      </c>
    </row>
    <row r="2951">
      <c r="A2951">
        <f>HYPERLINK("https://www.youtube.com/watch?v=Udi-gmBL5io", "Video")</f>
        <v/>
      </c>
      <c r="B2951" t="inlineStr">
        <is>
          <t>0:00</t>
        </is>
      </c>
      <c r="C2951" t="inlineStr">
        <is>
          <t>here's a disney channel mini bite from</t>
        </is>
      </c>
      <c r="D2951">
        <f>HYPERLINK("https://www.youtube.com/watch?v=Udi-gmBL5io&amp;t=0s", "Go to time")</f>
        <v/>
      </c>
    </row>
    <row r="2952">
      <c r="A2952">
        <f>HYPERLINK("https://www.youtube.com/watch?v=p2xC_R_zghk", "Video")</f>
        <v/>
      </c>
      <c r="B2952" t="inlineStr">
        <is>
          <t>0:18</t>
        </is>
      </c>
      <c r="C2952" t="inlineStr">
        <is>
          <t>- Mixed it up a little bit.
- Okay. You're right.</t>
        </is>
      </c>
      <c r="D2952">
        <f>HYPERLINK("https://www.youtube.com/watch?v=p2xC_R_zghk&amp;t=18s", "Go to time")</f>
        <v/>
      </c>
    </row>
    <row r="2953">
      <c r="A2953">
        <f>HYPERLINK("https://www.youtube.com/watch?v=QUqZQzD4Qhk", "Video")</f>
        <v/>
      </c>
      <c r="B2953" t="inlineStr">
        <is>
          <t>9:30</t>
        </is>
      </c>
      <c r="C2953" t="inlineStr">
        <is>
          <t>But shouldn't you
be setting up your exhibit?</t>
        </is>
      </c>
      <c r="D2953">
        <f>HYPERLINK("https://www.youtube.com/watch?v=QUqZQzD4Qhk&amp;t=570s", "Go to time")</f>
        <v/>
      </c>
    </row>
    <row r="2954">
      <c r="A2954">
        <f>HYPERLINK("https://www.youtube.com/watch?v=QUqZQzD4Qhk", "Video")</f>
        <v/>
      </c>
      <c r="B2954" t="inlineStr">
        <is>
          <t>20:09</t>
        </is>
      </c>
      <c r="C2954" t="inlineStr">
        <is>
          <t>Thanks. And, Varian,
about putting my own ambition</t>
        </is>
      </c>
      <c r="D2954">
        <f>HYPERLINK("https://www.youtube.com/watch?v=QUqZQzD4Qhk&amp;t=1209s", "Go to time")</f>
        <v/>
      </c>
    </row>
    <row r="2955">
      <c r="A2955">
        <f>HYPERLINK("https://www.youtube.com/watch?v=dz-ajVp4QBY", "Video")</f>
        <v/>
      </c>
      <c r="B2955" t="inlineStr">
        <is>
          <t>0:00</t>
        </is>
      </c>
      <c r="C2955" t="inlineStr">
        <is>
          <t>here's a Disney Channel mini bite from</t>
        </is>
      </c>
      <c r="D2955">
        <f>HYPERLINK("https://www.youtube.com/watch?v=dz-ajVp4QBY&amp;t=0s", "Go to time")</f>
        <v/>
      </c>
    </row>
    <row r="2956">
      <c r="A2956">
        <f>HYPERLINK("https://www.youtube.com/watch?v=80pZQA8ZGsc", "Video")</f>
        <v/>
      </c>
      <c r="B2956" t="inlineStr">
        <is>
          <t>2:47</t>
        </is>
      </c>
      <c r="C2956" t="inlineStr">
        <is>
          <t>a little bit over the top a little more</t>
        </is>
      </c>
      <c r="D2956">
        <f>HYPERLINK("https://www.youtube.com/watch?v=80pZQA8ZGsc&amp;t=167s", "Go to time")</f>
        <v/>
      </c>
    </row>
    <row r="2957">
      <c r="A2957">
        <f>HYPERLINK("https://www.youtube.com/watch?v=80pZQA8ZGsc", "Video")</f>
        <v/>
      </c>
      <c r="B2957" t="inlineStr">
        <is>
          <t>2:49</t>
        </is>
      </c>
      <c r="C2957" t="inlineStr">
        <is>
          <t>than a little bit</t>
        </is>
      </c>
      <c r="D2957">
        <f>HYPERLINK("https://www.youtube.com/watch?v=80pZQA8ZGsc&amp;t=169s", "Go to time")</f>
        <v/>
      </c>
    </row>
    <row r="2958">
      <c r="A2958">
        <f>HYPERLINK("https://www.youtube.com/watch?v=Hc5m3F7Rfy4", "Video")</f>
        <v/>
      </c>
      <c r="B2958" t="inlineStr">
        <is>
          <t>11:45</t>
        </is>
      </c>
      <c r="C2958" t="inlineStr">
        <is>
          <t>the everything is fine go have a bite</t>
        </is>
      </c>
      <c r="D2958">
        <f>HYPERLINK("https://www.youtube.com/watch?v=Hc5m3F7Rfy4&amp;t=705s", "Go to time")</f>
        <v/>
      </c>
    </row>
    <row r="2959">
      <c r="A2959">
        <f>HYPERLINK("https://www.youtube.com/watch?v=Asd2_UFvqik", "Video")</f>
        <v/>
      </c>
      <c r="B2959" t="inlineStr">
        <is>
          <t>0:02</t>
        </is>
      </c>
      <c r="C2959" t="inlineStr">
        <is>
          <t>mini bite from an all new Sweet Life on</t>
        </is>
      </c>
      <c r="D2959">
        <f>HYPERLINK("https://www.youtube.com/watch?v=Asd2_UFvqik&amp;t=2s", "Go to time")</f>
        <v/>
      </c>
    </row>
    <row r="2960">
      <c r="A2960">
        <f>HYPERLINK("https://www.youtube.com/watch?v=8UV7fTpCi9M", "Video")</f>
        <v/>
      </c>
      <c r="B2960" t="inlineStr">
        <is>
          <t>9:35</t>
        </is>
      </c>
      <c r="C2960" t="inlineStr">
        <is>
          <t>bit but here he is safe and sound that's</t>
        </is>
      </c>
      <c r="D2960">
        <f>HYPERLINK("https://www.youtube.com/watch?v=8UV7fTpCi9M&amp;t=575s", "Go to time")</f>
        <v/>
      </c>
    </row>
    <row r="2961">
      <c r="A2961">
        <f>HYPERLINK("https://www.youtube.com/watch?v=kODwZy2NCyE", "Video")</f>
        <v/>
      </c>
      <c r="B2961" t="inlineStr">
        <is>
          <t>2:15</t>
        </is>
      </c>
      <c r="C2961" t="inlineStr">
        <is>
          <t>debit</t>
        </is>
      </c>
      <c r="D2961">
        <f>HYPERLINK("https://www.youtube.com/watch?v=kODwZy2NCyE&amp;t=135s", "Go to time")</f>
        <v/>
      </c>
    </row>
    <row r="2962">
      <c r="A2962">
        <f>HYPERLINK("https://www.youtube.com/watch?v=YNaLI0V7_uo", "Video")</f>
        <v/>
      </c>
      <c r="B2962" t="inlineStr">
        <is>
          <t>0:31</t>
        </is>
      </c>
      <c r="C2962" t="inlineStr">
        <is>
          <t>a rumpus with a little bit of work could</t>
        </is>
      </c>
      <c r="D2962">
        <f>HYPERLINK("https://www.youtube.com/watch?v=YNaLI0V7_uo&amp;t=31s", "Go to time")</f>
        <v/>
      </c>
    </row>
    <row r="2963">
      <c r="A2963">
        <f>HYPERLINK("https://www.youtube.com/watch?v=_njxJKdqQzk", "Video")</f>
        <v/>
      </c>
      <c r="B2963" t="inlineStr">
        <is>
          <t>9:13</t>
        </is>
      </c>
      <c r="C2963" t="inlineStr">
        <is>
          <t>But you can't fit all of them
in your rabbit tummy.</t>
        </is>
      </c>
      <c r="D2963">
        <f>HYPERLINK("https://www.youtube.com/watch?v=_njxJKdqQzk&amp;t=553s", "Go to time")</f>
        <v/>
      </c>
    </row>
    <row r="2964">
      <c r="A2964">
        <f>HYPERLINK("https://www.youtube.com/watch?v=J9B7KupN5f8", "Video")</f>
        <v/>
      </c>
      <c r="B2964" t="inlineStr">
        <is>
          <t>1:24</t>
        </is>
      </c>
      <c r="C2964" t="inlineStr">
        <is>
          <t>bit reckless</t>
        </is>
      </c>
      <c r="D2964">
        <f>HYPERLINK("https://www.youtube.com/watch?v=J9B7KupN5f8&amp;t=84s", "Go to time")</f>
        <v/>
      </c>
    </row>
    <row r="2965">
      <c r="A2965">
        <f>HYPERLINK("https://www.youtube.com/watch?v=IjZ38nE1xtI", "Video")</f>
        <v/>
      </c>
      <c r="B2965" t="inlineStr">
        <is>
          <t>0:00</t>
        </is>
      </c>
      <c r="C2965" t="inlineStr">
        <is>
          <t>here's a Disney Channel mini bite from</t>
        </is>
      </c>
      <c r="D2965">
        <f>HYPERLINK("https://www.youtube.com/watch?v=IjZ38nE1xtI&amp;t=0s", "Go to time")</f>
        <v/>
      </c>
    </row>
    <row r="2966">
      <c r="A2966">
        <f>HYPERLINK("https://www.youtube.com/watch?v=l6UWWCnpL38", "Video")</f>
        <v/>
      </c>
      <c r="B2966" t="inlineStr">
        <is>
          <t>0:08</t>
        </is>
      </c>
      <c r="C2966" t="inlineStr">
        <is>
          <t>One smelly rabbit</t>
        </is>
      </c>
      <c r="D2966">
        <f>HYPERLINK("https://www.youtube.com/watch?v=l6UWWCnpL38&amp;t=8s", "Go to time")</f>
        <v/>
      </c>
    </row>
    <row r="2967">
      <c r="A2967">
        <f>HYPERLINK("https://www.youtube.com/watch?v=l6UWWCnpL38", "Video")</f>
        <v/>
      </c>
      <c r="B2967" t="inlineStr">
        <is>
          <t>2:42</t>
        </is>
      </c>
      <c r="C2967" t="inlineStr">
        <is>
          <t>too taxing on that
flea-bitten brain of yours.</t>
        </is>
      </c>
      <c r="D2967">
        <f>HYPERLINK("https://www.youtube.com/watch?v=l6UWWCnpL38&amp;t=162s", "Go to time")</f>
        <v/>
      </c>
    </row>
    <row r="2968">
      <c r="A2968">
        <f>HYPERLINK("https://www.youtube.com/watch?v=l6UWWCnpL38", "Video")</f>
        <v/>
      </c>
      <c r="B2968" t="inlineStr">
        <is>
          <t>3:57</t>
        </is>
      </c>
      <c r="C2968" t="inlineStr">
        <is>
          <t>You aren't in need of hands,
you rabbit-eating cannibal, you.</t>
        </is>
      </c>
      <c r="D2968">
        <f>HYPERLINK("https://www.youtube.com/watch?v=l6UWWCnpL38&amp;t=237s", "Go to time")</f>
        <v/>
      </c>
    </row>
    <row r="2969">
      <c r="A2969">
        <f>HYPERLINK("https://www.youtube.com/watch?v=l6UWWCnpL38", "Video")</f>
        <v/>
      </c>
      <c r="B2969" t="inlineStr">
        <is>
          <t>14:55</t>
        </is>
      </c>
      <c r="C2969" t="inlineStr">
        <is>
          <t>You are my little bitty baby.</t>
        </is>
      </c>
      <c r="D2969">
        <f>HYPERLINK("https://www.youtube.com/watch?v=l6UWWCnpL38&amp;t=895s", "Go to time")</f>
        <v/>
      </c>
    </row>
    <row r="2970">
      <c r="A2970">
        <f>HYPERLINK("https://www.youtube.com/watch?v=l6UWWCnpL38", "Video")</f>
        <v/>
      </c>
      <c r="B2970" t="inlineStr">
        <is>
          <t>15:40</t>
        </is>
      </c>
      <c r="C2970" t="inlineStr">
        <is>
          <t>Once upon a time, there
was this handsome rabbit.</t>
        </is>
      </c>
      <c r="D2970">
        <f>HYPERLINK("https://www.youtube.com/watch?v=l6UWWCnpL38&amp;t=940s", "Go to time")</f>
        <v/>
      </c>
    </row>
    <row r="2971">
      <c r="A2971">
        <f>HYPERLINK("https://www.youtube.com/watch?v=37PVlofuuQ0", "Video")</f>
        <v/>
      </c>
      <c r="B2971" t="inlineStr">
        <is>
          <t>10:04</t>
        </is>
      </c>
      <c r="C2971" t="inlineStr">
        <is>
          <t>I mean,
I know it's a bit awkward,</t>
        </is>
      </c>
      <c r="D2971">
        <f>HYPERLINK("https://www.youtube.com/watch?v=37PVlofuuQ0&amp;t=604s", "Go to time")</f>
        <v/>
      </c>
    </row>
    <row r="2972">
      <c r="A2972">
        <f>HYPERLINK("https://www.youtube.com/watch?v=H4ip8q-jPsY", "Video")</f>
        <v/>
      </c>
      <c r="B2972" t="inlineStr">
        <is>
          <t>0:53</t>
        </is>
      </c>
      <c r="C2972" t="inlineStr">
        <is>
          <t>it was something a little bit extra that</t>
        </is>
      </c>
      <c r="D2972">
        <f>HYPERLINK("https://www.youtube.com/watch?v=H4ip8q-jPsY&amp;t=53s", "Go to time")</f>
        <v/>
      </c>
    </row>
    <row r="2973">
      <c r="A2973">
        <f>HYPERLINK("https://www.youtube.com/watch?v=rM1S9fOuy68", "Video")</f>
        <v/>
      </c>
      <c r="B2973" t="inlineStr">
        <is>
          <t>0:04</t>
        </is>
      </c>
      <c r="C2973" t="inlineStr">
        <is>
          <t>you haven't touched your dino bites</t>
        </is>
      </c>
      <c r="D2973">
        <f>HYPERLINK("https://www.youtube.com/watch?v=rM1S9fOuy68&amp;t=4s", "Go to time")</f>
        <v/>
      </c>
    </row>
    <row r="2974">
      <c r="A2974">
        <f>HYPERLINK("https://www.youtube.com/watch?v=0OzsbKe8V3M", "Video")</f>
        <v/>
      </c>
      <c r="B2974" t="inlineStr">
        <is>
          <t>0:24</t>
        </is>
      </c>
      <c r="C2974" t="inlineStr">
        <is>
          <t>oh hey Sunny there's a little bit more</t>
        </is>
      </c>
      <c r="D2974">
        <f>HYPERLINK("https://www.youtube.com/watch?v=0OzsbKe8V3M&amp;t=24s", "Go to time")</f>
        <v/>
      </c>
    </row>
    <row r="2975">
      <c r="A2975">
        <f>HYPERLINK("https://www.youtube.com/watch?v=-6GpD0NFovk", "Video")</f>
        <v/>
      </c>
      <c r="B2975" t="inlineStr">
        <is>
          <t>7:49</t>
        </is>
      </c>
      <c r="C2975" t="inlineStr">
        <is>
          <t>WE JUST SMEAR A LITTLE
BIT OF THIS ON,</t>
        </is>
      </c>
      <c r="D2975">
        <f>HYPERLINK("https://www.youtube.com/watch?v=-6GpD0NFovk&amp;t=469s", "Go to time")</f>
        <v/>
      </c>
    </row>
    <row r="2976">
      <c r="A2976">
        <f>HYPERLINK("https://www.youtube.com/watch?v=-6GpD0NFovk", "Video")</f>
        <v/>
      </c>
      <c r="B2976" t="inlineStr">
        <is>
          <t>8:12</t>
        </is>
      </c>
      <c r="C2976" t="inlineStr">
        <is>
          <t>AND A TOWEL FOR YOU
TO BITE ON.</t>
        </is>
      </c>
      <c r="D2976">
        <f>HYPERLINK("https://www.youtube.com/watch?v=-6GpD0NFovk&amp;t=492s", "Go to time")</f>
        <v/>
      </c>
    </row>
    <row r="2977">
      <c r="A2977">
        <f>HYPERLINK("https://www.youtube.com/watch?v=0W28zuVa0_k", "Video")</f>
        <v/>
      </c>
      <c r="B2977" t="inlineStr">
        <is>
          <t>19:11</t>
        </is>
      </c>
      <c r="C2977" t="inlineStr">
        <is>
          <t>drum the worst part was it tried to bite</t>
        </is>
      </c>
      <c r="D2977">
        <f>HYPERLINK("https://www.youtube.com/watch?v=0W28zuVa0_k&amp;t=1151s", "Go to time")</f>
        <v/>
      </c>
    </row>
    <row r="2978">
      <c r="A2978">
        <f>HYPERLINK("https://www.youtube.com/watch?v=deqwzP-KA6s", "Video")</f>
        <v/>
      </c>
      <c r="B2978" t="inlineStr">
        <is>
          <t>1:40</t>
        </is>
      </c>
      <c r="C2978" t="inlineStr">
        <is>
          <t>Hello!
Sorry about the flash.
A bit of a documenter.</t>
        </is>
      </c>
      <c r="D2978">
        <f>HYPERLINK("https://www.youtube.com/watch?v=deqwzP-KA6s&amp;t=100s", "Go to time")</f>
        <v/>
      </c>
    </row>
    <row r="2979">
      <c r="A2979">
        <f>HYPERLINK("https://www.youtube.com/watch?v=gP7AlgRKqTA", "Video")</f>
        <v/>
      </c>
      <c r="B2979" t="inlineStr">
        <is>
          <t>4:26</t>
        </is>
      </c>
      <c r="C2979" t="inlineStr">
        <is>
          <t>I'M ACTUALLY GOING TO
A DIFFERENT ART EXHIBIT.</t>
        </is>
      </c>
      <c r="D2979">
        <f>HYPERLINK("https://www.youtube.com/watch?v=gP7AlgRKqTA&amp;t=266s", "Go to time")</f>
        <v/>
      </c>
    </row>
    <row r="2980">
      <c r="A2980">
        <f>HYPERLINK("https://www.youtube.com/watch?v=cCupuTnNmQ0", "Video")</f>
        <v/>
      </c>
      <c r="B2980" t="inlineStr">
        <is>
          <t>0:55</t>
        </is>
      </c>
      <c r="C2980" t="inlineStr">
        <is>
          <t>Well, here's a phone call
that might explain a little bit.</t>
        </is>
      </c>
      <c r="D2980">
        <f>HYPERLINK("https://www.youtube.com/watch?v=cCupuTnNmQ0&amp;t=55s", "Go to time")</f>
        <v/>
      </c>
    </row>
    <row r="2981">
      <c r="A2981">
        <f>HYPERLINK("https://www.youtube.com/watch?v=cCupuTnNmQ0", "Video")</f>
        <v/>
      </c>
      <c r="B2981" t="inlineStr">
        <is>
          <t>7:27</t>
        </is>
      </c>
      <c r="C2981" t="inlineStr">
        <is>
          <t>There's just a little bit of daylight
on that short side.</t>
        </is>
      </c>
      <c r="D2981">
        <f>HYPERLINK("https://www.youtube.com/watch?v=cCupuTnNmQ0&amp;t=447s", "Go to time")</f>
        <v/>
      </c>
    </row>
    <row r="2982">
      <c r="A2982">
        <f>HYPERLINK("https://www.youtube.com/watch?v=rVgNAuIDHuo", "Video")</f>
        <v/>
      </c>
      <c r="B2982" t="inlineStr">
        <is>
          <t>4:09</t>
        </is>
      </c>
      <c r="C2982" t="inlineStr">
        <is>
          <t>little bit no i think we're good i could</t>
        </is>
      </c>
      <c r="D2982">
        <f>HYPERLINK("https://www.youtube.com/watch?v=rVgNAuIDHuo&amp;t=249s", "Go to time")</f>
        <v/>
      </c>
    </row>
    <row r="2983">
      <c r="A2983">
        <f>HYPERLINK("https://www.youtube.com/watch?v=rVgNAuIDHuo", "Video")</f>
        <v/>
      </c>
      <c r="B2983" t="inlineStr">
        <is>
          <t>4:21</t>
        </is>
      </c>
      <c r="C2983" t="inlineStr">
        <is>
          <t>oh i think i inhaled a little bit of it</t>
        </is>
      </c>
      <c r="D2983">
        <f>HYPERLINK("https://www.youtube.com/watch?v=rVgNAuIDHuo&amp;t=261s", "Go to time")</f>
        <v/>
      </c>
    </row>
    <row r="2984">
      <c r="A2984">
        <f>HYPERLINK("https://www.youtube.com/watch?v=gsCHKPTeV1M", "Video")</f>
        <v/>
      </c>
      <c r="B2984" t="inlineStr">
        <is>
          <t>24:05</t>
        </is>
      </c>
      <c r="C2984" t="inlineStr">
        <is>
          <t>turn into silly bits</t>
        </is>
      </c>
      <c r="D2984">
        <f>HYPERLINK("https://www.youtube.com/watch?v=gsCHKPTeV1M&amp;t=1445s", "Go to time")</f>
        <v/>
      </c>
    </row>
    <row r="2985">
      <c r="A2985">
        <f>HYPERLINK("https://www.youtube.com/watch?v=MEq2--uL6UY", "Video")</f>
        <v/>
      </c>
      <c r="B2985" t="inlineStr">
        <is>
          <t>0:29</t>
        </is>
      </c>
      <c r="C2985" t="inlineStr">
        <is>
          <t>players and learn a little bit more</t>
        </is>
      </c>
      <c r="D2985">
        <f>HYPERLINK("https://www.youtube.com/watch?v=MEq2--uL6UY&amp;t=29s", "Go to time")</f>
        <v/>
      </c>
    </row>
    <row r="2986">
      <c r="A2986">
        <f>HYPERLINK("https://www.youtube.com/watch?v=mFhe57-em6c", "Video")</f>
        <v/>
      </c>
      <c r="B2986" t="inlineStr">
        <is>
          <t>2:09</t>
        </is>
      </c>
      <c r="C2986" t="inlineStr">
        <is>
          <t>we'll have to hunt around a bit come on</t>
        </is>
      </c>
      <c r="D2986">
        <f>HYPERLINK("https://www.youtube.com/watch?v=mFhe57-em6c&amp;t=129s", "Go to time")</f>
        <v/>
      </c>
    </row>
    <row r="2987">
      <c r="A2987">
        <f>HYPERLINK("https://www.youtube.com/watch?v=t95W9-Jhv1I", "Video")</f>
        <v/>
      </c>
      <c r="B2987" t="inlineStr">
        <is>
          <t>0:46</t>
        </is>
      </c>
      <c r="C2987" t="inlineStr">
        <is>
          <t>the exhibition phase will begin okay</t>
        </is>
      </c>
      <c r="D2987">
        <f>HYPERLINK("https://www.youtube.com/watch?v=t95W9-Jhv1I&amp;t=46s", "Go to time")</f>
        <v/>
      </c>
    </row>
    <row r="2988">
      <c r="A2988">
        <f>HYPERLINK("https://www.youtube.com/watch?v=ZBefNya2ZI0", "Video")</f>
        <v/>
      </c>
      <c r="B2988" t="inlineStr">
        <is>
          <t>3:04</t>
        </is>
      </c>
      <c r="C2988" t="inlineStr">
        <is>
          <t>to destroy this model
of downtown Chibiton.</t>
        </is>
      </c>
      <c r="D2988">
        <f>HYPERLINK("https://www.youtube.com/watch?v=ZBefNya2ZI0&amp;t=184s", "Go to time")</f>
        <v/>
      </c>
    </row>
    <row r="2989">
      <c r="A2989">
        <f>HYPERLINK("https://www.youtube.com/watch?v=N9pxqTQZugE", "Video")</f>
        <v/>
      </c>
      <c r="B2989" t="inlineStr">
        <is>
          <t>0:02</t>
        </is>
      </c>
      <c r="C2989" t="inlineStr">
        <is>
          <t>bite from Phineas and Ferb Jeremy's mom</t>
        </is>
      </c>
      <c r="D2989">
        <f>HYPERLINK("https://www.youtube.com/watch?v=N9pxqTQZugE&amp;t=2s", "Go to time")</f>
        <v/>
      </c>
    </row>
    <row r="2990">
      <c r="A2990">
        <f>HYPERLINK("https://www.youtube.com/watch?v=jkseUDrZVIY", "Video")</f>
        <v/>
      </c>
      <c r="B2990" t="inlineStr">
        <is>
          <t>1:16</t>
        </is>
      </c>
      <c r="C2990" t="inlineStr">
        <is>
          <t>me I mean his work was ambitious and</t>
        </is>
      </c>
      <c r="D2990">
        <f>HYPERLINK("https://www.youtube.com/watch?v=jkseUDrZVIY&amp;t=76s", "Go to time")</f>
        <v/>
      </c>
    </row>
    <row r="2991">
      <c r="A2991">
        <f>HYPERLINK("https://www.youtube.com/watch?v=KDQKBo_QkDY", "Video")</f>
        <v/>
      </c>
      <c r="B2991" t="inlineStr">
        <is>
          <t>0:02</t>
        </is>
      </c>
      <c r="C2991" t="inlineStr">
        <is>
          <t>bite from an allnew Phineas infer you</t>
        </is>
      </c>
      <c r="D2991">
        <f>HYPERLINK("https://www.youtube.com/watch?v=KDQKBo_QkDY&amp;t=2s", "Go to time")</f>
        <v/>
      </c>
    </row>
    <row r="2992">
      <c r="A2992">
        <f>HYPERLINK("https://www.youtube.com/watch?v=KDQKBo_QkDY", "Video")</f>
        <v/>
      </c>
      <c r="B2992" t="inlineStr">
        <is>
          <t>0:07</t>
        </is>
      </c>
      <c r="C2992" t="inlineStr">
        <is>
          <t>arbitrary why don't people jump up and</t>
        </is>
      </c>
      <c r="D2992">
        <f>HYPERLINK("https://www.youtube.com/watch?v=KDQKBo_QkDY&amp;t=7s", "Go to time")</f>
        <v/>
      </c>
    </row>
    <row r="2993">
      <c r="A2993">
        <f>HYPERLINK("https://www.youtube.com/watch?v=Q3PbNGxj4Zk", "Video")</f>
        <v/>
      </c>
      <c r="B2993" t="inlineStr">
        <is>
          <t>18:03</t>
        </is>
      </c>
      <c r="C2993" t="inlineStr">
        <is>
          <t>I may have overreacted
just a little bit,</t>
        </is>
      </c>
      <c r="D2993">
        <f>HYPERLINK("https://www.youtube.com/watch?v=Q3PbNGxj4Zk&amp;t=1083s", "Go to time")</f>
        <v/>
      </c>
    </row>
    <row r="2994">
      <c r="A2994">
        <f>HYPERLINK("https://www.youtube.com/watch?v=pv7u_sRN2RI", "Video")</f>
        <v/>
      </c>
      <c r="B2994" t="inlineStr">
        <is>
          <t>0:17</t>
        </is>
      </c>
      <c r="C2994" t="inlineStr">
        <is>
          <t>oh turn me back granted it is a bit of a</t>
        </is>
      </c>
      <c r="D2994">
        <f>HYPERLINK("https://www.youtube.com/watch?v=pv7u_sRN2RI&amp;t=17s", "Go to time")</f>
        <v/>
      </c>
    </row>
    <row r="2995">
      <c r="A2995">
        <f>HYPERLINK("https://www.youtube.com/watch?v=-WowcbTc3_Q", "Video")</f>
        <v/>
      </c>
      <c r="B2995" t="inlineStr">
        <is>
          <t>0:47</t>
        </is>
      </c>
      <c r="C2995" t="inlineStr">
        <is>
          <t>we'll deal with that in a bit now for my</t>
        </is>
      </c>
      <c r="D2995">
        <f>HYPERLINK("https://www.youtube.com/watch?v=-WowcbTc3_Q&amp;t=47s", "Go to time")</f>
        <v/>
      </c>
    </row>
    <row r="2996">
      <c r="A2996">
        <f>HYPERLINK("https://www.youtube.com/watch?v=-WowcbTc3_Q", "Video")</f>
        <v/>
      </c>
      <c r="B2996" t="inlineStr">
        <is>
          <t>4:03</t>
        </is>
      </c>
      <c r="C2996" t="inlineStr">
        <is>
          <t>was a little bit of an adventurer myself</t>
        </is>
      </c>
      <c r="D2996">
        <f>HYPERLINK("https://www.youtube.com/watch?v=-WowcbTc3_Q&amp;t=243s", "Go to time")</f>
        <v/>
      </c>
    </row>
    <row r="2997">
      <c r="A2997">
        <f>HYPERLINK("https://www.youtube.com/watch?v=cFg8CpyJv14", "Video")</f>
        <v/>
      </c>
      <c r="B2997" t="inlineStr">
        <is>
          <t>19:12</t>
        </is>
      </c>
      <c r="C2997" t="inlineStr">
        <is>
          <t>okay mama's got a bite</t>
        </is>
      </c>
      <c r="D2997">
        <f>HYPERLINK("https://www.youtube.com/watch?v=cFg8CpyJv14&amp;t=1152s", "Go to time")</f>
        <v/>
      </c>
    </row>
    <row r="2998">
      <c r="A2998">
        <f>HYPERLINK("https://www.youtube.com/watch?v=9wP8jxCMcjU", "Video")</f>
        <v/>
      </c>
      <c r="B2998" t="inlineStr">
        <is>
          <t>0:02</t>
        </is>
      </c>
      <c r="C2998" t="inlineStr">
        <is>
          <t>bite from Phineas and Ferb hi</t>
        </is>
      </c>
      <c r="D2998">
        <f>HYPERLINK("https://www.youtube.com/watch?v=9wP8jxCMcjU&amp;t=2s", "Go to time")</f>
        <v/>
      </c>
    </row>
    <row r="2999">
      <c r="A2999">
        <f>HYPERLINK("https://www.youtube.com/watch?v=9wP8jxCMcjU", "Video")</f>
        <v/>
      </c>
      <c r="B2999" t="inlineStr">
        <is>
          <t>0:09</t>
        </is>
      </c>
      <c r="C2999" t="inlineStr">
        <is>
          <t>a bit you know escape from all the</t>
        </is>
      </c>
      <c r="D2999">
        <f>HYPERLINK("https://www.youtube.com/watch?v=9wP8jxCMcjU&amp;t=9s", "Go to time")</f>
        <v/>
      </c>
    </row>
    <row r="3000">
      <c r="A3000">
        <f>HYPERLINK("https://www.youtube.com/watch?v=9_BC9KMNkV8", "Video")</f>
        <v/>
      </c>
      <c r="B3000" t="inlineStr">
        <is>
          <t>0:51</t>
        </is>
      </c>
      <c r="C3000" t="inlineStr">
        <is>
          <t>It seems the Core has activated
its final gambit.</t>
        </is>
      </c>
      <c r="D3000">
        <f>HYPERLINK("https://www.youtube.com/watch?v=9_BC9KMNkV8&amp;t=51s", "Go to time")</f>
        <v/>
      </c>
    </row>
    <row r="3001">
      <c r="A3001">
        <f>HYPERLINK("https://www.youtube.com/watch?v=AYU9jFBEAsI", "Video")</f>
        <v/>
      </c>
      <c r="B3001" t="inlineStr">
        <is>
          <t>0:02</t>
        </is>
      </c>
      <c r="C3001" t="inlineStr">
        <is>
          <t>bite from Jesse right now I cannot wait</t>
        </is>
      </c>
      <c r="D3001">
        <f>HYPERLINK("https://www.youtube.com/watch?v=AYU9jFBEAsI&amp;t=2s", "Go to time")</f>
        <v/>
      </c>
    </row>
    <row r="3002">
      <c r="A3002">
        <f>HYPERLINK("https://www.youtube.com/watch?v=KqF1pYafMgA", "Video")</f>
        <v/>
      </c>
      <c r="B3002" t="inlineStr">
        <is>
          <t>4:05</t>
        </is>
      </c>
      <c r="C3002" t="inlineStr">
        <is>
          <t>NOT EVEN A LITTLE BIT?</t>
        </is>
      </c>
      <c r="D3002">
        <f>HYPERLINK("https://www.youtube.com/watch?v=KqF1pYafMgA&amp;t=245s", "Go to time")</f>
        <v/>
      </c>
    </row>
    <row r="3003">
      <c r="A3003">
        <f>HYPERLINK("https://www.youtube.com/watch?v=hxfH6rBzPjQ", "Video")</f>
        <v/>
      </c>
      <c r="B3003" t="inlineStr">
        <is>
          <t>9:14</t>
        </is>
      </c>
      <c r="C3003" t="inlineStr">
        <is>
          <t>full of regrets and bitterness</t>
        </is>
      </c>
      <c r="D3003">
        <f>HYPERLINK("https://www.youtube.com/watch?v=hxfH6rBzPjQ&amp;t=554s", "Go to time")</f>
        <v/>
      </c>
    </row>
    <row r="3004">
      <c r="A3004">
        <f>HYPERLINK("https://www.youtube.com/watch?v=6VDqUua2Rvg", "Video")</f>
        <v/>
      </c>
      <c r="B3004" t="inlineStr">
        <is>
          <t>2:56</t>
        </is>
      </c>
      <c r="C3004" t="inlineStr">
        <is>
          <t>north of here lies a cave inhabited by a</t>
        </is>
      </c>
      <c r="D3004">
        <f>HYPERLINK("https://www.youtube.com/watch?v=6VDqUua2Rvg&amp;t=176s", "Go to time")</f>
        <v/>
      </c>
    </row>
    <row r="3005">
      <c r="A3005">
        <f>HYPERLINK("https://www.youtube.com/watch?v=X4BeRb4Lues", "Video")</f>
        <v/>
      </c>
      <c r="B3005" t="inlineStr">
        <is>
          <t>11:52</t>
        </is>
      </c>
      <c r="C3005" t="inlineStr">
        <is>
          <t>and see if these
suckers bite.</t>
        </is>
      </c>
      <c r="D3005">
        <f>HYPERLINK("https://www.youtube.com/watch?v=X4BeRb4Lues&amp;t=712s", "Go to time")</f>
        <v/>
      </c>
    </row>
    <row r="3006">
      <c r="A3006">
        <f>HYPERLINK("https://www.youtube.com/watch?v=X4BeRb4Lues", "Video")</f>
        <v/>
      </c>
      <c r="B3006" t="inlineStr">
        <is>
          <t>19:52</t>
        </is>
      </c>
      <c r="C3006" t="inlineStr">
        <is>
          <t>She's a biter.</t>
        </is>
      </c>
      <c r="D3006">
        <f>HYPERLINK("https://www.youtube.com/watch?v=X4BeRb4Lues&amp;t=1192s", "Go to time")</f>
        <v/>
      </c>
    </row>
    <row r="3007">
      <c r="A3007">
        <f>HYPERLINK("https://www.youtube.com/watch?v=X4BeRb4Lues", "Video")</f>
        <v/>
      </c>
      <c r="B3007" t="inlineStr">
        <is>
          <t>25:44</t>
        </is>
      </c>
      <c r="C3007" t="inlineStr">
        <is>
          <t>I think you're having
a bit of trouble getting
comfortable.</t>
        </is>
      </c>
      <c r="D3007">
        <f>HYPERLINK("https://www.youtube.com/watch?v=X4BeRb4Lues&amp;t=1544s", "Go to time")</f>
        <v/>
      </c>
    </row>
    <row r="3008">
      <c r="A3008">
        <f>HYPERLINK("https://www.youtube.com/watch?v=-O_TxoYnfFw", "Video")</f>
        <v/>
      </c>
      <c r="B3008" t="inlineStr">
        <is>
          <t>0:00</t>
        </is>
      </c>
      <c r="C3008" t="inlineStr">
        <is>
          <t>here's a Disney Channel mini bite from</t>
        </is>
      </c>
      <c r="D3008">
        <f>HYPERLINK("https://www.youtube.com/watch?v=-O_TxoYnfFw&amp;t=0s", "Go to time")</f>
        <v/>
      </c>
    </row>
    <row r="3009">
      <c r="A3009">
        <f>HYPERLINK("https://www.youtube.com/watch?v=aKVK6sKP3Eg", "Video")</f>
        <v/>
      </c>
      <c r="B3009" t="inlineStr">
        <is>
          <t>13:02</t>
        </is>
      </c>
      <c r="C3009" t="inlineStr">
        <is>
          <t>milk's always a little bit colder than</t>
        </is>
      </c>
      <c r="D3009">
        <f>HYPERLINK("https://www.youtube.com/watch?v=aKVK6sKP3Eg&amp;t=782s", "Go to time")</f>
        <v/>
      </c>
    </row>
    <row r="3010">
      <c r="A3010">
        <f>HYPERLINK("https://www.youtube.com/watch?v=hMwnRH3p_ig", "Video")</f>
        <v/>
      </c>
      <c r="B3010" t="inlineStr">
        <is>
          <t>1:03</t>
        </is>
      </c>
      <c r="C3010" t="inlineStr">
        <is>
          <t>Unable to afford her habit,</t>
        </is>
      </c>
      <c r="D3010">
        <f>HYPERLINK("https://www.youtube.com/watch?v=hMwnRH3p_ig&amp;t=63s", "Go to time")</f>
        <v/>
      </c>
    </row>
    <row r="3011">
      <c r="A3011">
        <f>HYPERLINK("https://www.youtube.com/watch?v=hMwnRH3p_ig", "Video")</f>
        <v/>
      </c>
      <c r="B3011" t="inlineStr">
        <is>
          <t>8:11</t>
        </is>
      </c>
      <c r="C3011" t="inlineStr">
        <is>
          <t>And two, you're supposed
to take small human bites.</t>
        </is>
      </c>
      <c r="D3011">
        <f>HYPERLINK("https://www.youtube.com/watch?v=hMwnRH3p_ig&amp;t=491s", "Go to time")</f>
        <v/>
      </c>
    </row>
    <row r="3012">
      <c r="A3012">
        <f>HYPERLINK("https://www.youtube.com/watch?v=hMwnRH3p_ig", "Video")</f>
        <v/>
      </c>
      <c r="B3012" t="inlineStr">
        <is>
          <t>15:10</t>
        </is>
      </c>
      <c r="C3012" t="inlineStr">
        <is>
          <t>Running a bit behind.
Funny one, that kid.</t>
        </is>
      </c>
      <c r="D3012">
        <f>HYPERLINK("https://www.youtube.com/watch?v=hMwnRH3p_ig&amp;t=910s", "Go to time")</f>
        <v/>
      </c>
    </row>
    <row r="3013">
      <c r="A3013">
        <f>HYPERLINK("https://www.youtube.com/watch?v=J_npZoPxoJ4", "Video")</f>
        <v/>
      </c>
      <c r="B3013" t="inlineStr">
        <is>
          <t>21:14</t>
        </is>
      </c>
      <c r="C3013" t="inlineStr">
        <is>
          <t>[grunts, bites]</t>
        </is>
      </c>
      <c r="D3013">
        <f>HYPERLINK("https://www.youtube.com/watch?v=J_npZoPxoJ4&amp;t=1274s", "Go to time")</f>
        <v/>
      </c>
    </row>
    <row r="3014">
      <c r="A3014">
        <f>HYPERLINK("https://www.youtube.com/watch?v=ItHOerHjDvw", "Video")</f>
        <v/>
      </c>
      <c r="B3014" t="inlineStr">
        <is>
          <t>0:02</t>
        </is>
      </c>
      <c r="C3014" t="inlineStr">
        <is>
          <t>bite from Jesse right now</t>
        </is>
      </c>
      <c r="D3014">
        <f>HYPERLINK("https://www.youtube.com/watch?v=ItHOerHjDvw&amp;t=2s", "Go to time")</f>
        <v/>
      </c>
    </row>
    <row r="3015">
      <c r="A3015">
        <f>HYPERLINK("https://www.youtube.com/watch?v=2-aO5__94m8", "Video")</f>
        <v/>
      </c>
      <c r="B3015" t="inlineStr">
        <is>
          <t>0:24</t>
        </is>
      </c>
      <c r="C3015" t="inlineStr">
        <is>
          <t>slightest bit curious as to where the</t>
        </is>
      </c>
      <c r="D3015">
        <f>HYPERLINK("https://www.youtube.com/watch?v=2-aO5__94m8&amp;t=24s", "Go to time")</f>
        <v/>
      </c>
    </row>
    <row r="3016">
      <c r="A3016">
        <f>HYPERLINK("https://www.youtube.com/watch?v=2-aO5__94m8", "Video")</f>
        <v/>
      </c>
      <c r="B3016" t="inlineStr">
        <is>
          <t>0:31</t>
        </is>
      </c>
      <c r="C3016" t="inlineStr">
        <is>
          <t>we're a little bit</t>
        </is>
      </c>
      <c r="D3016">
        <f>HYPERLINK("https://www.youtube.com/watch?v=2-aO5__94m8&amp;t=31s", "Go to time")</f>
        <v/>
      </c>
    </row>
    <row r="3017">
      <c r="A3017">
        <f>HYPERLINK("https://www.youtube.com/watch?v=2_HzqLoJQRI", "Video")</f>
        <v/>
      </c>
      <c r="B3017" t="inlineStr">
        <is>
          <t>0:09</t>
        </is>
      </c>
      <c r="C3017" t="inlineStr">
        <is>
          <t>tail is a bit more groovy</t>
        </is>
      </c>
      <c r="D3017">
        <f>HYPERLINK("https://www.youtube.com/watch?v=2_HzqLoJQRI&amp;t=9s", "Go to time")</f>
        <v/>
      </c>
    </row>
    <row r="3018">
      <c r="A3018">
        <f>HYPERLINK("https://www.youtube.com/watch?v=cLi9HudVjzc", "Video")</f>
        <v/>
      </c>
      <c r="B3018" t="inlineStr">
        <is>
          <t>0:02</t>
        </is>
      </c>
      <c r="C3018" t="inlineStr">
        <is>
          <t>mini bite from Sweet Life on Deck my</t>
        </is>
      </c>
      <c r="D3018">
        <f>HYPERLINK("https://www.youtube.com/watch?v=cLi9HudVjzc&amp;t=2s", "Go to time")</f>
        <v/>
      </c>
    </row>
    <row r="3019">
      <c r="A3019">
        <f>HYPERLINK("https://www.youtube.com/watch?v=LexF3knICas", "Video")</f>
        <v/>
      </c>
      <c r="B3019" t="inlineStr">
        <is>
          <t>1:44</t>
        </is>
      </c>
      <c r="C3019" t="inlineStr">
        <is>
          <t>wash my hands feeling just a bit too</t>
        </is>
      </c>
      <c r="D3019">
        <f>HYPERLINK("https://www.youtube.com/watch?v=LexF3knICas&amp;t=104s", "Go to time")</f>
        <v/>
      </c>
    </row>
    <row r="3020">
      <c r="A3020">
        <f>HYPERLINK("https://www.youtube.com/watch?v=LexF3knICas", "Video")</f>
        <v/>
      </c>
      <c r="B3020" t="inlineStr">
        <is>
          <t>2:21</t>
        </is>
      </c>
      <c r="C3020" t="inlineStr">
        <is>
          <t>stuck inside for quite a bit it's not</t>
        </is>
      </c>
      <c r="D3020">
        <f>HYPERLINK("https://www.youtube.com/watch?v=LexF3knICas&amp;t=141s", "Go to time")</f>
        <v/>
      </c>
    </row>
    <row r="3021">
      <c r="A3021">
        <f>HYPERLINK("https://www.youtube.com/watch?v=LexF3knICas", "Video")</f>
        <v/>
      </c>
      <c r="B3021" t="inlineStr">
        <is>
          <t>8:14</t>
        </is>
      </c>
      <c r="C3021" t="inlineStr">
        <is>
          <t>this Halloween tail is a bit more groovy</t>
        </is>
      </c>
      <c r="D3021">
        <f>HYPERLINK("https://www.youtube.com/watch?v=LexF3knICas&amp;t=494s", "Go to time")</f>
        <v/>
      </c>
    </row>
    <row r="3022">
      <c r="A3022">
        <f>HYPERLINK("https://www.youtube.com/watch?v=LexF3knICas", "Video")</f>
        <v/>
      </c>
      <c r="B3022" t="inlineStr">
        <is>
          <t>18:40</t>
        </is>
      </c>
      <c r="C3022" t="inlineStr">
        <is>
          <t>one bite Molly I'm perfectly satiated</t>
        </is>
      </c>
      <c r="D3022">
        <f>HYPERLINK("https://www.youtube.com/watch?v=LexF3knICas&amp;t=1120s", "Go to time")</f>
        <v/>
      </c>
    </row>
    <row r="3023">
      <c r="A3023">
        <f>HYPERLINK("https://www.youtube.com/watch?v=ghMrXd3ueno", "Video")</f>
        <v/>
      </c>
      <c r="B3023" t="inlineStr">
        <is>
          <t>6:11</t>
        </is>
      </c>
      <c r="C3023" t="inlineStr">
        <is>
          <t>bit much well luckily for you for the</t>
        </is>
      </c>
      <c r="D3023">
        <f>HYPERLINK("https://www.youtube.com/watch?v=ghMrXd3ueno&amp;t=371s", "Go to time")</f>
        <v/>
      </c>
    </row>
    <row r="3024">
      <c r="A3024">
        <f>HYPERLINK("https://www.youtube.com/watch?v=Z3sdrgRZV1w", "Video")</f>
        <v/>
      </c>
      <c r="B3024" t="inlineStr">
        <is>
          <t>2:36</t>
        </is>
      </c>
      <c r="C3024" t="inlineStr">
        <is>
          <t>But you can't fit all of them
in your rabbit tummy.</t>
        </is>
      </c>
      <c r="D3024">
        <f>HYPERLINK("https://www.youtube.com/watch?v=Z3sdrgRZV1w&amp;t=156s", "Go to time")</f>
        <v/>
      </c>
    </row>
    <row r="3025">
      <c r="A3025">
        <f>HYPERLINK("https://www.youtube.com/watch?v=Ow3EgLZqRiA", "Video")</f>
        <v/>
      </c>
      <c r="B3025" t="inlineStr">
        <is>
          <t>0:00</t>
        </is>
      </c>
      <c r="C3025" t="inlineStr">
        <is>
          <t>here's a Disney Channel mini bite from</t>
        </is>
      </c>
      <c r="D3025">
        <f>HYPERLINK("https://www.youtube.com/watch?v=Ow3EgLZqRiA&amp;t=0s", "Go to time")</f>
        <v/>
      </c>
    </row>
    <row r="3026">
      <c r="A3026">
        <f>HYPERLINK("https://www.youtube.com/watch?v=yXd_M6wKOPE", "Video")</f>
        <v/>
      </c>
      <c r="B3026" t="inlineStr">
        <is>
          <t>3:06</t>
        </is>
      </c>
      <c r="C3026" t="inlineStr">
        <is>
          <t>that is called play-biting isn't it cute</t>
        </is>
      </c>
      <c r="D3026">
        <f>HYPERLINK("https://www.youtube.com/watch?v=yXd_M6wKOPE&amp;t=186s", "Go to time")</f>
        <v/>
      </c>
    </row>
    <row r="3027">
      <c r="A3027">
        <f>HYPERLINK("https://www.youtube.com/watch?v=LfCLOUtaeZM", "Video")</f>
        <v/>
      </c>
      <c r="B3027" t="inlineStr">
        <is>
          <t>0:45</t>
        </is>
      </c>
      <c r="C3027" t="inlineStr">
        <is>
          <t>Polly's itty-bitty, baby legs.</t>
        </is>
      </c>
      <c r="D3027">
        <f>HYPERLINK("https://www.youtube.com/watch?v=LfCLOUtaeZM&amp;t=45s", "Go to time")</f>
        <v/>
      </c>
    </row>
    <row r="3028">
      <c r="A3028">
        <f>HYPERLINK("https://www.youtube.com/watch?v=Eyx1kISSWVo", "Video")</f>
        <v/>
      </c>
      <c r="B3028" t="inlineStr">
        <is>
          <t>16:43</t>
        </is>
      </c>
      <c r="C3028" t="inlineStr">
        <is>
          <t>a little bit extreme but yeah it was a</t>
        </is>
      </c>
      <c r="D3028">
        <f>HYPERLINK("https://www.youtube.com/watch?v=Eyx1kISSWVo&amp;t=1003s", "Go to time")</f>
        <v/>
      </c>
    </row>
    <row r="3029">
      <c r="A3029">
        <f>HYPERLINK("https://www.youtube.com/watch?v=Eyx1kISSWVo", "Video")</f>
        <v/>
      </c>
      <c r="B3029" t="inlineStr">
        <is>
          <t>20:28</t>
        </is>
      </c>
      <c r="C3029" t="inlineStr">
        <is>
          <t>it's a rabbit it's sand</t>
        </is>
      </c>
      <c r="D3029">
        <f>HYPERLINK("https://www.youtube.com/watch?v=Eyx1kISSWVo&amp;t=1228s", "Go to time")</f>
        <v/>
      </c>
    </row>
    <row r="3030">
      <c r="A3030">
        <f>HYPERLINK("https://www.youtube.com/watch?v=Eyx1kISSWVo", "Video")</f>
        <v/>
      </c>
      <c r="B3030" t="inlineStr">
        <is>
          <t>25:20</t>
        </is>
      </c>
      <c r="C3030" t="inlineStr">
        <is>
          <t>a ruby in her natural habitat when she's</t>
        </is>
      </c>
      <c r="D3030">
        <f>HYPERLINK("https://www.youtube.com/watch?v=Eyx1kISSWVo&amp;t=1520s", "Go to time")</f>
        <v/>
      </c>
    </row>
    <row r="3031">
      <c r="A3031">
        <f>HYPERLINK("https://www.youtube.com/watch?v=Eyx1kISSWVo", "Video")</f>
        <v/>
      </c>
      <c r="B3031" t="inlineStr">
        <is>
          <t>32:42</t>
        </is>
      </c>
      <c r="C3031" t="inlineStr">
        <is>
          <t>little bit about your process and what</t>
        </is>
      </c>
      <c r="D3031">
        <f>HYPERLINK("https://www.youtube.com/watch?v=Eyx1kISSWVo&amp;t=1962s", "Go to time")</f>
        <v/>
      </c>
    </row>
    <row r="3032">
      <c r="A3032">
        <f>HYPERLINK("https://www.youtube.com/watch?v=Eyx1kISSWVo", "Video")</f>
        <v/>
      </c>
      <c r="B3032" t="inlineStr">
        <is>
          <t>32:51</t>
        </is>
      </c>
      <c r="C3032" t="inlineStr">
        <is>
          <t>left in a little bit of a situation</t>
        </is>
      </c>
      <c r="D3032">
        <f>HYPERLINK("https://www.youtube.com/watch?v=Eyx1kISSWVo&amp;t=1971s", "Go to time")</f>
        <v/>
      </c>
    </row>
    <row r="3033">
      <c r="A3033">
        <f>HYPERLINK("https://www.youtube.com/watch?v=UEDLZ-OCJ10", "Video")</f>
        <v/>
      </c>
      <c r="B3033" t="inlineStr">
        <is>
          <t>0:00</t>
        </is>
      </c>
      <c r="C3033" t="inlineStr">
        <is>
          <t>Disney Channel's got a mini bite from</t>
        </is>
      </c>
      <c r="D3033">
        <f>HYPERLINK("https://www.youtube.com/watch?v=UEDLZ-OCJ10&amp;t=0s", "Go to time")</f>
        <v/>
      </c>
    </row>
    <row r="3034">
      <c r="A3034">
        <f>HYPERLINK("https://www.youtube.com/watch?v=3wpbCBqxoRI", "Video")</f>
        <v/>
      </c>
      <c r="B3034" t="inlineStr">
        <is>
          <t>0:27</t>
        </is>
      </c>
      <c r="C3034" t="inlineStr">
        <is>
          <t>they've run into a little bit of a snag</t>
        </is>
      </c>
      <c r="D3034">
        <f>HYPERLINK("https://www.youtube.com/watch?v=3wpbCBqxoRI&amp;t=27s", "Go to time")</f>
        <v/>
      </c>
    </row>
    <row r="3035">
      <c r="A3035">
        <f>HYPERLINK("https://www.youtube.com/watch?v=RvZUlFXDy0o", "Video")</f>
        <v/>
      </c>
      <c r="B3035" t="inlineStr">
        <is>
          <t>1:55</t>
        </is>
      </c>
      <c r="C3035" t="inlineStr">
        <is>
          <t>bite M it's so juicy and crisp the</t>
        </is>
      </c>
      <c r="D3035">
        <f>HYPERLINK("https://www.youtube.com/watch?v=RvZUlFXDy0o&amp;t=115s", "Go to time")</f>
        <v/>
      </c>
    </row>
    <row r="3036">
      <c r="A3036">
        <f>HYPERLINK("https://www.youtube.com/watch?v=RvZUlFXDy0o", "Video")</f>
        <v/>
      </c>
      <c r="B3036" t="inlineStr">
        <is>
          <t>2:23</t>
        </is>
      </c>
      <c r="C3036" t="inlineStr">
        <is>
          <t>bit</t>
        </is>
      </c>
      <c r="D3036">
        <f>HYPERLINK("https://www.youtube.com/watch?v=RvZUlFXDy0o&amp;t=143s", "Go to time")</f>
        <v/>
      </c>
    </row>
    <row r="3037">
      <c r="A3037">
        <f>HYPERLINK("https://www.youtube.com/watch?v=pjCIeVI4NU4", "Video")</f>
        <v/>
      </c>
      <c r="B3037" t="inlineStr">
        <is>
          <t>0:37</t>
        </is>
      </c>
      <c r="C3037" t="inlineStr">
        <is>
          <t>to your neck it looks like something bit</t>
        </is>
      </c>
      <c r="D3037">
        <f>HYPERLINK("https://www.youtube.com/watch?v=pjCIeVI4NU4&amp;t=37s", "Go to time")</f>
        <v/>
      </c>
    </row>
    <row r="3038">
      <c r="A3038">
        <f>HYPERLINK("https://www.youtube.com/watch?v=0-Ea-qF3bb8", "Video")</f>
        <v/>
      </c>
      <c r="B3038" t="inlineStr">
        <is>
          <t>0:32</t>
        </is>
      </c>
      <c r="C3038" t="inlineStr">
        <is>
          <t>dream of chasing rabbits do I not run in</t>
        </is>
      </c>
      <c r="D3038">
        <f>HYPERLINK("https://www.youtube.com/watch?v=0-Ea-qF3bb8&amp;t=32s", "Go to time")</f>
        <v/>
      </c>
    </row>
    <row r="3039">
      <c r="A3039">
        <f>HYPERLINK("https://www.youtube.com/watch?v=mazG1UrgOeg", "Video")</f>
        <v/>
      </c>
      <c r="B3039" t="inlineStr">
        <is>
          <t>1:59</t>
        </is>
      </c>
      <c r="C3039" t="inlineStr">
        <is>
          <t>Daryl is a bit of a handful I don't mean</t>
        </is>
      </c>
      <c r="D3039">
        <f>HYPERLINK("https://www.youtube.com/watch?v=mazG1UrgOeg&amp;t=119s", "Go to time")</f>
        <v/>
      </c>
    </row>
    <row r="3040">
      <c r="A3040">
        <f>HYPERLINK("https://www.youtube.com/watch?v=IvAhEYdBRNs", "Video")</f>
        <v/>
      </c>
      <c r="B3040" t="inlineStr">
        <is>
          <t>5:55</t>
        </is>
      </c>
      <c r="C3040" t="inlineStr">
        <is>
          <t>other than that chimpanzee bit at this</t>
        </is>
      </c>
      <c r="D3040">
        <f>HYPERLINK("https://www.youtube.com/watch?v=IvAhEYdBRNs&amp;t=355s", "Go to time")</f>
        <v/>
      </c>
    </row>
    <row r="3041">
      <c r="A3041">
        <f>HYPERLINK("https://www.youtube.com/watch?v=jMJiE-ugh_Q", "Video")</f>
        <v/>
      </c>
      <c r="B3041" t="inlineStr">
        <is>
          <t>0:02</t>
        </is>
      </c>
      <c r="C3041" t="inlineStr">
        <is>
          <t>mini bite from Sweet Life on</t>
        </is>
      </c>
      <c r="D3041">
        <f>HYPERLINK("https://www.youtube.com/watch?v=jMJiE-ugh_Q&amp;t=2s", "Go to time")</f>
        <v/>
      </c>
    </row>
    <row r="3042">
      <c r="A3042">
        <f>HYPERLINK("https://www.youtube.com/watch?v=ykH1UNdVA7o", "Video")</f>
        <v/>
      </c>
      <c r="B3042" t="inlineStr">
        <is>
          <t>0:29</t>
        </is>
      </c>
      <c r="C3042" t="inlineStr">
        <is>
          <t>animals might be a little bit of an</t>
        </is>
      </c>
      <c r="D3042">
        <f>HYPERLINK("https://www.youtube.com/watch?v=ykH1UNdVA7o&amp;t=29s", "Go to time")</f>
        <v/>
      </c>
    </row>
    <row r="3043">
      <c r="A3043">
        <f>HYPERLINK("https://www.youtube.com/watch?v=qgvWpLx1qAg", "Video")</f>
        <v/>
      </c>
      <c r="B3043" t="inlineStr">
        <is>
          <t>21:40</t>
        </is>
      </c>
      <c r="C3043" t="inlineStr">
        <is>
          <t>I'M SORRY.
WE HAD A BIT OF AN ACCIDENT.</t>
        </is>
      </c>
      <c r="D3043">
        <f>HYPERLINK("https://www.youtube.com/watch?v=qgvWpLx1qAg&amp;t=1300s", "Go to time")</f>
        <v/>
      </c>
    </row>
    <row r="3044">
      <c r="A3044">
        <f>HYPERLINK("https://www.youtube.com/watch?v=UpmFPWkkgow", "Video")</f>
        <v/>
      </c>
      <c r="B3044" t="inlineStr">
        <is>
          <t>1:18</t>
        </is>
      </c>
      <c r="C3044" t="inlineStr">
        <is>
          <t>crocodile bite your head</t>
        </is>
      </c>
      <c r="D3044">
        <f>HYPERLINK("https://www.youtube.com/watch?v=UpmFPWkkgow&amp;t=78s", "Go to time")</f>
        <v/>
      </c>
    </row>
    <row r="3045">
      <c r="A3045">
        <f>HYPERLINK("https://www.youtube.com/watch?v=7YonXyVJtkU", "Video")</f>
        <v/>
      </c>
      <c r="B3045" t="inlineStr">
        <is>
          <t>2:59</t>
        </is>
      </c>
      <c r="C3045" t="inlineStr">
        <is>
          <t>oh turn me back granted it is a bit of a</t>
        </is>
      </c>
      <c r="D3045">
        <f>HYPERLINK("https://www.youtube.com/watch?v=7YonXyVJtkU&amp;t=179s", "Go to time")</f>
        <v/>
      </c>
    </row>
    <row r="3046">
      <c r="A3046">
        <f>HYPERLINK("https://www.youtube.com/watch?v=7YonXyVJtkU", "Video")</f>
        <v/>
      </c>
      <c r="B3046" t="inlineStr">
        <is>
          <t>9:19</t>
        </is>
      </c>
      <c r="C3046" t="inlineStr">
        <is>
          <t>snack i mean i'd have a bite or</t>
        </is>
      </c>
      <c r="D3046">
        <f>HYPERLINK("https://www.youtube.com/watch?v=7YonXyVJtkU&amp;t=559s", "Go to time")</f>
        <v/>
      </c>
    </row>
    <row r="3047">
      <c r="A3047">
        <f>HYPERLINK("https://www.youtube.com/watch?v=7YonXyVJtkU", "Video")</f>
        <v/>
      </c>
      <c r="B3047" t="inlineStr">
        <is>
          <t>20:26</t>
        </is>
      </c>
      <c r="C3047" t="inlineStr">
        <is>
          <t>to bring it down a little bit get a</t>
        </is>
      </c>
      <c r="D3047">
        <f>HYPERLINK("https://www.youtube.com/watch?v=7YonXyVJtkU&amp;t=1226s", "Go to time")</f>
        <v/>
      </c>
    </row>
    <row r="3048">
      <c r="A3048">
        <f>HYPERLINK("https://www.youtube.com/watch?v=qhy1KE0MjZQ", "Video")</f>
        <v/>
      </c>
      <c r="B3048" t="inlineStr">
        <is>
          <t>0:00</t>
        </is>
      </c>
      <c r="C3048" t="inlineStr">
        <is>
          <t>and now a Disney Channel mini bite from</t>
        </is>
      </c>
      <c r="D3048">
        <f>HYPERLINK("https://www.youtube.com/watch?v=qhy1KE0MjZQ&amp;t=0s", "Go to time")</f>
        <v/>
      </c>
    </row>
    <row r="3049">
      <c r="A3049">
        <f>HYPERLINK("https://www.youtube.com/watch?v=2q6x3EUhKLU", "Video")</f>
        <v/>
      </c>
      <c r="B3049" t="inlineStr">
        <is>
          <t>0:38</t>
        </is>
      </c>
      <c r="C3049" t="inlineStr">
        <is>
          <t>system exhibit the entrance a gigantic</t>
        </is>
      </c>
      <c r="D3049">
        <f>HYPERLINK("https://www.youtube.com/watch?v=2q6x3EUhKLU&amp;t=38s", "Go to time")</f>
        <v/>
      </c>
    </row>
    <row r="3050">
      <c r="A3050">
        <f>HYPERLINK("https://www.youtube.com/watch?v=wM5ucxWeIjY", "Video")</f>
        <v/>
      </c>
      <c r="B3050" t="inlineStr">
        <is>
          <t>0:00</t>
        </is>
      </c>
      <c r="C3050" t="inlineStr">
        <is>
          <t>here's a disney channel mini bite from</t>
        </is>
      </c>
      <c r="D3050">
        <f>HYPERLINK("https://www.youtube.com/watch?v=wM5ucxWeIjY&amp;t=0s", "Go to time")</f>
        <v/>
      </c>
    </row>
    <row r="3051">
      <c r="A3051">
        <f>HYPERLINK("https://www.youtube.com/watch?v=UbRqwWjseTw", "Video")</f>
        <v/>
      </c>
      <c r="B3051" t="inlineStr">
        <is>
          <t>1:22</t>
        </is>
      </c>
      <c r="C3051" t="inlineStr">
        <is>
          <t>shows and a little bit of fangirling</t>
        </is>
      </c>
      <c r="D3051">
        <f>HYPERLINK("https://www.youtube.com/watch?v=UbRqwWjseTw&amp;t=82s", "Go to time")</f>
        <v/>
      </c>
    </row>
    <row r="3052">
      <c r="A3052">
        <f>HYPERLINK("https://www.youtube.com/watch?v=HnJCvWoJD10", "Video")</f>
        <v/>
      </c>
      <c r="B3052" t="inlineStr">
        <is>
          <t>0:27</t>
        </is>
      </c>
      <c r="C3052" t="inlineStr">
        <is>
          <t>is a bit much.</t>
        </is>
      </c>
      <c r="D3052">
        <f>HYPERLINK("https://www.youtube.com/watch?v=HnJCvWoJD10&amp;t=27s", "Go to time")</f>
        <v/>
      </c>
    </row>
    <row r="3053">
      <c r="A3053">
        <f>HYPERLINK("https://www.youtube.com/watch?v=7JZMnvRGoBs", "Video")</f>
        <v/>
      </c>
      <c r="B3053" t="inlineStr">
        <is>
          <t>0:43</t>
        </is>
      </c>
      <c r="C3053" t="inlineStr">
        <is>
          <t>doin schmir no donkey rabbit no camel</t>
        </is>
      </c>
      <c r="D3053">
        <f>HYPERLINK("https://www.youtube.com/watch?v=7JZMnvRGoBs&amp;t=43s", "Go to time")</f>
        <v/>
      </c>
    </row>
    <row r="3054">
      <c r="A3054">
        <f>HYPERLINK("https://www.youtube.com/watch?v=zpdSm_DMflk", "Video")</f>
        <v/>
      </c>
      <c r="B3054" t="inlineStr">
        <is>
          <t>0:27</t>
        </is>
      </c>
      <c r="C3054" t="inlineStr">
        <is>
          <t>they get kids probably a little bit more</t>
        </is>
      </c>
      <c r="D3054">
        <f>HYPERLINK("https://www.youtube.com/watch?v=zpdSm_DMflk&amp;t=27s", "Go to time")</f>
        <v/>
      </c>
    </row>
    <row r="3055">
      <c r="A3055">
        <f>HYPERLINK("https://www.youtube.com/watch?v=Lhpu3GdlV3w", "Video")</f>
        <v/>
      </c>
      <c r="B3055" t="inlineStr">
        <is>
          <t>29:05</t>
        </is>
      </c>
      <c r="C3055" t="inlineStr">
        <is>
          <t>kids and then the peacock bit</t>
        </is>
      </c>
      <c r="D3055">
        <f>HYPERLINK("https://www.youtube.com/watch?v=Lhpu3GdlV3w&amp;t=1745s", "Go to time")</f>
        <v/>
      </c>
    </row>
    <row r="3056">
      <c r="A3056">
        <f>HYPERLINK("https://www.youtube.com/watch?v=Lhpu3GdlV3w", "Video")</f>
        <v/>
      </c>
      <c r="B3056" t="inlineStr">
        <is>
          <t>37:40</t>
        </is>
      </c>
      <c r="C3056" t="inlineStr">
        <is>
          <t>good I was a little bit worried that I</t>
        </is>
      </c>
      <c r="D3056">
        <f>HYPERLINK("https://www.youtube.com/watch?v=Lhpu3GdlV3w&amp;t=2260s", "Go to time")</f>
        <v/>
      </c>
    </row>
    <row r="3057">
      <c r="A3057">
        <f>HYPERLINK("https://www.youtube.com/watch?v=Kdpssi4iJfk", "Video")</f>
        <v/>
      </c>
      <c r="B3057" t="inlineStr">
        <is>
          <t>0:10</t>
        </is>
      </c>
      <c r="C3057" t="inlineStr">
        <is>
          <t>kids and then the peacock bit</t>
        </is>
      </c>
      <c r="D3057">
        <f>HYPERLINK("https://www.youtube.com/watch?v=Kdpssi4iJfk&amp;t=10s", "Go to time")</f>
        <v/>
      </c>
    </row>
    <row r="3058">
      <c r="A3058">
        <f>HYPERLINK("https://www.youtube.com/watch?v=uZlFSz7Zq8U", "Video")</f>
        <v/>
      </c>
      <c r="B3058" t="inlineStr">
        <is>
          <t>2:45</t>
        </is>
      </c>
      <c r="C3058" t="inlineStr">
        <is>
          <t>Joey it's just a beauty pageant you bite</t>
        </is>
      </c>
      <c r="D3058">
        <f>HYPERLINK("https://www.youtube.com/watch?v=uZlFSz7Zq8U&amp;t=165s", "Go to time")</f>
        <v/>
      </c>
    </row>
    <row r="3059">
      <c r="A3059">
        <f>HYPERLINK("https://www.youtube.com/watch?v=q8jLyotMMVE", "Video")</f>
        <v/>
      </c>
      <c r="B3059" t="inlineStr">
        <is>
          <t>18:26</t>
        </is>
      </c>
      <c r="C3059" t="inlineStr">
        <is>
          <t>bit of makeup on you who whoa whoa we're</t>
        </is>
      </c>
      <c r="D3059">
        <f>HYPERLINK("https://www.youtube.com/watch?v=q8jLyotMMVE&amp;t=1106s", "Go to time")</f>
        <v/>
      </c>
    </row>
    <row r="3060">
      <c r="A3060">
        <f>HYPERLINK("https://www.youtube.com/watch?v=q8jLyotMMVE", "Video")</f>
        <v/>
      </c>
      <c r="B3060" t="inlineStr">
        <is>
          <t>19:31</t>
        </is>
      </c>
      <c r="C3060" t="inlineStr">
        <is>
          <t>bit come on I want to</t>
        </is>
      </c>
      <c r="D3060">
        <f>HYPERLINK("https://www.youtube.com/watch?v=q8jLyotMMVE&amp;t=1171s", "Go to time")</f>
        <v/>
      </c>
    </row>
    <row r="3061">
      <c r="A3061">
        <f>HYPERLINK("https://www.youtube.com/watch?v=q8jLyotMMVE", "Video")</f>
        <v/>
      </c>
      <c r="B3061" t="inlineStr">
        <is>
          <t>39:59</t>
        </is>
      </c>
      <c r="C3061" t="inlineStr">
        <is>
          <t>there'll be a wee bitto</t>
        </is>
      </c>
      <c r="D3061">
        <f>HYPERLINK("https://www.youtube.com/watch?v=q8jLyotMMVE&amp;t=2399s", "Go to time")</f>
        <v/>
      </c>
    </row>
    <row r="3062">
      <c r="A3062">
        <f>HYPERLINK("https://www.youtube.com/watch?v=q8jLyotMMVE", "Video")</f>
        <v/>
      </c>
      <c r="B3062" t="inlineStr">
        <is>
          <t>44:28</t>
        </is>
      </c>
      <c r="C3062" t="inlineStr">
        <is>
          <t>apples I'm sorry he's a little bit wound</t>
        </is>
      </c>
      <c r="D3062">
        <f>HYPERLINK("https://www.youtube.com/watch?v=q8jLyotMMVE&amp;t=2668s", "Go to time")</f>
        <v/>
      </c>
    </row>
    <row r="3063">
      <c r="A3063">
        <f>HYPERLINK("https://www.youtube.com/watch?v=q8jLyotMMVE", "Video")</f>
        <v/>
      </c>
      <c r="B3063" t="inlineStr">
        <is>
          <t>53:43</t>
        </is>
      </c>
      <c r="C3063" t="inlineStr">
        <is>
          <t>little little bit more a little bit more</t>
        </is>
      </c>
      <c r="D3063">
        <f>HYPERLINK("https://www.youtube.com/watch?v=q8jLyotMMVE&amp;t=3223s", "Go to time")</f>
        <v/>
      </c>
    </row>
    <row r="3064">
      <c r="A3064">
        <f>HYPERLINK("https://www.youtube.com/watch?v=sRx7nYYjuDw", "Video")</f>
        <v/>
      </c>
      <c r="B3064" t="inlineStr">
        <is>
          <t>1:54</t>
        </is>
      </c>
      <c r="C3064" t="inlineStr">
        <is>
          <t>bite</t>
        </is>
      </c>
      <c r="D3064">
        <f>HYPERLINK("https://www.youtube.com/watch?v=sRx7nYYjuDw&amp;t=114s", "Go to time")</f>
        <v/>
      </c>
    </row>
    <row r="3065">
      <c r="A3065">
        <f>HYPERLINK("https://www.youtube.com/watch?v=JZ0AGtN_Uao", "Video")</f>
        <v/>
      </c>
      <c r="B3065" t="inlineStr">
        <is>
          <t>11:12</t>
        </is>
      </c>
      <c r="C3065" t="inlineStr">
        <is>
          <t>a little bit so that I look</t>
        </is>
      </c>
      <c r="D3065">
        <f>HYPERLINK("https://www.youtube.com/watch?v=JZ0AGtN_Uao&amp;t=672s", "Go to time")</f>
        <v/>
      </c>
    </row>
    <row r="3066">
      <c r="A3066">
        <f>HYPERLINK("https://www.youtube.com/watch?v=JZ0AGtN_Uao", "Video")</f>
        <v/>
      </c>
      <c r="B3066" t="inlineStr">
        <is>
          <t>17:49</t>
        </is>
      </c>
      <c r="C3066" t="inlineStr">
        <is>
          <t>good I was a little bit worried that I</t>
        </is>
      </c>
      <c r="D3066">
        <f>HYPERLINK("https://www.youtube.com/watch?v=JZ0AGtN_Uao&amp;t=1069s", "Go to time")</f>
        <v/>
      </c>
    </row>
    <row r="3067">
      <c r="A3067">
        <f>HYPERLINK("https://www.youtube.com/watch?v=ST2y17euBlc", "Video")</f>
        <v/>
      </c>
      <c r="B3067" t="inlineStr">
        <is>
          <t>9:37</t>
        </is>
      </c>
      <c r="C3067" t="inlineStr">
        <is>
          <t>make the world just a little bit</t>
        </is>
      </c>
      <c r="D3067">
        <f>HYPERLINK("https://www.youtube.com/watch?v=ST2y17euBlc&amp;t=577s", "Go to time")</f>
        <v/>
      </c>
    </row>
    <row r="3068">
      <c r="A3068">
        <f>HYPERLINK("https://www.youtube.com/watch?v=58LEHTGZyV0", "Video")</f>
        <v/>
      </c>
      <c r="B3068" t="inlineStr">
        <is>
          <t>7:45</t>
        </is>
      </c>
      <c r="C3068" t="inlineStr">
        <is>
          <t>bite me oh my god well Monica keeps</t>
        </is>
      </c>
      <c r="D3068">
        <f>HYPERLINK("https://www.youtube.com/watch?v=58LEHTGZyV0&amp;t=465s", "Go to time")</f>
        <v/>
      </c>
    </row>
    <row r="3069">
      <c r="A3069">
        <f>HYPERLINK("https://www.youtube.com/watch?v=ZYblZHVZp5Y", "Video")</f>
        <v/>
      </c>
      <c r="B3069" t="inlineStr">
        <is>
          <t>32:09</t>
        </is>
      </c>
      <c r="C3069" t="inlineStr">
        <is>
          <t>then rabbits that he could Chase and</t>
        </is>
      </c>
      <c r="D3069">
        <f>HYPERLINK("https://www.youtube.com/watch?v=ZYblZHVZp5Y&amp;t=1929s", "Go to time")</f>
        <v/>
      </c>
    </row>
    <row r="3070">
      <c r="A3070">
        <f>HYPERLINK("https://www.youtube.com/watch?v=m_lDeHxYwh0", "Video")</f>
        <v/>
      </c>
      <c r="B3070" t="inlineStr">
        <is>
          <t>18:46</t>
        </is>
      </c>
      <c r="C3070" t="inlineStr">
        <is>
          <t>rules you can like bite and pull</t>
        </is>
      </c>
      <c r="D3070">
        <f>HYPERLINK("https://www.youtube.com/watch?v=m_lDeHxYwh0&amp;t=1126s", "Go to time")</f>
        <v/>
      </c>
    </row>
    <row r="3071">
      <c r="A3071">
        <f>HYPERLINK("https://www.youtube.com/watch?v=Us1ekS15s9U", "Video")</f>
        <v/>
      </c>
      <c r="B3071" t="inlineStr">
        <is>
          <t>15:09</t>
        </is>
      </c>
      <c r="C3071" t="inlineStr">
        <is>
          <t>and and bite her and then right right</t>
        </is>
      </c>
      <c r="D3071">
        <f>HYPERLINK("https://www.youtube.com/watch?v=Us1ekS15s9U&amp;t=909s", "Go to time")</f>
        <v/>
      </c>
    </row>
    <row r="3072">
      <c r="A3072">
        <f>HYPERLINK("https://www.youtube.com/watch?v=1gS20bdnS1w", "Video")</f>
        <v/>
      </c>
      <c r="B3072" t="inlineStr">
        <is>
          <t>0:07</t>
        </is>
      </c>
      <c r="C3072" t="inlineStr">
        <is>
          <t>the wedding off for a bit</t>
        </is>
      </c>
      <c r="D3072">
        <f>HYPERLINK("https://www.youtube.com/watch?v=1gS20bdnS1w&amp;t=7s", "Go to time")</f>
        <v/>
      </c>
    </row>
    <row r="3073">
      <c r="A3073">
        <f>HYPERLINK("https://www.youtube.com/watch?v=3Dmg2KKZM8o", "Video")</f>
        <v/>
      </c>
      <c r="B3073" t="inlineStr">
        <is>
          <t>3:55</t>
        </is>
      </c>
      <c r="C3073" t="inlineStr">
        <is>
          <t>bit please I have an extremely high</t>
        </is>
      </c>
      <c r="D3073">
        <f>HYPERLINK("https://www.youtube.com/watch?v=3Dmg2KKZM8o&amp;t=235s", "Go to time")</f>
        <v/>
      </c>
    </row>
    <row r="3074">
      <c r="A3074">
        <f>HYPERLINK("https://www.youtube.com/watch?v=3Dmg2KKZM8o", "Video")</f>
        <v/>
      </c>
      <c r="B3074" t="inlineStr">
        <is>
          <t>4:10</t>
        </is>
      </c>
      <c r="C3074" t="inlineStr">
        <is>
          <t>right just a uh bit of shock is all but</t>
        </is>
      </c>
      <c r="D3074">
        <f>HYPERLINK("https://www.youtube.com/watch?v=3Dmg2KKZM8o&amp;t=250s", "Go to time")</f>
        <v/>
      </c>
    </row>
    <row r="3075">
      <c r="A3075">
        <f>HYPERLINK("https://www.youtube.com/watch?v=3Dmg2KKZM8o", "Video")</f>
        <v/>
      </c>
      <c r="B3075" t="inlineStr">
        <is>
          <t>4:51</t>
        </is>
      </c>
      <c r="C3075" t="inlineStr">
        <is>
          <t>little a little bit more a little bit</t>
        </is>
      </c>
      <c r="D3075">
        <f>HYPERLINK("https://www.youtube.com/watch?v=3Dmg2KKZM8o&amp;t=291s", "Go to time")</f>
        <v/>
      </c>
    </row>
    <row r="3076">
      <c r="A3076">
        <f>HYPERLINK("https://www.youtube.com/watch?v=3Dmg2KKZM8o", "Video")</f>
        <v/>
      </c>
      <c r="B3076" t="inlineStr">
        <is>
          <t>14:51</t>
        </is>
      </c>
      <c r="C3076" t="inlineStr">
        <is>
          <t>good I was a little bit worried that I</t>
        </is>
      </c>
      <c r="D3076">
        <f>HYPERLINK("https://www.youtube.com/watch?v=3Dmg2KKZM8o&amp;t=891s", "Go to time")</f>
        <v/>
      </c>
    </row>
    <row r="3077">
      <c r="A3077">
        <f>HYPERLINK("https://www.youtube.com/watch?v=3Dmg2KKZM8o", "Video")</f>
        <v/>
      </c>
      <c r="B3077" t="inlineStr">
        <is>
          <t>31:42</t>
        </is>
      </c>
      <c r="C3077" t="inlineStr">
        <is>
          <t>kids and then the peacock bit</t>
        </is>
      </c>
      <c r="D3077">
        <f>HYPERLINK("https://www.youtube.com/watch?v=3Dmg2KKZM8o&amp;t=1902s", "Go to time")</f>
        <v/>
      </c>
    </row>
    <row r="3078">
      <c r="A3078">
        <f>HYPERLINK("https://www.youtube.com/watch?v=ojTdYiBRtdU", "Video")</f>
        <v/>
      </c>
      <c r="B3078" t="inlineStr">
        <is>
          <t>21:38</t>
        </is>
      </c>
      <c r="C3078" t="inlineStr">
        <is>
          <t>type hey if we want to uh grab a bite</t>
        </is>
      </c>
      <c r="D3078">
        <f>HYPERLINK("https://www.youtube.com/watch?v=ojTdYiBRtdU&amp;t=1298s", "Go to time")</f>
        <v/>
      </c>
    </row>
    <row r="3079">
      <c r="A3079">
        <f>HYPERLINK("https://www.youtube.com/watch?v=MElsTK46TSI", "Video")</f>
        <v/>
      </c>
      <c r="B3079" t="inlineStr">
        <is>
          <t>2:43</t>
        </is>
      </c>
      <c r="C3079" t="inlineStr">
        <is>
          <t>across gerswin musical actually is bite</t>
        </is>
      </c>
      <c r="D3079">
        <f>HYPERLINK("https://www.youtube.com/watch?v=MElsTK46TSI&amp;t=163s", "Go to time")</f>
        <v/>
      </c>
    </row>
    <row r="3080">
      <c r="A3080">
        <f>HYPERLINK("https://www.youtube.com/watch?v=MElsTK46TSI", "Video")</f>
        <v/>
      </c>
      <c r="B3080" t="inlineStr">
        <is>
          <t>2:46</t>
        </is>
      </c>
      <c r="C3080" t="inlineStr">
        <is>
          <t>me bite me bite me bite okay okay here's</t>
        </is>
      </c>
      <c r="D3080">
        <f>HYPERLINK("https://www.youtube.com/watch?v=MElsTK46TSI&amp;t=166s", "Go to time")</f>
        <v/>
      </c>
    </row>
    <row r="3081">
      <c r="A3081">
        <f>HYPERLINK("https://www.youtube.com/watch?v=MElsTK46TSI", "Video")</f>
        <v/>
      </c>
      <c r="B3081" t="inlineStr">
        <is>
          <t>4:40</t>
        </is>
      </c>
      <c r="C3081" t="inlineStr">
        <is>
          <t>everything but still bite me</t>
        </is>
      </c>
      <c r="D3081">
        <f>HYPERLINK("https://www.youtube.com/watch?v=MElsTK46TSI&amp;t=280s", "Go to time")</f>
        <v/>
      </c>
    </row>
    <row r="3082">
      <c r="A3082">
        <f>HYPERLINK("https://www.youtube.com/watch?v=MElsTK46TSI", "Video")</f>
        <v/>
      </c>
      <c r="B3082" t="inlineStr">
        <is>
          <t>19:21</t>
        </is>
      </c>
      <c r="C3082" t="inlineStr">
        <is>
          <t>little bit of oil that should have</t>
        </is>
      </c>
      <c r="D3082">
        <f>HYPERLINK("https://www.youtube.com/watch?v=MElsTK46TSI&amp;t=1161s", "Go to time")</f>
        <v/>
      </c>
    </row>
    <row r="3083">
      <c r="A3083">
        <f>HYPERLINK("https://www.youtube.com/watch?v=y8QEATxV-8M", "Video")</f>
        <v/>
      </c>
      <c r="B3083" t="inlineStr">
        <is>
          <t>4:47</t>
        </is>
      </c>
      <c r="C3083" t="inlineStr">
        <is>
          <t>you just saying put just a little bit of</t>
        </is>
      </c>
      <c r="D3083">
        <f>HYPERLINK("https://www.youtube.com/watch?v=y8QEATxV-8M&amp;t=287s", "Go to time")</f>
        <v/>
      </c>
    </row>
    <row r="3084">
      <c r="A3084">
        <f>HYPERLINK("https://www.youtube.com/watch?v=y8QEATxV-8M", "Video")</f>
        <v/>
      </c>
      <c r="B3084" t="inlineStr">
        <is>
          <t>23:12</t>
        </is>
      </c>
      <c r="C3084" t="inlineStr">
        <is>
          <t>there'll be a wee bitto</t>
        </is>
      </c>
      <c r="D3084">
        <f>HYPERLINK("https://www.youtube.com/watch?v=y8QEATxV-8M&amp;t=1392s", "Go to time")</f>
        <v/>
      </c>
    </row>
    <row r="3085">
      <c r="A3085">
        <f>HYPERLINK("https://www.youtube.com/watch?v=QdQ58BbGRsA", "Video")</f>
        <v/>
      </c>
      <c r="B3085" t="inlineStr">
        <is>
          <t>13:30</t>
        </is>
      </c>
      <c r="C3085" t="inlineStr">
        <is>
          <t>kids and then the peacock bit</t>
        </is>
      </c>
      <c r="D3085">
        <f>HYPERLINK("https://www.youtube.com/watch?v=QdQ58BbGRsA&amp;t=810s", "Go to time")</f>
        <v/>
      </c>
    </row>
    <row r="3086">
      <c r="A3086">
        <f>HYPERLINK("https://www.youtube.com/watch?v=QdQ58BbGRsA", "Video")</f>
        <v/>
      </c>
      <c r="B3086" t="inlineStr">
        <is>
          <t>21:06</t>
        </is>
      </c>
      <c r="C3086" t="inlineStr">
        <is>
          <t>then rabbits that he could Chase and</t>
        </is>
      </c>
      <c r="D3086">
        <f>HYPERLINK("https://www.youtube.com/watch?v=QdQ58BbGRsA&amp;t=1266s", "Go to time")</f>
        <v/>
      </c>
    </row>
    <row r="3087">
      <c r="A3087">
        <f>HYPERLINK("https://www.youtube.com/watch?v=v2lMeryJ8f0", "Video")</f>
        <v/>
      </c>
      <c r="B3087" t="inlineStr">
        <is>
          <t>7:35</t>
        </is>
      </c>
      <c r="C3087" t="inlineStr">
        <is>
          <t>down a little bit so that I look</t>
        </is>
      </c>
      <c r="D3087">
        <f>HYPERLINK("https://www.youtube.com/watch?v=v2lMeryJ8f0&amp;t=455s", "Go to time")</f>
        <v/>
      </c>
    </row>
    <row r="3088">
      <c r="A3088">
        <f>HYPERLINK("https://www.youtube.com/watch?v=7OWSO1jgcHs", "Video")</f>
        <v/>
      </c>
      <c r="B3088" t="inlineStr">
        <is>
          <t>19:39</t>
        </is>
      </c>
      <c r="C3088" t="inlineStr">
        <is>
          <t>then rabbits that he could Chase and</t>
        </is>
      </c>
      <c r="D3088">
        <f>HYPERLINK("https://www.youtube.com/watch?v=7OWSO1jgcHs&amp;t=1179s", "Go to time")</f>
        <v/>
      </c>
    </row>
    <row r="3089">
      <c r="A3089">
        <f>HYPERLINK("https://www.youtube.com/watch?v=N0N_p05lo1c", "Video")</f>
        <v/>
      </c>
      <c r="B3089" t="inlineStr">
        <is>
          <t>2:37</t>
        </is>
      </c>
      <c r="C3089" t="inlineStr">
        <is>
          <t>yes oh it's a bit</t>
        </is>
      </c>
      <c r="D3089">
        <f>HYPERLINK("https://www.youtube.com/watch?v=N0N_p05lo1c&amp;t=157s", "Go to time")</f>
        <v/>
      </c>
    </row>
    <row r="3090">
      <c r="A3090">
        <f>HYPERLINK("https://www.youtube.com/watch?v=KnN5ksXxXu4", "Video")</f>
        <v/>
      </c>
      <c r="B3090" t="inlineStr">
        <is>
          <t>0:43</t>
        </is>
      </c>
      <c r="C3090" t="inlineStr">
        <is>
          <t>letters so after asss it is a bit of a</t>
        </is>
      </c>
      <c r="D3090">
        <f>HYPERLINK("https://www.youtube.com/watch?v=KnN5ksXxXu4&amp;t=43s", "Go to time")</f>
        <v/>
      </c>
    </row>
    <row r="3091">
      <c r="A3091">
        <f>HYPERLINK("https://www.youtube.com/watch?v=kvyL_h_w0MQ", "Video")</f>
        <v/>
      </c>
      <c r="B3091" t="inlineStr">
        <is>
          <t>6:05</t>
        </is>
      </c>
      <c r="C3091" t="inlineStr">
        <is>
          <t>are a bit of a drama</t>
        </is>
      </c>
      <c r="D3091">
        <f>HYPERLINK("https://www.youtube.com/watch?v=kvyL_h_w0MQ&amp;t=365s", "Go to time")</f>
        <v/>
      </c>
    </row>
    <row r="3092">
      <c r="A3092">
        <f>HYPERLINK("https://www.youtube.com/watch?v=AVYttkWSvGE", "Video")</f>
        <v/>
      </c>
      <c r="B3092" t="inlineStr">
        <is>
          <t>0:59</t>
        </is>
      </c>
      <c r="C3092" t="inlineStr">
        <is>
          <t>bite me oh my god well Mica keeps</t>
        </is>
      </c>
      <c r="D3092">
        <f>HYPERLINK("https://www.youtube.com/watch?v=AVYttkWSvGE&amp;t=59s", "Go to time")</f>
        <v/>
      </c>
    </row>
    <row r="3093">
      <c r="A3093">
        <f>HYPERLINK("https://www.youtube.com/watch?v=JvRc2CF5XO0", "Video")</f>
        <v/>
      </c>
      <c r="B3093" t="inlineStr">
        <is>
          <t>0:00</t>
        </is>
      </c>
      <c r="C3093" t="inlineStr">
        <is>
          <t>no no no it's it's just a bit sudden no</t>
        </is>
      </c>
      <c r="D3093">
        <f>HYPERLINK("https://www.youtube.com/watch?v=JvRc2CF5XO0&amp;t=0s", "Go to time")</f>
        <v/>
      </c>
    </row>
    <row r="3094">
      <c r="A3094">
        <f>HYPERLINK("https://www.youtube.com/watch?v=fvol_PhlegU", "Video")</f>
        <v/>
      </c>
      <c r="B3094" t="inlineStr">
        <is>
          <t>36:43</t>
        </is>
      </c>
      <c r="C3094" t="inlineStr">
        <is>
          <t>flirt a little bit but not in a gross</t>
        </is>
      </c>
      <c r="D3094">
        <f>HYPERLINK("https://www.youtube.com/watch?v=fvol_PhlegU&amp;t=2203s", "Go to time")</f>
        <v/>
      </c>
    </row>
    <row r="3095">
      <c r="A3095">
        <f>HYPERLINK("https://www.youtube.com/watch?v=U6_YrTkUQ0o", "Video")</f>
        <v/>
      </c>
      <c r="B3095" t="inlineStr">
        <is>
          <t>1:09</t>
        </is>
      </c>
      <c r="C3095" t="inlineStr">
        <is>
          <t>off against a Blind Rabbit and give you</t>
        </is>
      </c>
      <c r="D3095">
        <f>HYPERLINK("https://www.youtube.com/watch?v=U6_YrTkUQ0o&amp;t=69s", "Go to time")</f>
        <v/>
      </c>
    </row>
    <row r="3096">
      <c r="A3096">
        <f>HYPERLINK("https://www.youtube.com/watch?v=UYrwmTpmz60", "Video")</f>
        <v/>
      </c>
      <c r="B3096" t="inlineStr">
        <is>
          <t>48:57</t>
        </is>
      </c>
      <c r="C3096" t="inlineStr">
        <is>
          <t>so isn't it a bit cold out for shorts</t>
        </is>
      </c>
      <c r="D3096">
        <f>HYPERLINK("https://www.youtube.com/watch?v=UYrwmTpmz60&amp;t=2937s", "Go to time")</f>
        <v/>
      </c>
    </row>
    <row r="3097">
      <c r="A3097">
        <f>HYPERLINK("https://www.youtube.com/watch?v=o739b8h6wjY", "Video")</f>
        <v/>
      </c>
      <c r="B3097" t="inlineStr">
        <is>
          <t>13:32</t>
        </is>
      </c>
      <c r="C3097" t="inlineStr">
        <is>
          <t>about biting them oh no I meant it's</t>
        </is>
      </c>
      <c r="D3097">
        <f>HYPERLINK("https://www.youtube.com/watch?v=o739b8h6wjY&amp;t=812s", "Go to time")</f>
        <v/>
      </c>
    </row>
    <row r="3098">
      <c r="A3098">
        <f>HYPERLINK("https://www.youtube.com/watch?v=o739b8h6wjY", "Video")</f>
        <v/>
      </c>
      <c r="B3098" t="inlineStr">
        <is>
          <t>14:02</t>
        </is>
      </c>
      <c r="C3098" t="inlineStr">
        <is>
          <t>problem honey don't bite your</t>
        </is>
      </c>
      <c r="D3098">
        <f>HYPERLINK("https://www.youtube.com/watch?v=o739b8h6wjY&amp;t=842s", "Go to time")</f>
        <v/>
      </c>
    </row>
    <row r="3099">
      <c r="A3099">
        <f>HYPERLINK("https://www.youtube.com/watch?v=rNDDTjB7Yv8", "Video")</f>
        <v/>
      </c>
      <c r="B3099" t="inlineStr">
        <is>
          <t>28:00</t>
        </is>
      </c>
      <c r="C3099" t="inlineStr">
        <is>
          <t>and and bite her and then right right</t>
        </is>
      </c>
      <c r="D3099">
        <f>HYPERLINK("https://www.youtube.com/watch?v=rNDDTjB7Yv8&amp;t=1680s", "Go to time")</f>
        <v/>
      </c>
    </row>
    <row r="3100">
      <c r="A3100">
        <f>HYPERLINK("https://www.youtube.com/watch?v=qYlwMAhh92g", "Video")</f>
        <v/>
      </c>
      <c r="B3100" t="inlineStr">
        <is>
          <t>0:25</t>
        </is>
      </c>
      <c r="C3100" t="inlineStr">
        <is>
          <t>rabbit oh my god when the boy's love</t>
        </is>
      </c>
      <c r="D3100">
        <f>HYPERLINK("https://www.youtube.com/watch?v=qYlwMAhh92g&amp;t=25s", "Go to time")</f>
        <v/>
      </c>
    </row>
    <row r="3101">
      <c r="A3101">
        <f>HYPERLINK("https://www.youtube.com/watch?v=qYlwMAhh92g", "Video")</f>
        <v/>
      </c>
      <c r="B3101" t="inlineStr">
        <is>
          <t>0:27</t>
        </is>
      </c>
      <c r="C3101" t="inlineStr">
        <is>
          <t>makes the rabbit real okay but don't</t>
        </is>
      </c>
      <c r="D3101">
        <f>HYPERLINK("https://www.youtube.com/watch?v=qYlwMAhh92g&amp;t=27s", "Go to time")</f>
        <v/>
      </c>
    </row>
    <row r="3102">
      <c r="A3102">
        <f>HYPERLINK("https://www.youtube.com/watch?v=Ui1wIDSof60", "Video")</f>
        <v/>
      </c>
      <c r="B3102" t="inlineStr">
        <is>
          <t>0:58</t>
        </is>
      </c>
      <c r="C3102" t="inlineStr">
        <is>
          <t>kids and then the peacock bit</t>
        </is>
      </c>
      <c r="D3102">
        <f>HYPERLINK("https://www.youtube.com/watch?v=Ui1wIDSof60&amp;t=58s", "Go to time")</f>
        <v/>
      </c>
    </row>
    <row r="3103">
      <c r="A3103">
        <f>HYPERLINK("https://www.youtube.com/watch?v=Ui1wIDSof60", "Video")</f>
        <v/>
      </c>
      <c r="B3103" t="inlineStr">
        <is>
          <t>7:56</t>
        </is>
      </c>
      <c r="C3103" t="inlineStr">
        <is>
          <t>off against a Blind Rabbit and give you</t>
        </is>
      </c>
      <c r="D3103">
        <f>HYPERLINK("https://www.youtube.com/watch?v=Ui1wIDSof60&amp;t=476s", "Go to time")</f>
        <v/>
      </c>
    </row>
    <row r="3104">
      <c r="A3104">
        <f>HYPERLINK("https://www.youtube.com/watch?v=76tlr1ugLUs", "Video")</f>
        <v/>
      </c>
      <c r="B3104" t="inlineStr">
        <is>
          <t>6:26</t>
        </is>
      </c>
      <c r="C3104" t="inlineStr">
        <is>
          <t>kind of like The Hobbit it is nothing</t>
        </is>
      </c>
      <c r="D3104">
        <f>HYPERLINK("https://www.youtube.com/watch?v=76tlr1ugLUs&amp;t=386s", "Go to time")</f>
        <v/>
      </c>
    </row>
    <row r="3105">
      <c r="A3105">
        <f>HYPERLINK("https://www.youtube.com/watch?v=4a1NcMemnR4", "Video")</f>
        <v/>
      </c>
      <c r="B3105" t="inlineStr">
        <is>
          <t>7:32</t>
        </is>
      </c>
      <c r="C3105" t="inlineStr">
        <is>
          <t>a little bit so that I look taller</t>
        </is>
      </c>
      <c r="D3105">
        <f>HYPERLINK("https://www.youtube.com/watch?v=4a1NcMemnR4&amp;t=452s", "Go to time")</f>
        <v/>
      </c>
    </row>
    <row r="3106">
      <c r="A3106">
        <f>HYPERLINK("https://www.youtube.com/watch?v=VK3uw8ntINU", "Video")</f>
        <v/>
      </c>
      <c r="B3106" t="inlineStr">
        <is>
          <t>2:16</t>
        </is>
      </c>
      <c r="C3106" t="inlineStr">
        <is>
          <t>well i just think they're a little bit</t>
        </is>
      </c>
      <c r="D3106">
        <f>HYPERLINK("https://www.youtube.com/watch?v=VK3uw8ntINU&amp;t=136s", "Go to time")</f>
        <v/>
      </c>
    </row>
    <row r="3107">
      <c r="A3107">
        <f>HYPERLINK("https://www.youtube.com/watch?v=Tm7DcVtwrQE", "Video")</f>
        <v/>
      </c>
      <c r="B3107" t="inlineStr">
        <is>
          <t>18:26</t>
        </is>
      </c>
      <c r="C3107" t="inlineStr">
        <is>
          <t>across gerswin musical actually is bite</t>
        </is>
      </c>
      <c r="D3107">
        <f>HYPERLINK("https://www.youtube.com/watch?v=Tm7DcVtwrQE&amp;t=1106s", "Go to time")</f>
        <v/>
      </c>
    </row>
    <row r="3108">
      <c r="A3108">
        <f>HYPERLINK("https://www.youtube.com/watch?v=Tm7DcVtwrQE", "Video")</f>
        <v/>
      </c>
      <c r="B3108" t="inlineStr">
        <is>
          <t>18:29</t>
        </is>
      </c>
      <c r="C3108" t="inlineStr">
        <is>
          <t>me bite me bite me bite</t>
        </is>
      </c>
      <c r="D3108">
        <f>HYPERLINK("https://www.youtube.com/watch?v=Tm7DcVtwrQE&amp;t=1109s", "Go to time")</f>
        <v/>
      </c>
    </row>
    <row r="3109">
      <c r="A3109">
        <f>HYPERLINK("https://www.youtube.com/watch?v=5fUjAps9SsU", "Video")</f>
        <v/>
      </c>
      <c r="B3109" t="inlineStr">
        <is>
          <t>0:00</t>
        </is>
      </c>
      <c r="C3109" t="inlineStr">
        <is>
          <t>miracle was that that little bit of oil</t>
        </is>
      </c>
      <c r="D3109">
        <f>HYPERLINK("https://www.youtube.com/watch?v=5fUjAps9SsU&amp;t=0s", "Go to time")</f>
        <v/>
      </c>
    </row>
    <row r="3110">
      <c r="A3110">
        <f>HYPERLINK("https://www.youtube.com/watch?v=w0a07NySt6I", "Video")</f>
        <v/>
      </c>
      <c r="B3110" t="inlineStr">
        <is>
          <t>19:36</t>
        </is>
      </c>
      <c r="C3110" t="inlineStr">
        <is>
          <t>it I was awesome okay she was biting her</t>
        </is>
      </c>
      <c r="D3110">
        <f>HYPERLINK("https://www.youtube.com/watch?v=w0a07NySt6I&amp;t=1176s", "Go to time")</f>
        <v/>
      </c>
    </row>
    <row r="3111">
      <c r="A3111">
        <f>HYPERLINK("https://www.youtube.com/watch?v=w0a07NySt6I", "Video")</f>
        <v/>
      </c>
      <c r="B3111" t="inlineStr">
        <is>
          <t>20:45</t>
        </is>
      </c>
      <c r="C3111" t="inlineStr">
        <is>
          <t>you I had to bite my lip to keep from</t>
        </is>
      </c>
      <c r="D3111">
        <f>HYPERLINK("https://www.youtube.com/watch?v=w0a07NySt6I&amp;t=1245s", "Go to time")</f>
        <v/>
      </c>
    </row>
    <row r="3112">
      <c r="A3112">
        <f>HYPERLINK("https://www.youtube.com/watch?v=XX5IfNkMa5c", "Video")</f>
        <v/>
      </c>
      <c r="B3112" t="inlineStr">
        <is>
          <t>0:10</t>
        </is>
      </c>
      <c r="C3112" t="inlineStr">
        <is>
          <t>the helmet pelts exhibit at the Morgan</t>
        </is>
      </c>
      <c r="D3112">
        <f>HYPERLINK("https://www.youtube.com/watch?v=XX5IfNkMa5c&amp;t=10s", "Go to time")</f>
        <v/>
      </c>
    </row>
    <row r="3113">
      <c r="A3113">
        <f>HYPERLINK("https://www.youtube.com/watch?v=XX5IfNkMa5c", "Video")</f>
        <v/>
      </c>
      <c r="B3113" t="inlineStr">
        <is>
          <t>0:33</t>
        </is>
      </c>
      <c r="C3113" t="inlineStr">
        <is>
          <t>yeah so what what is the exhibit it's</t>
        </is>
      </c>
      <c r="D3113">
        <f>HYPERLINK("https://www.youtube.com/watch?v=XX5IfNkMa5c&amp;t=33s", "Go to time")</f>
        <v/>
      </c>
    </row>
    <row r="3114">
      <c r="A3114">
        <f>HYPERLINK("https://www.youtube.com/watch?v=vdVzThl6oEQ", "Video")</f>
        <v/>
      </c>
      <c r="B3114" t="inlineStr">
        <is>
          <t>0:14</t>
        </is>
      </c>
      <c r="C3114" t="inlineStr">
        <is>
          <t>yeah that's what you want my inhibition</t>
        </is>
      </c>
      <c r="D3114">
        <f>HYPERLINK("https://www.youtube.com/watch?v=vdVzThl6oEQ&amp;t=14s", "Go to time")</f>
        <v/>
      </c>
    </row>
    <row r="3115">
      <c r="A3115">
        <f>HYPERLINK("https://www.youtube.com/watch?v=yq61GLtwb9I", "Video")</f>
        <v/>
      </c>
      <c r="B3115" t="inlineStr">
        <is>
          <t>0:48</t>
        </is>
      </c>
      <c r="C3115" t="inlineStr">
        <is>
          <t>maybe you just tensed up a little bit</t>
        </is>
      </c>
      <c r="D3115">
        <f>HYPERLINK("https://www.youtube.com/watch?v=yq61GLtwb9I&amp;t=48s", "Go to time")</f>
        <v/>
      </c>
    </row>
    <row r="3116">
      <c r="A3116">
        <f>HYPERLINK("https://www.youtube.com/watch?v=wb5aj4IWpUQ", "Video")</f>
        <v/>
      </c>
      <c r="B3116" t="inlineStr">
        <is>
          <t>1:01</t>
        </is>
      </c>
      <c r="C3116" t="inlineStr">
        <is>
          <t>a little bit</t>
        </is>
      </c>
      <c r="D3116">
        <f>HYPERLINK("https://www.youtube.com/watch?v=wb5aj4IWpUQ&amp;t=61s", "Go to time")</f>
        <v/>
      </c>
    </row>
    <row r="3117">
      <c r="A3117">
        <f>HYPERLINK("https://www.youtube.com/watch?v=oVE7A308QtU", "Video")</f>
        <v/>
      </c>
      <c r="B3117" t="inlineStr">
        <is>
          <t>1:40</t>
        </is>
      </c>
      <c r="C3117" t="inlineStr">
        <is>
          <t>if we want to grab a bite before work we</t>
        </is>
      </c>
      <c r="D3117">
        <f>HYPERLINK("https://www.youtube.com/watch?v=oVE7A308QtU&amp;t=100s", "Go to time")</f>
        <v/>
      </c>
    </row>
    <row r="3118">
      <c r="A3118">
        <f>HYPERLINK("https://www.youtube.com/watch?v=7h-8Dd4CRTY", "Video")</f>
        <v/>
      </c>
      <c r="B3118" t="inlineStr">
        <is>
          <t>0:17</t>
        </is>
      </c>
      <c r="C3118" t="inlineStr">
        <is>
          <t>a little bit more</t>
        </is>
      </c>
      <c r="D3118">
        <f>HYPERLINK("https://www.youtube.com/watch?v=7h-8Dd4CRTY&amp;t=17s", "Go to time")</f>
        <v/>
      </c>
    </row>
    <row r="3119">
      <c r="A3119">
        <f>HYPERLINK("https://www.youtube.com/watch?v=7h-8Dd4CRTY", "Video")</f>
        <v/>
      </c>
      <c r="B3119" t="inlineStr">
        <is>
          <t>0:19</t>
        </is>
      </c>
      <c r="C3119" t="inlineStr">
        <is>
          <t>a little bit more</t>
        </is>
      </c>
      <c r="D3119">
        <f>HYPERLINK("https://www.youtube.com/watch?v=7h-8Dd4CRTY&amp;t=19s", "Go to time")</f>
        <v/>
      </c>
    </row>
    <row r="3120">
      <c r="A3120">
        <f>HYPERLINK("https://www.youtube.com/watch?v=SKklEhqopqA", "Video")</f>
        <v/>
      </c>
      <c r="B3120" t="inlineStr">
        <is>
          <t>14:52</t>
        </is>
      </c>
      <c r="C3120" t="inlineStr">
        <is>
          <t>off against a Blind Rabbit and give you</t>
        </is>
      </c>
      <c r="D3120">
        <f>HYPERLINK("https://www.youtube.com/watch?v=SKklEhqopqA&amp;t=892s", "Go to time")</f>
        <v/>
      </c>
    </row>
    <row r="3121">
      <c r="A3121">
        <f>HYPERLINK("https://www.youtube.com/watch?v=xnQD2_vrEgs", "Video")</f>
        <v/>
      </c>
      <c r="B3121" t="inlineStr">
        <is>
          <t>0:16</t>
        </is>
      </c>
      <c r="C3121" t="inlineStr">
        <is>
          <t>rules you can like bite and pull</t>
        </is>
      </c>
      <c r="D3121">
        <f>HYPERLINK("https://www.youtube.com/watch?v=xnQD2_vrEgs&amp;t=16s", "Go to time")</f>
        <v/>
      </c>
    </row>
    <row r="3122">
      <c r="A3122">
        <f>HYPERLINK("https://www.youtube.com/watch?v=qmgTn199WOE", "Video")</f>
        <v/>
      </c>
      <c r="B3122" t="inlineStr">
        <is>
          <t>5:21</t>
        </is>
      </c>
      <c r="C3122" t="inlineStr">
        <is>
          <t>Manelli no no no it's it's just a bit</t>
        </is>
      </c>
      <c r="D3122">
        <f>HYPERLINK("https://www.youtube.com/watch?v=qmgTn199WOE&amp;t=321s", "Go to time")</f>
        <v/>
      </c>
    </row>
    <row r="3123">
      <c r="A3123">
        <f>HYPERLINK("https://www.youtube.com/watch?v=qmgTn199WOE", "Video")</f>
        <v/>
      </c>
      <c r="B3123" t="inlineStr">
        <is>
          <t>15:51</t>
        </is>
      </c>
      <c r="C3123" t="inlineStr">
        <is>
          <t>then rabbits that he could Chase and it</t>
        </is>
      </c>
      <c r="D3123">
        <f>HYPERLINK("https://www.youtube.com/watch?v=qmgTn199WOE&amp;t=951s", "Go to time")</f>
        <v/>
      </c>
    </row>
    <row r="3124">
      <c r="A3124">
        <f>HYPERLINK("https://www.youtube.com/watch?v=qmgTn199WOE", "Video")</f>
        <v/>
      </c>
      <c r="B3124" t="inlineStr">
        <is>
          <t>20:59</t>
        </is>
      </c>
      <c r="C3124" t="inlineStr">
        <is>
          <t>pelts exhibit at the Morgan Chase Museum</t>
        </is>
      </c>
      <c r="D3124">
        <f>HYPERLINK("https://www.youtube.com/watch?v=qmgTn199WOE&amp;t=1259s", "Go to time")</f>
        <v/>
      </c>
    </row>
    <row r="3125">
      <c r="A3125">
        <f>HYPERLINK("https://www.youtube.com/watch?v=qmgTn199WOE", "Video")</f>
        <v/>
      </c>
      <c r="B3125" t="inlineStr">
        <is>
          <t>21:21</t>
        </is>
      </c>
      <c r="C3125" t="inlineStr">
        <is>
          <t>yeah so what what is the exhibit it's</t>
        </is>
      </c>
      <c r="D3125">
        <f>HYPERLINK("https://www.youtube.com/watch?v=qmgTn199WOE&amp;t=1281s", "Go to time")</f>
        <v/>
      </c>
    </row>
    <row r="3126">
      <c r="A3126">
        <f>HYPERLINK("https://www.youtube.com/watch?v=YKbizAipups", "Video")</f>
        <v/>
      </c>
      <c r="B3126" t="inlineStr">
        <is>
          <t>8:55</t>
        </is>
      </c>
      <c r="C3126" t="inlineStr">
        <is>
          <t>iie this may sting just a little bit</t>
        </is>
      </c>
      <c r="D3126">
        <f>HYPERLINK("https://www.youtube.com/watch?v=YKbizAipups&amp;t=535s", "Go to time")</f>
        <v/>
      </c>
    </row>
    <row r="3127">
      <c r="A3127">
        <f>HYPERLINK("https://www.youtube.com/watch?v=YKbizAipups", "Video")</f>
        <v/>
      </c>
      <c r="B3127" t="inlineStr">
        <is>
          <t>9:12</t>
        </is>
      </c>
      <c r="C3127" t="inlineStr">
        <is>
          <t>right just a uh bit of shock is all but</t>
        </is>
      </c>
      <c r="D3127">
        <f>HYPERLINK("https://www.youtube.com/watch?v=YKbizAipups&amp;t=552s", "Go to time")</f>
        <v/>
      </c>
    </row>
    <row r="3128">
      <c r="A3128">
        <f>HYPERLINK("https://www.youtube.com/watch?v=YKbizAipups", "Video")</f>
        <v/>
      </c>
      <c r="B3128" t="inlineStr">
        <is>
          <t>14:25</t>
        </is>
      </c>
      <c r="C3128" t="inlineStr">
        <is>
          <t>what is it like two bites in here</t>
        </is>
      </c>
      <c r="D3128">
        <f>HYPERLINK("https://www.youtube.com/watch?v=YKbizAipups&amp;t=865s", "Go to time")</f>
        <v/>
      </c>
    </row>
    <row r="3129">
      <c r="A3129">
        <f>HYPERLINK("https://www.youtube.com/watch?v=YKbizAipups", "Video")</f>
        <v/>
      </c>
      <c r="B3129" t="inlineStr">
        <is>
          <t>22:33</t>
        </is>
      </c>
      <c r="C3129" t="inlineStr">
        <is>
          <t>you are a bit of a drama</t>
        </is>
      </c>
      <c r="D3129">
        <f>HYPERLINK("https://www.youtube.com/watch?v=YKbizAipups&amp;t=1353s", "Go to time")</f>
        <v/>
      </c>
    </row>
    <row r="3130">
      <c r="A3130">
        <f>HYPERLINK("https://www.youtube.com/watch?v=YKbizAipups", "Video")</f>
        <v/>
      </c>
      <c r="B3130" t="inlineStr">
        <is>
          <t>28:14</t>
        </is>
      </c>
      <c r="C3130" t="inlineStr">
        <is>
          <t>flirt a little bit but not in a gross</t>
        </is>
      </c>
      <c r="D3130">
        <f>HYPERLINK("https://www.youtube.com/watch?v=YKbizAipups&amp;t=1694s", "Go to time")</f>
        <v/>
      </c>
    </row>
    <row r="3131">
      <c r="A3131">
        <f>HYPERLINK("https://www.youtube.com/watch?v=-SPzv5UVgwc", "Video")</f>
        <v/>
      </c>
      <c r="B3131" t="inlineStr">
        <is>
          <t>21:15</t>
        </is>
      </c>
      <c r="C3131" t="inlineStr">
        <is>
          <t>kids and then the peacock bit</t>
        </is>
      </c>
      <c r="D3131">
        <f>HYPERLINK("https://www.youtube.com/watch?v=-SPzv5UVgwc&amp;t=1275s", "Go to time")</f>
        <v/>
      </c>
    </row>
    <row r="3132">
      <c r="A3132">
        <f>HYPERLINK("https://www.youtube.com/watch?v=-SPzv5UVgwc", "Video")</f>
        <v/>
      </c>
      <c r="B3132" t="inlineStr">
        <is>
          <t>39:44</t>
        </is>
      </c>
      <c r="C3132" t="inlineStr">
        <is>
          <t>yeah that's what you want my inhibition</t>
        </is>
      </c>
      <c r="D3132">
        <f>HYPERLINK("https://www.youtube.com/watch?v=-SPzv5UVgwc&amp;t=2384s", "Go to time")</f>
        <v/>
      </c>
    </row>
    <row r="3133">
      <c r="A3133">
        <f>HYPERLINK("https://www.youtube.com/watch?v=BR8IcqZ66aI", "Video")</f>
        <v/>
      </c>
      <c r="B3133" t="inlineStr">
        <is>
          <t>19:33</t>
        </is>
      </c>
      <c r="C3133" t="inlineStr">
        <is>
          <t>what is it like two bites in</t>
        </is>
      </c>
      <c r="D3133">
        <f>HYPERLINK("https://www.youtube.com/watch?v=BR8IcqZ66aI&amp;t=1173s", "Go to time")</f>
        <v/>
      </c>
    </row>
    <row r="3134">
      <c r="A3134">
        <f>HYPERLINK("https://www.youtube.com/watch?v=BR8IcqZ66aI", "Video")</f>
        <v/>
      </c>
      <c r="B3134" t="inlineStr">
        <is>
          <t>29:22</t>
        </is>
      </c>
      <c r="C3134" t="inlineStr">
        <is>
          <t>maybe you just tensed up a little bit</t>
        </is>
      </c>
      <c r="D3134">
        <f>HYPERLINK("https://www.youtube.com/watch?v=BR8IcqZ66aI&amp;t=1762s", "Go to time")</f>
        <v/>
      </c>
    </row>
    <row r="3135">
      <c r="A3135">
        <f>HYPERLINK("https://www.youtube.com/watch?v=BR8IcqZ66aI", "Video")</f>
        <v/>
      </c>
      <c r="B3135" t="inlineStr">
        <is>
          <t>33:10</t>
        </is>
      </c>
      <c r="C3135" t="inlineStr">
        <is>
          <t>back you know maybe a little bit how was</t>
        </is>
      </c>
      <c r="D3135">
        <f>HYPERLINK("https://www.youtube.com/watch?v=BR8IcqZ66aI&amp;t=1990s", "Go to time")</f>
        <v/>
      </c>
    </row>
    <row r="3136">
      <c r="A3136">
        <f>HYPERLINK("https://www.youtube.com/watch?v=bnzipgl7zGo", "Video")</f>
        <v/>
      </c>
      <c r="B3136" t="inlineStr">
        <is>
          <t>0:39</t>
        </is>
      </c>
      <c r="C3136" t="inlineStr">
        <is>
          <t>what is it like two bites in</t>
        </is>
      </c>
      <c r="D3136">
        <f>HYPERLINK("https://www.youtube.com/watch?v=bnzipgl7zGo&amp;t=39s", "Go to time")</f>
        <v/>
      </c>
    </row>
    <row r="3137">
      <c r="A3137">
        <f>HYPERLINK("https://www.youtube.com/watch?v=H1bZk8Q6TPU", "Video")</f>
        <v/>
      </c>
      <c r="B3137" t="inlineStr">
        <is>
          <t>0:49</t>
        </is>
      </c>
      <c r="C3137" t="inlineStr">
        <is>
          <t>bit</t>
        </is>
      </c>
      <c r="D3137">
        <f>HYPERLINK("https://www.youtube.com/watch?v=H1bZk8Q6TPU&amp;t=49s", "Go to time")</f>
        <v/>
      </c>
    </row>
    <row r="3138">
      <c r="A3138">
        <f>HYPERLINK("https://www.youtube.com/watch?v=ldANRb24--0", "Video")</f>
        <v/>
      </c>
      <c r="B3138" t="inlineStr">
        <is>
          <t>11:05</t>
        </is>
      </c>
      <c r="C3138" t="inlineStr">
        <is>
          <t>there'll be a wee bit o</t>
        </is>
      </c>
      <c r="D3138">
        <f>HYPERLINK("https://www.youtube.com/watch?v=ldANRb24--0&amp;t=665s", "Go to time")</f>
        <v/>
      </c>
    </row>
    <row r="3139">
      <c r="A3139">
        <f>HYPERLINK("https://www.youtube.com/watch?v=p7wabPRxvII", "Video")</f>
        <v/>
      </c>
      <c r="B3139" t="inlineStr">
        <is>
          <t>7:24</t>
        </is>
      </c>
      <c r="C3139" t="inlineStr">
        <is>
          <t>bit M do you want us to uh come back</t>
        </is>
      </c>
      <c r="D3139">
        <f>HYPERLINK("https://www.youtube.com/watch?v=p7wabPRxvII&amp;t=444s", "Go to time")</f>
        <v/>
      </c>
    </row>
    <row r="3140">
      <c r="A3140">
        <f>HYPERLINK("https://www.youtube.com/watch?v=o5shsudy-y0", "Video")</f>
        <v/>
      </c>
      <c r="B3140" t="inlineStr">
        <is>
          <t>0:09</t>
        </is>
      </c>
      <c r="C3140" t="inlineStr">
        <is>
          <t>overreacted a little bit and some things</t>
        </is>
      </c>
      <c r="D3140">
        <f>HYPERLINK("https://www.youtube.com/watch?v=o5shsudy-y0&amp;t=9s", "Go to time")</f>
        <v/>
      </c>
    </row>
    <row r="3141">
      <c r="A3141">
        <f>HYPERLINK("https://www.youtube.com/watch?v=K4pto-C3Wag", "Video")</f>
        <v/>
      </c>
      <c r="B3141" t="inlineStr">
        <is>
          <t>4:10</t>
        </is>
      </c>
      <c r="C3141" t="inlineStr">
        <is>
          <t>across gerswin musical actually is bite</t>
        </is>
      </c>
      <c r="D3141">
        <f>HYPERLINK("https://www.youtube.com/watch?v=K4pto-C3Wag&amp;t=250s", "Go to time")</f>
        <v/>
      </c>
    </row>
    <row r="3142">
      <c r="A3142">
        <f>HYPERLINK("https://www.youtube.com/watch?v=K4pto-C3Wag", "Video")</f>
        <v/>
      </c>
      <c r="B3142" t="inlineStr">
        <is>
          <t>4:13</t>
        </is>
      </c>
      <c r="C3142" t="inlineStr">
        <is>
          <t>me bite me bite me bite me so pretty</t>
        </is>
      </c>
      <c r="D3142">
        <f>HYPERLINK("https://www.youtube.com/watch?v=K4pto-C3Wag&amp;t=253s", "Go to time")</f>
        <v/>
      </c>
    </row>
    <row r="3143">
      <c r="A3143">
        <f>HYPERLINK("https://www.youtube.com/watch?v=MZrJwz9G_4U", "Video")</f>
        <v/>
      </c>
      <c r="B3143" t="inlineStr">
        <is>
          <t>0:47</t>
        </is>
      </c>
      <c r="C3143" t="inlineStr">
        <is>
          <t>yeah you know you are a bit of a drama</t>
        </is>
      </c>
      <c r="D3143">
        <f>HYPERLINK("https://www.youtube.com/watch?v=MZrJwz9G_4U&amp;t=47s", "Go to time")</f>
        <v/>
      </c>
    </row>
    <row r="3144">
      <c r="A3144">
        <f>HYPERLINK("https://www.youtube.com/watch?v=FXjJrD8qqe0", "Video")</f>
        <v/>
      </c>
      <c r="B3144" t="inlineStr">
        <is>
          <t>12:34</t>
        </is>
      </c>
      <c r="C3144" t="inlineStr">
        <is>
          <t>Manelli no no no it's it's just a bit</t>
        </is>
      </c>
      <c r="D3144">
        <f>HYPERLINK("https://www.youtube.com/watch?v=FXjJrD8qqe0&amp;t=754s", "Go to time")</f>
        <v/>
      </c>
    </row>
    <row r="3145">
      <c r="A3145">
        <f>HYPERLINK("https://www.youtube.com/watch?v=AjrwYYV8GlU", "Video")</f>
        <v/>
      </c>
      <c r="B3145" t="inlineStr">
        <is>
          <t>1:11</t>
        </is>
      </c>
      <c r="C3145" t="inlineStr">
        <is>
          <t>make the world just a little bit</t>
        </is>
      </c>
      <c r="D3145">
        <f>HYPERLINK("https://www.youtube.com/watch?v=AjrwYYV8GlU&amp;t=71s", "Go to time")</f>
        <v/>
      </c>
    </row>
    <row r="3146">
      <c r="A3146">
        <f>HYPERLINK("https://www.youtube.com/watch?v=3NTCxbYgRLI", "Video")</f>
        <v/>
      </c>
      <c r="B3146" t="inlineStr">
        <is>
          <t>0:44</t>
        </is>
      </c>
      <c r="C3146" t="inlineStr">
        <is>
          <t>yeah bit of a daredevil are</t>
        </is>
      </c>
      <c r="D3146">
        <f>HYPERLINK("https://www.youtube.com/watch?v=3NTCxbYgRLI&amp;t=44s", "Go to time")</f>
        <v/>
      </c>
    </row>
    <row r="3147">
      <c r="A3147">
        <f>HYPERLINK("https://www.youtube.com/watch?v=AquniUDXjj0", "Video")</f>
        <v/>
      </c>
      <c r="B3147" t="inlineStr">
        <is>
          <t>0:14</t>
        </is>
      </c>
      <c r="C3147" t="inlineStr">
        <is>
          <t>right just a uh bit of shock is all but</t>
        </is>
      </c>
      <c r="D3147">
        <f>HYPERLINK("https://www.youtube.com/watch?v=AquniUDXjj0&amp;t=14s", "Go to time")</f>
        <v/>
      </c>
    </row>
    <row r="3148">
      <c r="A3148">
        <f>HYPERLINK("https://www.youtube.com/watch?v=NiQ1Hdmt1kc", "Video")</f>
        <v/>
      </c>
      <c r="B3148" t="inlineStr">
        <is>
          <t>6:57</t>
        </is>
      </c>
      <c r="C3148" t="inlineStr">
        <is>
          <t>much I mean to you yeah with a bite</t>
        </is>
      </c>
      <c r="D3148">
        <f>HYPERLINK("https://www.youtube.com/watch?v=NiQ1Hdmt1kc&amp;t=417s", "Go to time")</f>
        <v/>
      </c>
    </row>
    <row r="3149">
      <c r="A3149">
        <f>HYPERLINK("https://www.youtube.com/watch?v=NiQ1Hdmt1kc", "Video")</f>
        <v/>
      </c>
      <c r="B3149" t="inlineStr">
        <is>
          <t>22:16</t>
        </is>
      </c>
      <c r="C3149" t="inlineStr">
        <is>
          <t>overreacted a little bit and some things</t>
        </is>
      </c>
      <c r="D3149">
        <f>HYPERLINK("https://www.youtube.com/watch?v=NiQ1Hdmt1kc&amp;t=1336s", "Go to time")</f>
        <v/>
      </c>
    </row>
    <row r="3150">
      <c r="A3150">
        <f>HYPERLINK("https://www.youtube.com/watch?v=qslVHurpXzU", "Video")</f>
        <v/>
      </c>
      <c r="B3150" t="inlineStr">
        <is>
          <t>20:11</t>
        </is>
      </c>
      <c r="C3150" t="inlineStr">
        <is>
          <t>kind of like The Hobbit it is nothing</t>
        </is>
      </c>
      <c r="D3150">
        <f>HYPERLINK("https://www.youtube.com/watch?v=qslVHurpXzU&amp;t=1211s", "Go to time")</f>
        <v/>
      </c>
    </row>
    <row r="3151">
      <c r="A3151">
        <f>HYPERLINK("https://www.youtube.com/watch?v=qslVHurpXzU", "Video")</f>
        <v/>
      </c>
      <c r="B3151" t="inlineStr">
        <is>
          <t>20:15</t>
        </is>
      </c>
      <c r="C3151" t="inlineStr">
        <is>
          <t>Hobbit it's like reading about every</t>
        </is>
      </c>
      <c r="D3151">
        <f>HYPERLINK("https://www.youtube.com/watch?v=qslVHurpXzU&amp;t=1215s", "Go to time")</f>
        <v/>
      </c>
    </row>
    <row r="3152">
      <c r="A3152">
        <f>HYPERLINK("https://www.youtube.com/watch?v=qslVHurpXzU", "Video")</f>
        <v/>
      </c>
      <c r="B3152" t="inlineStr">
        <is>
          <t>25:43</t>
        </is>
      </c>
      <c r="C3152" t="inlineStr">
        <is>
          <t>if okay I bit my</t>
        </is>
      </c>
      <c r="D3152">
        <f>HYPERLINK("https://www.youtube.com/watch?v=qslVHurpXzU&amp;t=1543s", "Go to time")</f>
        <v/>
      </c>
    </row>
    <row r="3153">
      <c r="A3153">
        <f>HYPERLINK("https://www.youtube.com/watch?v=qslVHurpXzU", "Video")</f>
        <v/>
      </c>
      <c r="B3153" t="inlineStr">
        <is>
          <t>55:11</t>
        </is>
      </c>
      <c r="C3153" t="inlineStr">
        <is>
          <t>flirt a little bit but not in a gross</t>
        </is>
      </c>
      <c r="D3153">
        <f>HYPERLINK("https://www.youtube.com/watch?v=qslVHurpXzU&amp;t=3311s", "Go to time")</f>
        <v/>
      </c>
    </row>
    <row r="3154">
      <c r="A3154">
        <f>HYPERLINK("https://www.youtube.com/watch?v=jVXbj-ocxRQ", "Video")</f>
        <v/>
      </c>
      <c r="B3154" t="inlineStr">
        <is>
          <t>28:52</t>
        </is>
      </c>
      <c r="C3154" t="inlineStr">
        <is>
          <t>bitty waist and a round thing in your</t>
        </is>
      </c>
      <c r="D3154">
        <f>HYPERLINK("https://www.youtube.com/watch?v=jVXbj-ocxRQ&amp;t=1732s", "Go to time")</f>
        <v/>
      </c>
    </row>
    <row r="3155">
      <c r="A3155">
        <f>HYPERLINK("https://www.youtube.com/watch?v=jVXbj-ocxRQ", "Video")</f>
        <v/>
      </c>
      <c r="B3155" t="inlineStr">
        <is>
          <t>29:35</t>
        </is>
      </c>
      <c r="C3155" t="inlineStr">
        <is>
          <t>ity Bitsy</t>
        </is>
      </c>
      <c r="D3155">
        <f>HYPERLINK("https://www.youtube.com/watch?v=jVXbj-ocxRQ&amp;t=1775s", "Go to time")</f>
        <v/>
      </c>
    </row>
    <row r="3156">
      <c r="A3156">
        <f>HYPERLINK("https://www.youtube.com/watch?v=NOV6y43KyOQ", "Video")</f>
        <v/>
      </c>
      <c r="B3156" t="inlineStr">
        <is>
          <t>15:23</t>
        </is>
      </c>
      <c r="C3156" t="inlineStr">
        <is>
          <t>bite me oh my god well mon keeps</t>
        </is>
      </c>
      <c r="D3156">
        <f>HYPERLINK("https://www.youtube.com/watch?v=NOV6y43KyOQ&amp;t=923s", "Go to time")</f>
        <v/>
      </c>
    </row>
    <row r="3157">
      <c r="A3157">
        <f>HYPERLINK("https://www.youtube.com/watch?v=NOV6y43KyOQ", "Video")</f>
        <v/>
      </c>
      <c r="B3157" t="inlineStr">
        <is>
          <t>15:51</t>
        </is>
      </c>
      <c r="C3157" t="inlineStr">
        <is>
          <t>wouldn't give me grief about biting them</t>
        </is>
      </c>
      <c r="D3157">
        <f>HYPERLINK("https://www.youtube.com/watch?v=NOV6y43KyOQ&amp;t=951s", "Go to time")</f>
        <v/>
      </c>
    </row>
    <row r="3158">
      <c r="A3158">
        <f>HYPERLINK("https://www.youtube.com/watch?v=NOV6y43KyOQ", "Video")</f>
        <v/>
      </c>
      <c r="B3158" t="inlineStr">
        <is>
          <t>16:22</t>
        </is>
      </c>
      <c r="C3158" t="inlineStr">
        <is>
          <t>problem honey don't bite your</t>
        </is>
      </c>
      <c r="D3158">
        <f>HYPERLINK("https://www.youtube.com/watch?v=NOV6y43KyOQ&amp;t=982s", "Go to time")</f>
        <v/>
      </c>
    </row>
    <row r="3159">
      <c r="A3159">
        <f>HYPERLINK("https://www.youtube.com/watch?v=MBBUJj1hbZg", "Video")</f>
        <v/>
      </c>
      <c r="B3159" t="inlineStr">
        <is>
          <t>1:17</t>
        </is>
      </c>
      <c r="C3159" t="inlineStr">
        <is>
          <t>bit I'm going to miss</t>
        </is>
      </c>
      <c r="D3159">
        <f>HYPERLINK("https://www.youtube.com/watch?v=MBBUJj1hbZg&amp;t=77s", "Go to time")</f>
        <v/>
      </c>
    </row>
    <row r="3160">
      <c r="A3160">
        <f>HYPERLINK("https://www.youtube.com/watch?v=WY4ciWj_XJg", "Video")</f>
        <v/>
      </c>
      <c r="B3160" t="inlineStr">
        <is>
          <t>18:55</t>
        </is>
      </c>
      <c r="C3160" t="inlineStr">
        <is>
          <t>ambitious but well it's not like I have</t>
        </is>
      </c>
      <c r="D3160">
        <f>HYPERLINK("https://www.youtube.com/watch?v=WY4ciWj_XJg&amp;t=1135s", "Go to time")</f>
        <v/>
      </c>
    </row>
    <row r="3161">
      <c r="A3161">
        <f>HYPERLINK("https://www.youtube.com/watch?v=PFoJmXniLHs", "Video")</f>
        <v/>
      </c>
      <c r="B3161" t="inlineStr">
        <is>
          <t>17:37</t>
        </is>
      </c>
      <c r="C3161" t="inlineStr">
        <is>
          <t>kissed so isn't it a bit cold out for</t>
        </is>
      </c>
      <c r="D3161">
        <f>HYPERLINK("https://www.youtube.com/watch?v=PFoJmXniLHs&amp;t=1057s", "Go to time")</f>
        <v/>
      </c>
    </row>
    <row r="3162">
      <c r="A3162">
        <f>HYPERLINK("https://www.youtube.com/watch?v=YIpA9j1TVYo", "Video")</f>
        <v/>
      </c>
      <c r="B3162" t="inlineStr">
        <is>
          <t>25:03</t>
        </is>
      </c>
      <c r="C3162" t="inlineStr">
        <is>
          <t>bit older than you guys but it's not</t>
        </is>
      </c>
      <c r="D3162">
        <f>HYPERLINK("https://www.youtube.com/watch?v=YIpA9j1TVYo&amp;t=1503s", "Go to time")</f>
        <v/>
      </c>
    </row>
    <row r="3163">
      <c r="A3163">
        <f>HYPERLINK("https://www.youtube.com/watch?v=zI1w05Uzi5s", "Video")</f>
        <v/>
      </c>
      <c r="B3163" t="inlineStr">
        <is>
          <t>18:09</t>
        </is>
      </c>
      <c r="C3163" t="inlineStr">
        <is>
          <t>everything but still bite me</t>
        </is>
      </c>
      <c r="D3163">
        <f>HYPERLINK("https://www.youtube.com/watch?v=zI1w05Uzi5s&amp;t=1089s", "Go to time")</f>
        <v/>
      </c>
    </row>
    <row r="3164">
      <c r="A3164">
        <f>HYPERLINK("https://www.youtube.com/watch?v=X5oCPvGe-4M", "Video")</f>
        <v/>
      </c>
      <c r="B3164" t="inlineStr">
        <is>
          <t>9:06</t>
        </is>
      </c>
      <c r="C3164" t="inlineStr">
        <is>
          <t>feel like we should talk a little bit</t>
        </is>
      </c>
      <c r="D3164">
        <f>HYPERLINK("https://www.youtube.com/watch?v=X5oCPvGe-4M&amp;t=546s", "Go to time")</f>
        <v/>
      </c>
    </row>
    <row r="3165">
      <c r="A3165">
        <f>HYPERLINK("https://www.youtube.com/watch?v=YYgRtMSduQw", "Video")</f>
        <v/>
      </c>
      <c r="B3165" t="inlineStr">
        <is>
          <t>0:27</t>
        </is>
      </c>
      <c r="C3165" t="inlineStr">
        <is>
          <t>good I was a little bit worried that I</t>
        </is>
      </c>
      <c r="D3165">
        <f>HYPERLINK("https://www.youtube.com/watch?v=YYgRtMSduQw&amp;t=27s", "Go to time")</f>
        <v/>
      </c>
    </row>
    <row r="3166">
      <c r="A3166">
        <f>HYPERLINK("https://www.youtube.com/watch?v=nbsQt1nOAg0", "Video")</f>
        <v/>
      </c>
      <c r="B3166" t="inlineStr">
        <is>
          <t>21:25</t>
        </is>
      </c>
      <c r="C3166" t="inlineStr">
        <is>
          <t>it bite me oh my god well Monica keeps</t>
        </is>
      </c>
      <c r="D3166">
        <f>HYPERLINK("https://www.youtube.com/watch?v=nbsQt1nOAg0&amp;t=1285s", "Go to time")</f>
        <v/>
      </c>
    </row>
    <row r="3167">
      <c r="A3167">
        <f>HYPERLINK("https://www.youtube.com/watch?v=nbsQt1nOAg0", "Video")</f>
        <v/>
      </c>
      <c r="B3167" t="inlineStr">
        <is>
          <t>41:38</t>
        </is>
      </c>
      <c r="C3167" t="inlineStr">
        <is>
          <t>bit she said what she said if I'm not</t>
        </is>
      </c>
      <c r="D3167">
        <f>HYPERLINK("https://www.youtube.com/watch?v=nbsQt1nOAg0&amp;t=2498s", "Go to time")</f>
        <v/>
      </c>
    </row>
    <row r="3168">
      <c r="A3168">
        <f>HYPERLINK("https://www.youtube.com/watch?v=eJz27sEAQUM", "Video")</f>
        <v/>
      </c>
      <c r="B3168" t="inlineStr">
        <is>
          <t>0:05</t>
        </is>
      </c>
      <c r="C3168" t="inlineStr">
        <is>
          <t>mom wouldn't give me grief about biting</t>
        </is>
      </c>
      <c r="D3168">
        <f>HYPERLINK("https://www.youtube.com/watch?v=eJz27sEAQUM&amp;t=5s", "Go to time")</f>
        <v/>
      </c>
    </row>
    <row r="3169">
      <c r="A3169">
        <f>HYPERLINK("https://www.youtube.com/watch?v=eJz27sEAQUM", "Video")</f>
        <v/>
      </c>
      <c r="B3169" t="inlineStr">
        <is>
          <t>0:36</t>
        </is>
      </c>
      <c r="C3169" t="inlineStr">
        <is>
          <t>problemy don't bite your</t>
        </is>
      </c>
      <c r="D3169">
        <f>HYPERLINK("https://www.youtube.com/watch?v=eJz27sEAQUM&amp;t=36s", "Go to time")</f>
        <v/>
      </c>
    </row>
    <row r="3170">
      <c r="A3170">
        <f>HYPERLINK("https://www.youtube.com/watch?v=vYI7RXSNisk", "Video")</f>
        <v/>
      </c>
      <c r="B3170" t="inlineStr">
        <is>
          <t>0:17</t>
        </is>
      </c>
      <c r="C3170" t="inlineStr">
        <is>
          <t>a little bit but hey by the way quick</t>
        </is>
      </c>
      <c r="D3170">
        <f>HYPERLINK("https://www.youtube.com/watch?v=vYI7RXSNisk&amp;t=17s", "Go to time")</f>
        <v/>
      </c>
    </row>
    <row r="3171">
      <c r="A3171">
        <f>HYPERLINK("https://www.youtube.com/watch?v=nCPZvWW0fDU", "Video")</f>
        <v/>
      </c>
      <c r="B3171" t="inlineStr">
        <is>
          <t>13:02</t>
        </is>
      </c>
      <c r="C3171" t="inlineStr">
        <is>
          <t>can like bite and pull people's hair and</t>
        </is>
      </c>
      <c r="D3171">
        <f>HYPERLINK("https://www.youtube.com/watch?v=nCPZvWW0fDU&amp;t=782s", "Go to time")</f>
        <v/>
      </c>
    </row>
    <row r="3172">
      <c r="A3172">
        <f>HYPERLINK("https://www.youtube.com/watch?v=N4Ry_ai5YvQ", "Video")</f>
        <v/>
      </c>
      <c r="B3172" t="inlineStr">
        <is>
          <t>17:09</t>
        </is>
      </c>
      <c r="C3172" t="inlineStr">
        <is>
          <t>i had to bite my lip to keep from</t>
        </is>
      </c>
      <c r="D3172">
        <f>HYPERLINK("https://www.youtube.com/watch?v=N4Ry_ai5YvQ&amp;t=1029s", "Go to time")</f>
        <v/>
      </c>
    </row>
    <row r="3173">
      <c r="A3173">
        <f>HYPERLINK("https://www.youtube.com/watch?v=N4Ry_ai5YvQ", "Video")</f>
        <v/>
      </c>
      <c r="B3173" t="inlineStr">
        <is>
          <t>17:33</t>
        </is>
      </c>
      <c r="C3173" t="inlineStr">
        <is>
          <t>oh the velvetine rabbit oh my god when</t>
        </is>
      </c>
      <c r="D3173">
        <f>HYPERLINK("https://www.youtube.com/watch?v=N4Ry_ai5YvQ&amp;t=1053s", "Go to time")</f>
        <v/>
      </c>
    </row>
    <row r="3174">
      <c r="A3174">
        <f>HYPERLINK("https://www.youtube.com/watch?v=N4Ry_ai5YvQ", "Video")</f>
        <v/>
      </c>
      <c r="B3174" t="inlineStr">
        <is>
          <t>17:36</t>
        </is>
      </c>
      <c r="C3174" t="inlineStr">
        <is>
          <t>the boy's love makes the rabbit real</t>
        </is>
      </c>
      <c r="D3174">
        <f>HYPERLINK("https://www.youtube.com/watch?v=N4Ry_ai5YvQ&amp;t=1056s", "Go to time")</f>
        <v/>
      </c>
    </row>
    <row r="3175">
      <c r="A3175">
        <f>HYPERLINK("https://www.youtube.com/watch?v=7N0cN6m-_uI", "Video")</f>
        <v/>
      </c>
      <c r="B3175" t="inlineStr">
        <is>
          <t>0:17</t>
        </is>
      </c>
      <c r="C3175" t="inlineStr">
        <is>
          <t>a little bit more</t>
        </is>
      </c>
      <c r="D3175">
        <f>HYPERLINK("https://www.youtube.com/watch?v=7N0cN6m-_uI&amp;t=17s", "Go to time")</f>
        <v/>
      </c>
    </row>
    <row r="3176">
      <c r="A3176">
        <f>HYPERLINK("https://www.youtube.com/watch?v=7N0cN6m-_uI", "Video")</f>
        <v/>
      </c>
      <c r="B3176" t="inlineStr">
        <is>
          <t>0:19</t>
        </is>
      </c>
      <c r="C3176" t="inlineStr">
        <is>
          <t>a little bit more there you go</t>
        </is>
      </c>
      <c r="D3176">
        <f>HYPERLINK("https://www.youtube.com/watch?v=7N0cN6m-_uI&amp;t=19s", "Go to time")</f>
        <v/>
      </c>
    </row>
    <row r="3177">
      <c r="A3177">
        <f>HYPERLINK("https://www.youtube.com/watch?v=AE8wZmNHNDU", "Video")</f>
        <v/>
      </c>
      <c r="B3177" t="inlineStr">
        <is>
          <t>11:33</t>
        </is>
      </c>
      <c r="C3177" t="inlineStr">
        <is>
          <t>maybe you just tensed up a little bit</t>
        </is>
      </c>
      <c r="D3177">
        <f>HYPERLINK("https://www.youtube.com/watch?v=AE8wZmNHNDU&amp;t=693s", "Go to time")</f>
        <v/>
      </c>
    </row>
    <row r="3178">
      <c r="A3178">
        <f>HYPERLINK("https://www.youtube.com/watch?v=867v8qXfynE", "Video")</f>
        <v/>
      </c>
      <c r="B3178" t="inlineStr">
        <is>
          <t>1:10</t>
        </is>
      </c>
      <c r="C3178" t="inlineStr">
        <is>
          <t>rabbits that he could Chase and</t>
        </is>
      </c>
      <c r="D3178">
        <f>HYPERLINK("https://www.youtube.com/watch?v=867v8qXfynE&amp;t=70s", "Go to time")</f>
        <v/>
      </c>
    </row>
    <row r="3179">
      <c r="A3179">
        <f>HYPERLINK("https://www.youtube.com/watch?v=TPEMCrjoOu8", "Video")</f>
        <v/>
      </c>
      <c r="B3179" t="inlineStr">
        <is>
          <t>5:08</t>
        </is>
      </c>
      <c r="C3179" t="inlineStr">
        <is>
          <t>you hey you are a little bit mischievous</t>
        </is>
      </c>
      <c r="D3179">
        <f>HYPERLINK("https://www.youtube.com/watch?v=TPEMCrjoOu8&amp;t=308s", "Go to time")</f>
        <v/>
      </c>
    </row>
    <row r="3180">
      <c r="A3180">
        <f>HYPERLINK("https://www.youtube.com/watch?v=TPEMCrjoOu8", "Video")</f>
        <v/>
      </c>
      <c r="B3180" t="inlineStr">
        <is>
          <t>15:15</t>
        </is>
      </c>
      <c r="C3180" t="inlineStr">
        <is>
          <t>bitty waist and a round thing in your</t>
        </is>
      </c>
      <c r="D3180">
        <f>HYPERLINK("https://www.youtube.com/watch?v=TPEMCrjoOu8&amp;t=915s", "Go to time")</f>
        <v/>
      </c>
    </row>
    <row r="3181">
      <c r="A3181">
        <f>HYPERLINK("https://www.youtube.com/watch?v=TPEMCrjoOu8", "Video")</f>
        <v/>
      </c>
      <c r="B3181" t="inlineStr">
        <is>
          <t>15:59</t>
        </is>
      </c>
      <c r="C3181" t="inlineStr">
        <is>
          <t>itsy bitsy</t>
        </is>
      </c>
      <c r="D3181">
        <f>HYPERLINK("https://www.youtube.com/watch?v=TPEMCrjoOu8&amp;t=959s", "Go to time")</f>
        <v/>
      </c>
    </row>
    <row r="3182">
      <c r="A3182">
        <f>HYPERLINK("https://www.youtube.com/watch?v=-nBuch_hKKk", "Video")</f>
        <v/>
      </c>
      <c r="B3182" t="inlineStr">
        <is>
          <t>0:39</t>
        </is>
      </c>
      <c r="C3182" t="inlineStr">
        <is>
          <t>just a little bit</t>
        </is>
      </c>
      <c r="D3182">
        <f>HYPERLINK("https://www.youtube.com/watch?v=-nBuch_hKKk&amp;t=39s", "Go to time")</f>
        <v/>
      </c>
    </row>
    <row r="3183">
      <c r="A3183">
        <f>HYPERLINK("https://www.youtube.com/watch?v=eBx0odbFlno", "Video")</f>
        <v/>
      </c>
      <c r="B3183" t="inlineStr">
        <is>
          <t>4:23</t>
        </is>
      </c>
      <c r="C3183" t="inlineStr">
        <is>
          <t>that he was a bit threatened come on by</t>
        </is>
      </c>
      <c r="D3183">
        <f>HYPERLINK("https://www.youtube.com/watch?v=eBx0odbFlno&amp;t=263s", "Go to time")</f>
        <v/>
      </c>
    </row>
    <row r="3184">
      <c r="A3184">
        <f>HYPERLINK("https://www.youtube.com/watch?v=3Y6IccZL0HA", "Video")</f>
        <v/>
      </c>
      <c r="B3184" t="inlineStr">
        <is>
          <t>0:27</t>
        </is>
      </c>
      <c r="C3184" t="inlineStr">
        <is>
          <t>little bit but not in a gross way just</t>
        </is>
      </c>
      <c r="D3184">
        <f>HYPERLINK("https://www.youtube.com/watch?v=3Y6IccZL0HA&amp;t=27s", "Go to time")</f>
        <v/>
      </c>
    </row>
    <row r="3185">
      <c r="A3185">
        <f>HYPERLINK("https://www.youtube.com/watch?v=cCf1lhRTQIc", "Video")</f>
        <v/>
      </c>
      <c r="B3185" t="inlineStr">
        <is>
          <t>0:20</t>
        </is>
      </c>
      <c r="C3185" t="inlineStr">
        <is>
          <t>little bit so that I look taller</t>
        </is>
      </c>
      <c r="D3185">
        <f>HYPERLINK("https://www.youtube.com/watch?v=cCf1lhRTQIc&amp;t=20s", "Go to time")</f>
        <v/>
      </c>
    </row>
    <row r="3186">
      <c r="A3186">
        <f>HYPERLINK("https://www.youtube.com/watch?v=7XQZFIFyO4s", "Video")</f>
        <v/>
      </c>
      <c r="B3186" t="inlineStr">
        <is>
          <t>13:41</t>
        </is>
      </c>
      <c r="C3186" t="inlineStr">
        <is>
          <t>kids and then the peacock bit</t>
        </is>
      </c>
      <c r="D3186">
        <f>HYPERLINK("https://www.youtube.com/watch?v=7XQZFIFyO4s&amp;t=821s", "Go to time")</f>
        <v/>
      </c>
    </row>
    <row r="3187">
      <c r="A3187">
        <f>HYPERLINK("https://www.youtube.com/watch?v=7XQZFIFyO4s", "Video")</f>
        <v/>
      </c>
      <c r="B3187" t="inlineStr">
        <is>
          <t>15:13</t>
        </is>
      </c>
      <c r="C3187" t="inlineStr">
        <is>
          <t>mom wouldn't give me grief about biting</t>
        </is>
      </c>
      <c r="D3187">
        <f>HYPERLINK("https://www.youtube.com/watch?v=7XQZFIFyO4s&amp;t=913s", "Go to time")</f>
        <v/>
      </c>
    </row>
    <row r="3188">
      <c r="A3188">
        <f>HYPERLINK("https://www.youtube.com/watch?v=7XQZFIFyO4s", "Video")</f>
        <v/>
      </c>
      <c r="B3188" t="inlineStr">
        <is>
          <t>15:44</t>
        </is>
      </c>
      <c r="C3188" t="inlineStr">
        <is>
          <t>problem honey don't bite your</t>
        </is>
      </c>
      <c r="D3188">
        <f>HYPERLINK("https://www.youtube.com/watch?v=7XQZFIFyO4s&amp;t=944s", "Go to time")</f>
        <v/>
      </c>
    </row>
    <row r="3189">
      <c r="A3189">
        <f>HYPERLINK("https://www.youtube.com/watch?v=ngJvaJKdY7w", "Video")</f>
        <v/>
      </c>
      <c r="B3189" t="inlineStr">
        <is>
          <t>2:00</t>
        </is>
      </c>
      <c r="C3189" t="inlineStr">
        <is>
          <t>and then the peacock bit</t>
        </is>
      </c>
      <c r="D3189">
        <f>HYPERLINK("https://www.youtube.com/watch?v=ngJvaJKdY7w&amp;t=120s", "Go to time")</f>
        <v/>
      </c>
    </row>
    <row r="3190">
      <c r="A3190">
        <f>HYPERLINK("https://www.youtube.com/watch?v=cM4BrAvgFWw", "Video")</f>
        <v/>
      </c>
      <c r="B3190" t="inlineStr">
        <is>
          <t>0:31</t>
        </is>
      </c>
      <c r="C3190" t="inlineStr">
        <is>
          <t>bite her and then right right when the</t>
        </is>
      </c>
      <c r="D3190">
        <f>HYPERLINK("https://www.youtube.com/watch?v=cM4BrAvgFWw&amp;t=31s", "Go to time")</f>
        <v/>
      </c>
    </row>
    <row r="3191">
      <c r="A3191">
        <f>HYPERLINK("https://www.youtube.com/watch?v=fovqwao4qa0", "Video")</f>
        <v/>
      </c>
      <c r="B3191" t="inlineStr">
        <is>
          <t>0:18</t>
        </is>
      </c>
      <c r="C3191" t="inlineStr">
        <is>
          <t>Manelli no no no it's it's just a bit</t>
        </is>
      </c>
      <c r="D3191">
        <f>HYPERLINK("https://www.youtube.com/watch?v=fovqwao4qa0&amp;t=18s", "Go to time")</f>
        <v/>
      </c>
    </row>
    <row r="3192">
      <c r="A3192">
        <f>HYPERLINK("https://www.youtube.com/watch?v=uF3HhdMdJ88", "Video")</f>
        <v/>
      </c>
      <c r="B3192" t="inlineStr">
        <is>
          <t>1:42</t>
        </is>
      </c>
      <c r="C3192" t="inlineStr">
        <is>
          <t>goes you know maybe a little bit how was</t>
        </is>
      </c>
      <c r="D3192">
        <f>HYPERLINK("https://www.youtube.com/watch?v=uF3HhdMdJ88&amp;t=102s", "Go to time")</f>
        <v/>
      </c>
    </row>
    <row r="3193">
      <c r="A3193">
        <f>HYPERLINK("https://www.youtube.com/watch?v=7-y-ZIJ5OFA", "Video")</f>
        <v/>
      </c>
      <c r="B3193" t="inlineStr">
        <is>
          <t>0:30</t>
        </is>
      </c>
      <c r="C3193" t="inlineStr">
        <is>
          <t>it's kind of like The Hobbit it is</t>
        </is>
      </c>
      <c r="D3193">
        <f>HYPERLINK("https://www.youtube.com/watch?v=7-y-ZIJ5OFA&amp;t=30s", "Go to time")</f>
        <v/>
      </c>
    </row>
    <row r="3194">
      <c r="A3194">
        <f>HYPERLINK("https://www.youtube.com/watch?v=7-y-ZIJ5OFA", "Video")</f>
        <v/>
      </c>
      <c r="B3194" t="inlineStr">
        <is>
          <t>0:34</t>
        </is>
      </c>
      <c r="C3194" t="inlineStr">
        <is>
          <t>Hobbit it's like reading about every</t>
        </is>
      </c>
      <c r="D3194">
        <f>HYPERLINK("https://www.youtube.com/watch?v=7-y-ZIJ5OFA&amp;t=34s", "Go to time")</f>
        <v/>
      </c>
    </row>
    <row r="3195">
      <c r="A3195">
        <f>HYPERLINK("https://www.youtube.com/watch?v=07SF59M1uvo", "Video")</f>
        <v/>
      </c>
      <c r="B3195" t="inlineStr">
        <is>
          <t>0:11</t>
        </is>
      </c>
      <c r="C3195" t="inlineStr">
        <is>
          <t>so isn't it a bit cold out for shorts</t>
        </is>
      </c>
      <c r="D3195">
        <f>HYPERLINK("https://www.youtube.com/watch?v=07SF59M1uvo&amp;t=11s", "Go to time")</f>
        <v/>
      </c>
    </row>
    <row r="3196">
      <c r="A3196">
        <f>HYPERLINK("https://www.youtube.com/watch?v=eC-OF6C3T28", "Video")</f>
        <v/>
      </c>
      <c r="B3196" t="inlineStr">
        <is>
          <t>11:09</t>
        </is>
      </c>
      <c r="C3196" t="inlineStr">
        <is>
          <t>kind of like The Hobbit it is nothing</t>
        </is>
      </c>
      <c r="D3196">
        <f>HYPERLINK("https://www.youtube.com/watch?v=eC-OF6C3T28&amp;t=669s", "Go to time")</f>
        <v/>
      </c>
    </row>
    <row r="3197">
      <c r="A3197">
        <f>HYPERLINK("https://www.youtube.com/watch?v=eC-OF6C3T28", "Video")</f>
        <v/>
      </c>
      <c r="B3197" t="inlineStr">
        <is>
          <t>11:13</t>
        </is>
      </c>
      <c r="C3197" t="inlineStr">
        <is>
          <t>Hobbit it's like reading about every</t>
        </is>
      </c>
      <c r="D3197">
        <f>HYPERLINK("https://www.youtube.com/watch?v=eC-OF6C3T28&amp;t=673s", "Go to time")</f>
        <v/>
      </c>
    </row>
    <row r="3198">
      <c r="A3198">
        <f>HYPERLINK("https://www.youtube.com/watch?v=eC-OF6C3T28", "Video")</f>
        <v/>
      </c>
      <c r="B3198" t="inlineStr">
        <is>
          <t>15:22</t>
        </is>
      </c>
      <c r="C3198" t="inlineStr">
        <is>
          <t>maybe you just tensed up a little bit</t>
        </is>
      </c>
      <c r="D3198">
        <f>HYPERLINK("https://www.youtube.com/watch?v=eC-OF6C3T28&amp;t=922s", "Go to time")</f>
        <v/>
      </c>
    </row>
    <row r="3199">
      <c r="A3199">
        <f>HYPERLINK("https://www.youtube.com/watch?v=eC-OF6C3T28", "Video")</f>
        <v/>
      </c>
      <c r="B3199" t="inlineStr">
        <is>
          <t>25:21</t>
        </is>
      </c>
      <c r="C3199" t="inlineStr">
        <is>
          <t>across gerswin musical actually is bite</t>
        </is>
      </c>
      <c r="D3199">
        <f>HYPERLINK("https://www.youtube.com/watch?v=eC-OF6C3T28&amp;t=1521s", "Go to time")</f>
        <v/>
      </c>
    </row>
    <row r="3200">
      <c r="A3200">
        <f>HYPERLINK("https://www.youtube.com/watch?v=eC-OF6C3T28", "Video")</f>
        <v/>
      </c>
      <c r="B3200" t="inlineStr">
        <is>
          <t>25:24</t>
        </is>
      </c>
      <c r="C3200" t="inlineStr">
        <is>
          <t>me bite me bite me bite</t>
        </is>
      </c>
      <c r="D3200">
        <f>HYPERLINK("https://www.youtube.com/watch?v=eC-OF6C3T28&amp;t=1524s", "Go to time")</f>
        <v/>
      </c>
    </row>
    <row r="3201">
      <c r="A3201">
        <f>HYPERLINK("https://www.youtube.com/watch?v=1EWNWe_SMYI", "Video")</f>
        <v/>
      </c>
      <c r="B3201" t="inlineStr">
        <is>
          <t>17:19</t>
        </is>
      </c>
      <c r="C3201" t="inlineStr">
        <is>
          <t>quit it bite me oh my god well Monica</t>
        </is>
      </c>
      <c r="D3201">
        <f>HYPERLINK("https://www.youtube.com/watch?v=1EWNWe_SMYI&amp;t=1039s", "Go to time")</f>
        <v/>
      </c>
    </row>
    <row r="3202">
      <c r="A3202">
        <f>HYPERLINK("https://www.youtube.com/watch?v=N1NVFCKlr7M", "Video")</f>
        <v/>
      </c>
      <c r="B3202" t="inlineStr">
        <is>
          <t>0:54</t>
        </is>
      </c>
      <c r="C3202" t="inlineStr">
        <is>
          <t>everything but still bite me</t>
        </is>
      </c>
      <c r="D3202">
        <f>HYPERLINK("https://www.youtube.com/watch?v=N1NVFCKlr7M&amp;t=54s", "Go to time")</f>
        <v/>
      </c>
    </row>
    <row r="3203">
      <c r="A3203">
        <f>HYPERLINK("https://www.youtube.com/watch?v=vMuHnmUJVrE", "Video")</f>
        <v/>
      </c>
      <c r="B3203" t="inlineStr">
        <is>
          <t>1:16</t>
        </is>
      </c>
      <c r="C3203" t="inlineStr">
        <is>
          <t>okay I bit my dog</t>
        </is>
      </c>
      <c r="D3203">
        <f>HYPERLINK("https://www.youtube.com/watch?v=vMuHnmUJVrE&amp;t=76s", "Go to time")</f>
        <v/>
      </c>
    </row>
    <row r="3204">
      <c r="A3204">
        <f>HYPERLINK("https://www.youtube.com/watch?v=8FOHh9Xm2E8", "Video")</f>
        <v/>
      </c>
      <c r="B3204" t="inlineStr">
        <is>
          <t>22:08</t>
        </is>
      </c>
      <c r="C3204" t="inlineStr">
        <is>
          <t>TV quit it bite me oh my god well Mica</t>
        </is>
      </c>
      <c r="D3204">
        <f>HYPERLINK("https://www.youtube.com/watch?v=8FOHh9Xm2E8&amp;t=1328s", "Go to time")</f>
        <v/>
      </c>
    </row>
    <row r="3205">
      <c r="A3205">
        <f>HYPERLINK("https://www.youtube.com/watch?v=ZoCaGy5-zqs", "Video")</f>
        <v/>
      </c>
      <c r="B3205" t="inlineStr">
        <is>
          <t>0:17</t>
        </is>
      </c>
      <c r="C3205" t="inlineStr">
        <is>
          <t>rabbit the velvetine rabbit was brown</t>
        </is>
      </c>
      <c r="D3205">
        <f>HYPERLINK("https://www.youtube.com/watch?v=ZoCaGy5-zqs&amp;t=17s", "Go to time")</f>
        <v/>
      </c>
    </row>
    <row r="3206">
      <c r="A3206">
        <f>HYPERLINK("https://www.youtube.com/watch?v=EpV9NGD6ayg", "Video")</f>
        <v/>
      </c>
      <c r="B3206" t="inlineStr">
        <is>
          <t>4:00</t>
        </is>
      </c>
      <c r="C3206" t="inlineStr">
        <is>
          <t>bite me oh my god well Mica keeps</t>
        </is>
      </c>
      <c r="D3206">
        <f>HYPERLINK("https://www.youtube.com/watch?v=EpV9NGD6ayg&amp;t=240s", "Go to time")</f>
        <v/>
      </c>
    </row>
    <row r="3207">
      <c r="A3207">
        <f>HYPERLINK("https://www.youtube.com/watch?v=EpV9NGD6ayg", "Video")</f>
        <v/>
      </c>
      <c r="B3207" t="inlineStr">
        <is>
          <t>17:52</t>
        </is>
      </c>
      <c r="C3207" t="inlineStr">
        <is>
          <t>across gerswin musical actually is bite</t>
        </is>
      </c>
      <c r="D3207">
        <f>HYPERLINK("https://www.youtube.com/watch?v=EpV9NGD6ayg&amp;t=1072s", "Go to time")</f>
        <v/>
      </c>
    </row>
    <row r="3208">
      <c r="A3208">
        <f>HYPERLINK("https://www.youtube.com/watch?v=EpV9NGD6ayg", "Video")</f>
        <v/>
      </c>
      <c r="B3208" t="inlineStr">
        <is>
          <t>17:55</t>
        </is>
      </c>
      <c r="C3208" t="inlineStr">
        <is>
          <t>me bite me bite me bite me give me back</t>
        </is>
      </c>
      <c r="D3208">
        <f>HYPERLINK("https://www.youtube.com/watch?v=EpV9NGD6ayg&amp;t=1075s", "Go to time")</f>
        <v/>
      </c>
    </row>
    <row r="3209">
      <c r="A3209">
        <f>HYPERLINK("https://www.youtube.com/watch?v=WKuGlNUZYv8", "Video")</f>
        <v/>
      </c>
      <c r="B3209" t="inlineStr">
        <is>
          <t>6:17</t>
        </is>
      </c>
      <c r="C3209" t="inlineStr">
        <is>
          <t>exhibit at the Museum of</t>
        </is>
      </c>
      <c r="D3209">
        <f>HYPERLINK("https://www.youtube.com/watch?v=WKuGlNUZYv8&amp;t=377s", "Go to time")</f>
        <v/>
      </c>
    </row>
    <row r="3210">
      <c r="A3210">
        <f>HYPERLINK("https://www.youtube.com/watch?v=g7iAe94z438", "Video")</f>
        <v/>
      </c>
      <c r="B3210" t="inlineStr">
        <is>
          <t>5:51</t>
        </is>
      </c>
      <c r="C3210" t="inlineStr">
        <is>
          <t>but just a little bit better yeah Johnny</t>
        </is>
      </c>
      <c r="D3210">
        <f>HYPERLINK("https://www.youtube.com/watch?v=g7iAe94z438&amp;t=351s", "Go to time")</f>
        <v/>
      </c>
    </row>
    <row r="3211">
      <c r="A3211">
        <f>HYPERLINK("https://www.youtube.com/watch?v=g7iAe94z438", "Video")</f>
        <v/>
      </c>
      <c r="B3211" t="inlineStr">
        <is>
          <t>13:19</t>
        </is>
      </c>
      <c r="C3211" t="inlineStr">
        <is>
          <t>energy sector mostly do Arbitrage oh hey</t>
        </is>
      </c>
      <c r="D3211">
        <f>HYPERLINK("https://www.youtube.com/watch?v=g7iAe94z438&amp;t=799s", "Go to time")</f>
        <v/>
      </c>
    </row>
    <row r="3212">
      <c r="A3212">
        <f>HYPERLINK("https://www.youtube.com/watch?v=OQVO_0HIZAA", "Video")</f>
        <v/>
      </c>
      <c r="B3212" t="inlineStr">
        <is>
          <t>6:20</t>
        </is>
      </c>
      <c r="C3212" t="inlineStr">
        <is>
          <t>rent okay Gina bite me</t>
        </is>
      </c>
      <c r="D3212">
        <f>HYPERLINK("https://www.youtube.com/watch?v=OQVO_0HIZAA&amp;t=380s", "Go to time")</f>
        <v/>
      </c>
    </row>
    <row r="3213">
      <c r="A3213">
        <f>HYPERLINK("https://www.youtube.com/watch?v=OQVO_0HIZAA", "Video")</f>
        <v/>
      </c>
      <c r="B3213" t="inlineStr">
        <is>
          <t>12:06</t>
        </is>
      </c>
      <c r="C3213" t="inlineStr">
        <is>
          <t>we've had a few bites but no one's</t>
        </is>
      </c>
      <c r="D3213">
        <f>HYPERLINK("https://www.youtube.com/watch?v=OQVO_0HIZAA&amp;t=726s", "Go to time")</f>
        <v/>
      </c>
    </row>
    <row r="3214">
      <c r="A3214">
        <f>HYPERLINK("https://www.youtube.com/watch?v=OQVO_0HIZAA", "Video")</f>
        <v/>
      </c>
      <c r="B3214" t="inlineStr">
        <is>
          <t>13:52</t>
        </is>
      </c>
      <c r="C3214" t="inlineStr">
        <is>
          <t>she's a little bit</t>
        </is>
      </c>
      <c r="D3214">
        <f>HYPERLINK("https://www.youtube.com/watch?v=OQVO_0HIZAA&amp;t=832s", "Go to time")</f>
        <v/>
      </c>
    </row>
    <row r="3215">
      <c r="A3215">
        <f>HYPERLINK("https://www.youtube.com/watch?v=OQVO_0HIZAA", "Video")</f>
        <v/>
      </c>
      <c r="B3215" t="inlineStr">
        <is>
          <t>13:55</t>
        </is>
      </c>
      <c r="C3215" t="inlineStr">
        <is>
          <t>Cajun she's a little bit Cajun and her</t>
        </is>
      </c>
      <c r="D3215">
        <f>HYPERLINK("https://www.youtube.com/watch?v=OQVO_0HIZAA&amp;t=835s", "Go to time")</f>
        <v/>
      </c>
    </row>
    <row r="3216">
      <c r="A3216">
        <f>HYPERLINK("https://www.youtube.com/watch?v=lhy_Ux0ySwU", "Video")</f>
        <v/>
      </c>
      <c r="B3216" t="inlineStr">
        <is>
          <t>0:29</t>
        </is>
      </c>
      <c r="C3216" t="inlineStr">
        <is>
          <t>bit older than you you guys but it's not</t>
        </is>
      </c>
      <c r="D3216">
        <f>HYPERLINK("https://www.youtube.com/watch?v=lhy_Ux0ySwU&amp;t=29s", "Go to time")</f>
        <v/>
      </c>
    </row>
    <row r="3217">
      <c r="A3217">
        <f>HYPERLINK("https://www.youtube.com/watch?v=8m1DQgCk-yI", "Video")</f>
        <v/>
      </c>
      <c r="B3217" t="inlineStr">
        <is>
          <t>11:52</t>
        </is>
      </c>
      <c r="C3217" t="inlineStr">
        <is>
          <t>kids and then the peacock bit</t>
        </is>
      </c>
      <c r="D3217">
        <f>HYPERLINK("https://www.youtube.com/watch?v=8m1DQgCk-yI&amp;t=712s", "Go to time")</f>
        <v/>
      </c>
    </row>
    <row r="3218">
      <c r="A3218">
        <f>HYPERLINK("https://www.youtube.com/watch?v=zFm8fdJYtfg", "Video")</f>
        <v/>
      </c>
      <c r="B3218" t="inlineStr">
        <is>
          <t>14:02</t>
        </is>
      </c>
      <c r="C3218" t="inlineStr">
        <is>
          <t>TV quit it bite me oh my god well Mica</t>
        </is>
      </c>
      <c r="D3218">
        <f>HYPERLINK("https://www.youtube.com/watch?v=zFm8fdJYtfg&amp;t=842s", "Go to time")</f>
        <v/>
      </c>
    </row>
    <row r="3219">
      <c r="A3219">
        <f>HYPERLINK("https://www.youtube.com/watch?v=3i1Y7qausPg", "Video")</f>
        <v/>
      </c>
      <c r="B3219" t="inlineStr">
        <is>
          <t>1:10</t>
        </is>
      </c>
      <c r="C3219" t="inlineStr">
        <is>
          <t>actually is bite me bite me bite me bite</t>
        </is>
      </c>
      <c r="D3219">
        <f>HYPERLINK("https://www.youtube.com/watch?v=3i1Y7qausPg&amp;t=70s", "Go to time")</f>
        <v/>
      </c>
    </row>
    <row r="3220">
      <c r="A3220">
        <f>HYPERLINK("https://www.youtube.com/watch?v=A2iD7ZUUHTM", "Video")</f>
        <v/>
      </c>
      <c r="B3220" t="inlineStr">
        <is>
          <t>3:23</t>
        </is>
      </c>
      <c r="C3220" t="inlineStr">
        <is>
          <t>across gerswin musical actually is bite</t>
        </is>
      </c>
      <c r="D3220">
        <f>HYPERLINK("https://www.youtube.com/watch?v=A2iD7ZUUHTM&amp;t=203s", "Go to time")</f>
        <v/>
      </c>
    </row>
    <row r="3221">
      <c r="A3221">
        <f>HYPERLINK("https://www.youtube.com/watch?v=A2iD7ZUUHTM", "Video")</f>
        <v/>
      </c>
      <c r="B3221" t="inlineStr">
        <is>
          <t>3:27</t>
        </is>
      </c>
      <c r="C3221" t="inlineStr">
        <is>
          <t>me bite me bite me bite Ross Ross Ross</t>
        </is>
      </c>
      <c r="D3221">
        <f>HYPERLINK("https://www.youtube.com/watch?v=A2iD7ZUUHTM&amp;t=207s", "Go to time")</f>
        <v/>
      </c>
    </row>
    <row r="3222">
      <c r="A3222">
        <f>HYPERLINK("https://www.youtube.com/watch?v=Z6jsoyj16L4", "Video")</f>
        <v/>
      </c>
      <c r="B3222" t="inlineStr">
        <is>
          <t>0:55</t>
        </is>
      </c>
      <c r="C3222" t="inlineStr">
        <is>
          <t>you I had to bite my lip to keep from</t>
        </is>
      </c>
      <c r="D3222">
        <f>HYPERLINK("https://www.youtube.com/watch?v=Z6jsoyj16L4&amp;t=55s", "Go to time")</f>
        <v/>
      </c>
    </row>
    <row r="3223">
      <c r="A3223">
        <f>HYPERLINK("https://www.youtube.com/watch?v=84cJOwnhahk", "Video")</f>
        <v/>
      </c>
      <c r="B3223" t="inlineStr">
        <is>
          <t>0:28</t>
        </is>
      </c>
      <c r="C3223" t="inlineStr">
        <is>
          <t>go for a bite and I did and the only</t>
        </is>
      </c>
      <c r="D3223">
        <f>HYPERLINK("https://www.youtube.com/watch?v=84cJOwnhahk&amp;t=28s", "Go to time")</f>
        <v/>
      </c>
    </row>
    <row r="3224">
      <c r="A3224">
        <f>HYPERLINK("https://www.youtube.com/watch?v=84cJOwnhahk", "Video")</f>
        <v/>
      </c>
      <c r="B3224" t="inlineStr">
        <is>
          <t>0:47</t>
        </is>
      </c>
      <c r="C3224" t="inlineStr">
        <is>
          <t>bite no big</t>
        </is>
      </c>
      <c r="D3224">
        <f>HYPERLINK("https://www.youtube.com/watch?v=84cJOwnhahk&amp;t=47s", "Go to time")</f>
        <v/>
      </c>
    </row>
    <row r="3225">
      <c r="A3225">
        <f>HYPERLINK("https://www.youtube.com/watch?v=JxYn_Chrc3U", "Video")</f>
        <v/>
      </c>
      <c r="B3225" t="inlineStr">
        <is>
          <t>21:47</t>
        </is>
      </c>
      <c r="C3225" t="inlineStr">
        <is>
          <t>go for a bite and I did and the only</t>
        </is>
      </c>
      <c r="D3225">
        <f>HYPERLINK("https://www.youtube.com/watch?v=JxYn_Chrc3U&amp;t=1307s", "Go to time")</f>
        <v/>
      </c>
    </row>
    <row r="3226">
      <c r="A3226">
        <f>HYPERLINK("https://www.youtube.com/watch?v=JxYn_Chrc3U", "Video")</f>
        <v/>
      </c>
      <c r="B3226" t="inlineStr">
        <is>
          <t>22:06</t>
        </is>
      </c>
      <c r="C3226" t="inlineStr">
        <is>
          <t>bite don't big</t>
        </is>
      </c>
      <c r="D3226">
        <f>HYPERLINK("https://www.youtube.com/watch?v=JxYn_Chrc3U&amp;t=1326s", "Go to time")</f>
        <v/>
      </c>
    </row>
    <row r="3227">
      <c r="A3227">
        <f>HYPERLINK("https://www.youtube.com/watch?v=APtxdNF_qao", "Video")</f>
        <v/>
      </c>
      <c r="B3227" t="inlineStr">
        <is>
          <t>10:46</t>
        </is>
      </c>
      <c r="C3227" t="inlineStr">
        <is>
          <t>bite me oh my god well M keeps changing</t>
        </is>
      </c>
      <c r="D3227">
        <f>HYPERLINK("https://www.youtube.com/watch?v=APtxdNF_qao&amp;t=646s", "Go to time")</f>
        <v/>
      </c>
    </row>
    <row r="3228">
      <c r="A3228">
        <f>HYPERLINK("https://www.youtube.com/watch?v=APtxdNF_qao", "Video")</f>
        <v/>
      </c>
      <c r="B3228" t="inlineStr">
        <is>
          <t>11:14</t>
        </is>
      </c>
      <c r="C3228" t="inlineStr">
        <is>
          <t>wouldn't give me grief about biting them</t>
        </is>
      </c>
      <c r="D3228">
        <f>HYPERLINK("https://www.youtube.com/watch?v=APtxdNF_qao&amp;t=674s", "Go to time")</f>
        <v/>
      </c>
    </row>
    <row r="3229">
      <c r="A3229">
        <f>HYPERLINK("https://www.youtube.com/watch?v=APtxdNF_qao", "Video")</f>
        <v/>
      </c>
      <c r="B3229" t="inlineStr">
        <is>
          <t>11:45</t>
        </is>
      </c>
      <c r="C3229" t="inlineStr">
        <is>
          <t>problem honey don't bite your</t>
        </is>
      </c>
      <c r="D3229">
        <f>HYPERLINK("https://www.youtube.com/watch?v=APtxdNF_qao&amp;t=705s", "Go to time")</f>
        <v/>
      </c>
    </row>
    <row r="3230">
      <c r="A3230">
        <f>HYPERLINK("https://www.youtube.com/watch?v=5gDVzMcpE1s", "Video")</f>
        <v/>
      </c>
      <c r="B3230" t="inlineStr">
        <is>
          <t>1:18</t>
        </is>
      </c>
      <c r="C3230" t="inlineStr">
        <is>
          <t>and it is bitter</t>
        </is>
      </c>
      <c r="D3230">
        <f>HYPERLINK("https://www.youtube.com/watch?v=5gDVzMcpE1s&amp;t=78s", "Go to time")</f>
        <v/>
      </c>
    </row>
    <row r="3231">
      <c r="A3231">
        <f>HYPERLINK("https://www.youtube.com/watch?v=R0ksvPPrQkg", "Video")</f>
        <v/>
      </c>
      <c r="B3231" t="inlineStr">
        <is>
          <t>0:59</t>
        </is>
      </c>
      <c r="C3231" t="inlineStr">
        <is>
          <t>bite me oh my god well M keeps changing</t>
        </is>
      </c>
      <c r="D3231">
        <f>HYPERLINK("https://www.youtube.com/watch?v=R0ksvPPrQkg&amp;t=59s", "Go to time")</f>
        <v/>
      </c>
    </row>
    <row r="3232">
      <c r="A3232">
        <f>HYPERLINK("https://www.youtube.com/watch?v=oPShIwE0VKw", "Video")</f>
        <v/>
      </c>
      <c r="B3232" t="inlineStr">
        <is>
          <t>8:41</t>
        </is>
      </c>
      <c r="C3232" t="inlineStr">
        <is>
          <t>then rabbits that he could Chase and it</t>
        </is>
      </c>
      <c r="D3232">
        <f>HYPERLINK("https://www.youtube.com/watch?v=oPShIwE0VKw&amp;t=521s", "Go to time")</f>
        <v/>
      </c>
    </row>
    <row r="3233">
      <c r="A3233">
        <f>HYPERLINK("https://www.youtube.com/watch?v=WraamcIKa54", "Video")</f>
        <v/>
      </c>
      <c r="B3233" t="inlineStr">
        <is>
          <t>1:02</t>
        </is>
      </c>
      <c r="C3233" t="inlineStr">
        <is>
          <t>i'm a little bit country</t>
        </is>
      </c>
      <c r="D3233">
        <f>HYPERLINK("https://www.youtube.com/watch?v=WraamcIKa54&amp;t=62s", "Go to time")</f>
        <v/>
      </c>
    </row>
    <row r="3234">
      <c r="A3234">
        <f>HYPERLINK("https://www.youtube.com/watch?v=WraamcIKa54", "Video")</f>
        <v/>
      </c>
      <c r="B3234" t="inlineStr">
        <is>
          <t>1:04</t>
        </is>
      </c>
      <c r="C3234" t="inlineStr">
        <is>
          <t>and i'm a little bit rock and roll</t>
        </is>
      </c>
      <c r="D3234">
        <f>HYPERLINK("https://www.youtube.com/watch?v=WraamcIKa54&amp;t=64s", "Go to time")</f>
        <v/>
      </c>
    </row>
    <row r="3235">
      <c r="A3235">
        <f>HYPERLINK("https://www.youtube.com/watch?v=GQwJD5NM2GY", "Video")</f>
        <v/>
      </c>
      <c r="B3235" t="inlineStr">
        <is>
          <t>14:27</t>
        </is>
      </c>
      <c r="C3235" t="inlineStr">
        <is>
          <t>then rabbits that he could Chase and</t>
        </is>
      </c>
      <c r="D3235">
        <f>HYPERLINK("https://www.youtube.com/watch?v=GQwJD5NM2GY&amp;t=867s", "Go to time")</f>
        <v/>
      </c>
    </row>
    <row r="3236">
      <c r="A3236">
        <f>HYPERLINK("https://www.youtube.com/watch?v=Xf1utCkN68M", "Video")</f>
        <v/>
      </c>
      <c r="B3236" t="inlineStr">
        <is>
          <t>7:27</t>
        </is>
      </c>
      <c r="C3236" t="inlineStr">
        <is>
          <t>on the books that prohibit
these types of conversations.</t>
        </is>
      </c>
      <c r="D3236">
        <f>HYPERLINK("https://www.youtube.com/watch?v=Xf1utCkN68M&amp;t=447s", "Go to time")</f>
        <v/>
      </c>
    </row>
    <row r="3237">
      <c r="A3237">
        <f>HYPERLINK("https://www.youtube.com/watch?v=Xf1utCkN68M", "Video")</f>
        <v/>
      </c>
      <c r="B3237" t="inlineStr">
        <is>
          <t>8:00</t>
        </is>
      </c>
      <c r="C3237" t="inlineStr">
        <is>
          <t>at arbitration with the
National Labor Relations</t>
        </is>
      </c>
      <c r="D3237">
        <f>HYPERLINK("https://www.youtube.com/watch?v=Xf1utCkN68M&amp;t=480s", "Go to time")</f>
        <v/>
      </c>
    </row>
    <row r="3238">
      <c r="A3238">
        <f>HYPERLINK("https://www.youtube.com/watch?v=Xf1utCkN68M", "Video")</f>
        <v/>
      </c>
      <c r="B3238" t="inlineStr">
        <is>
          <t>9:27</t>
        </is>
      </c>
      <c r="C3238" t="inlineStr">
        <is>
          <t>you kind of jump a little bit.</t>
        </is>
      </c>
      <c r="D3238">
        <f>HYPERLINK("https://www.youtube.com/watch?v=Xf1utCkN68M&amp;t=567s", "Go to time")</f>
        <v/>
      </c>
    </row>
    <row r="3239">
      <c r="A3239">
        <f>HYPERLINK("https://www.youtube.com/watch?v=Xf1utCkN68M", "Video")</f>
        <v/>
      </c>
      <c r="B3239" t="inlineStr">
        <is>
          <t>12:08</t>
        </is>
      </c>
      <c r="C3239" t="inlineStr">
        <is>
          <t>path, et cetera, I'd like to get
a little bit more information,</t>
        </is>
      </c>
      <c r="D3239">
        <f>HYPERLINK("https://www.youtube.com/watch?v=Xf1utCkN68M&amp;t=728s", "Go to time")</f>
        <v/>
      </c>
    </row>
    <row r="3240">
      <c r="A3240">
        <f>HYPERLINK("https://www.youtube.com/watch?v=G5dm9yB5vwo", "Video")</f>
        <v/>
      </c>
      <c r="B3240" t="inlineStr">
        <is>
          <t>3:56</t>
        </is>
      </c>
      <c r="C3240" t="inlineStr">
        <is>
          <t>ALISON BEARD: And at that point,
what was your ambition for it?</t>
        </is>
      </c>
      <c r="D3240">
        <f>HYPERLINK("https://www.youtube.com/watch?v=G5dm9yB5vwo&amp;t=236s", "Go to time")</f>
        <v/>
      </c>
    </row>
    <row r="3241">
      <c r="A3241">
        <f>HYPERLINK("https://www.youtube.com/watch?v=G5dm9yB5vwo", "Video")</f>
        <v/>
      </c>
      <c r="B3241" t="inlineStr">
        <is>
          <t>6:04</t>
        </is>
      </c>
      <c r="C3241" t="inlineStr">
        <is>
          <t>So talk to me a little
bit about that move</t>
        </is>
      </c>
      <c r="D3241">
        <f>HYPERLINK("https://www.youtube.com/watch?v=G5dm9yB5vwo&amp;t=364s", "Go to time")</f>
        <v/>
      </c>
    </row>
    <row r="3242">
      <c r="A3242">
        <f>HYPERLINK("https://www.youtube.com/watch?v=G5dm9yB5vwo", "Video")</f>
        <v/>
      </c>
      <c r="B3242" t="inlineStr">
        <is>
          <t>6:07</t>
        </is>
      </c>
      <c r="C3242" t="inlineStr">
        <is>
          <t>toward a little
bit more hierarchy,</t>
        </is>
      </c>
      <c r="D3242">
        <f>HYPERLINK("https://www.youtube.com/watch?v=G5dm9yB5vwo&amp;t=367s", "Go to time")</f>
        <v/>
      </c>
    </row>
    <row r="3243">
      <c r="A3243">
        <f>HYPERLINK("https://www.youtube.com/watch?v=G5dm9yB5vwo", "Video")</f>
        <v/>
      </c>
      <c r="B3243" t="inlineStr">
        <is>
          <t>22:02</t>
        </is>
      </c>
      <c r="C3243" t="inlineStr">
        <is>
          <t>But it didn't change
anything at all, not a bit.</t>
        </is>
      </c>
      <c r="D3243">
        <f>HYPERLINK("https://www.youtube.com/watch?v=G5dm9yB5vwo&amp;t=1322s", "Go to time")</f>
        <v/>
      </c>
    </row>
    <row r="3244">
      <c r="A3244">
        <f>HYPERLINK("https://www.youtube.com/watch?v=kNGr99LoTsg", "Video")</f>
        <v/>
      </c>
      <c r="B3244" t="inlineStr">
        <is>
          <t>2:54</t>
        </is>
      </c>
      <c r="C3244" t="inlineStr">
        <is>
          <t>Tell us a little bit about
what you mean by that.</t>
        </is>
      </c>
      <c r="D3244">
        <f>HYPERLINK("https://www.youtube.com/watch?v=kNGr99LoTsg&amp;t=174s", "Go to time")</f>
        <v/>
      </c>
    </row>
    <row r="3245">
      <c r="A3245">
        <f>HYPERLINK("https://www.youtube.com/watch?v=kNGr99LoTsg", "Video")</f>
        <v/>
      </c>
      <c r="B3245" t="inlineStr">
        <is>
          <t>4:19</t>
        </is>
      </c>
      <c r="C3245" t="inlineStr">
        <is>
          <t>for a bit on your
experience using Google,</t>
        </is>
      </c>
      <c r="D3245">
        <f>HYPERLINK("https://www.youtube.com/watch?v=kNGr99LoTsg&amp;t=259s", "Go to time")</f>
        <v/>
      </c>
    </row>
    <row r="3246">
      <c r="A3246">
        <f>HYPERLINK("https://www.youtube.com/watch?v=kNGr99LoTsg", "Video")</f>
        <v/>
      </c>
      <c r="B3246" t="inlineStr">
        <is>
          <t>10:05</t>
        </is>
      </c>
      <c r="C3246" t="inlineStr">
        <is>
          <t>And in fact, I've been
pondering this quite a bit.</t>
        </is>
      </c>
      <c r="D3246">
        <f>HYPERLINK("https://www.youtube.com/watch?v=kNGr99LoTsg&amp;t=605s", "Go to time")</f>
        <v/>
      </c>
    </row>
    <row r="3247">
      <c r="A3247">
        <f>HYPERLINK("https://www.youtube.com/watch?v=kNGr99LoTsg", "Video")</f>
        <v/>
      </c>
      <c r="B3247" t="inlineStr">
        <is>
          <t>12:07</t>
        </is>
      </c>
      <c r="C3247" t="inlineStr">
        <is>
          <t>But the second
bit, I think, Adi,</t>
        </is>
      </c>
      <c r="D3247">
        <f>HYPERLINK("https://www.youtube.com/watch?v=kNGr99LoTsg&amp;t=727s", "Go to time")</f>
        <v/>
      </c>
    </row>
    <row r="3248">
      <c r="A3248">
        <f>HYPERLINK("https://www.youtube.com/watch?v=kNGr99LoTsg", "Video")</f>
        <v/>
      </c>
      <c r="B3248" t="inlineStr">
        <is>
          <t>14:13</t>
        </is>
      </c>
      <c r="C3248" t="inlineStr">
        <is>
          <t>a bit and in November of 2022
when Thanksgiving was on we</t>
        </is>
      </c>
      <c r="D3248">
        <f>HYPERLINK("https://www.youtube.com/watch?v=kNGr99LoTsg&amp;t=853s", "Go to time")</f>
        <v/>
      </c>
    </row>
    <row r="3249">
      <c r="A3249">
        <f>HYPERLINK("https://www.youtube.com/watch?v=kNGr99LoTsg", "Video")</f>
        <v/>
      </c>
      <c r="B3249" t="inlineStr">
        <is>
          <t>14:30</t>
        </is>
      </c>
      <c r="C3249" t="inlineStr">
        <is>
          <t>a bit with the vaccines
and so on and so forth,</t>
        </is>
      </c>
      <c r="D3249">
        <f>HYPERLINK("https://www.youtube.com/watch?v=kNGr99LoTsg&amp;t=870s", "Go to time")</f>
        <v/>
      </c>
    </row>
    <row r="3250">
      <c r="A3250">
        <f>HYPERLINK("https://www.youtube.com/watch?v=kNGr99LoTsg", "Video")</f>
        <v/>
      </c>
      <c r="B3250" t="inlineStr">
        <is>
          <t>17:18</t>
        </is>
      </c>
      <c r="C3250" t="inlineStr">
        <is>
          <t>is it's actually worth to pause
and look at history a bit.</t>
        </is>
      </c>
      <c r="D3250">
        <f>HYPERLINK("https://www.youtube.com/watch?v=kNGr99LoTsg&amp;t=1038s", "Go to time")</f>
        <v/>
      </c>
    </row>
    <row r="3251">
      <c r="A3251">
        <f>HYPERLINK("https://www.youtube.com/watch?v=kNGr99LoTsg", "Video")</f>
        <v/>
      </c>
      <c r="B3251" t="inlineStr">
        <is>
          <t>25:52</t>
        </is>
      </c>
      <c r="C3251" t="inlineStr">
        <is>
          <t>You need to verify and
do a little bit more</t>
        </is>
      </c>
      <c r="D3251">
        <f>HYPERLINK("https://www.youtube.com/watch?v=kNGr99LoTsg&amp;t=1552s", "Go to time")</f>
        <v/>
      </c>
    </row>
    <row r="3252">
      <c r="A3252">
        <f>HYPERLINK("https://www.youtube.com/watch?v=kNGr99LoTsg", "Video")</f>
        <v/>
      </c>
      <c r="B3252" t="inlineStr">
        <is>
          <t>26:37</t>
        </is>
      </c>
      <c r="C3252" t="inlineStr">
        <is>
          <t>And very soon, you'll
be down the rabbit hole.</t>
        </is>
      </c>
      <c r="D3252">
        <f>HYPERLINK("https://www.youtube.com/watch?v=kNGr99LoTsg&amp;t=1597s", "Go to time")</f>
        <v/>
      </c>
    </row>
    <row r="3253">
      <c r="A3253">
        <f>HYPERLINK("https://www.youtube.com/watch?v=kNGr99LoTsg", "Video")</f>
        <v/>
      </c>
      <c r="B3253" t="inlineStr">
        <is>
          <t>33:58</t>
        </is>
      </c>
      <c r="C3253" t="inlineStr">
        <is>
          <t>But I can tell you, I got
a little bit of a wake</t>
        </is>
      </c>
      <c r="D3253">
        <f>HYPERLINK("https://www.youtube.com/watch?v=kNGr99LoTsg&amp;t=2038s", "Go to time")</f>
        <v/>
      </c>
    </row>
    <row r="3254">
      <c r="A3254">
        <f>HYPERLINK("https://www.youtube.com/watch?v=kNGr99LoTsg", "Video")</f>
        <v/>
      </c>
      <c r="B3254" t="inlineStr">
        <is>
          <t>36:14</t>
        </is>
      </c>
      <c r="C3254" t="inlineStr">
        <is>
          <t>an ambitious sustainability
agenda at the company.</t>
        </is>
      </c>
      <c r="D3254">
        <f>HYPERLINK("https://www.youtube.com/watch?v=kNGr99LoTsg&amp;t=2174s", "Go to time")</f>
        <v/>
      </c>
    </row>
    <row r="3255">
      <c r="A3255">
        <f>HYPERLINK("https://www.youtube.com/watch?v=_6Nf6Ijgals", "Video")</f>
        <v/>
      </c>
      <c r="B3255" t="inlineStr">
        <is>
          <t>5:49</t>
        </is>
      </c>
      <c r="C3255" t="inlineStr">
        <is>
          <t>What is Alibaba, and a little
bit about Jack Ma, too,</t>
        </is>
      </c>
      <c r="D3255">
        <f>HYPERLINK("https://www.youtube.com/watch?v=_6Nf6Ijgals&amp;t=349s", "Go to time")</f>
        <v/>
      </c>
    </row>
    <row r="3256">
      <c r="A3256">
        <f>HYPERLINK("https://www.youtube.com/watch?v=_6Nf6Ijgals", "Video")</f>
        <v/>
      </c>
      <c r="B3256" t="inlineStr">
        <is>
          <t>7:04</t>
        </is>
      </c>
      <c r="C3256" t="inlineStr">
        <is>
          <t>They look a little bit
like individual customers,</t>
        </is>
      </c>
      <c r="D3256">
        <f>HYPERLINK("https://www.youtube.com/watch?v=_6Nf6Ijgals&amp;t=424s", "Go to time")</f>
        <v/>
      </c>
    </row>
    <row r="3257">
      <c r="A3257">
        <f>HYPERLINK("https://www.youtube.com/watch?v=_6Nf6Ijgals", "Video")</f>
        <v/>
      </c>
      <c r="B3257" t="inlineStr">
        <is>
          <t>7:07</t>
        </is>
      </c>
      <c r="C3257" t="inlineStr">
        <is>
          <t>and they look a little
bit like an actual B2B</t>
        </is>
      </c>
      <c r="D3257">
        <f>HYPERLINK("https://www.youtube.com/watch?v=_6Nf6Ijgals&amp;t=427s", "Go to time")</f>
        <v/>
      </c>
    </row>
    <row r="3258">
      <c r="A3258">
        <f>HYPERLINK("https://www.youtube.com/watch?v=_6Nf6Ijgals", "Video")</f>
        <v/>
      </c>
      <c r="B3258" t="inlineStr">
        <is>
          <t>9:36</t>
        </is>
      </c>
      <c r="C3258" t="inlineStr">
        <is>
          <t>BRIAN KENNY: So let's
talk a little bit</t>
        </is>
      </c>
      <c r="D3258">
        <f>HYPERLINK("https://www.youtube.com/watch?v=_6Nf6Ijgals&amp;t=576s", "Go to time")</f>
        <v/>
      </c>
    </row>
    <row r="3259">
      <c r="A3259">
        <f>HYPERLINK("https://www.youtube.com/watch?v=_6Nf6Ijgals", "Video")</f>
        <v/>
      </c>
      <c r="B3259" t="inlineStr">
        <is>
          <t>12:06</t>
        </is>
      </c>
      <c r="C3259" t="inlineStr">
        <is>
          <t>They understand the buying
habits of Chinese people.</t>
        </is>
      </c>
      <c r="D3259">
        <f>HYPERLINK("https://www.youtube.com/watch?v=_6Nf6Ijgals&amp;t=726s", "Go to time")</f>
        <v/>
      </c>
    </row>
    <row r="3260">
      <c r="A3260">
        <f>HYPERLINK("https://www.youtube.com/watch?v=_6Nf6Ijgals", "Video")</f>
        <v/>
      </c>
      <c r="B3260" t="inlineStr">
        <is>
          <t>23:19</t>
        </is>
      </c>
      <c r="C3260" t="inlineStr">
        <is>
          <t>Can you talk a little bit
about what they attempted to do</t>
        </is>
      </c>
      <c r="D3260">
        <f>HYPERLINK("https://www.youtube.com/watch?v=_6Nf6Ijgals&amp;t=1399s", "Go to time")</f>
        <v/>
      </c>
    </row>
    <row r="3261">
      <c r="A3261">
        <f>HYPERLINK("https://www.youtube.com/watch?v=drOUyWaeNGQ", "Video")</f>
        <v/>
      </c>
      <c r="B3261" t="inlineStr">
        <is>
          <t>2:17</t>
        </is>
      </c>
      <c r="C3261" t="inlineStr">
        <is>
          <t>to set the stage a little bit we're at a</t>
        </is>
      </c>
      <c r="D3261">
        <f>HYPERLINK("https://www.youtube.com/watch?v=drOUyWaeNGQ&amp;t=137s", "Go to time")</f>
        <v/>
      </c>
    </row>
    <row r="3262">
      <c r="A3262">
        <f>HYPERLINK("https://www.youtube.com/watch?v=drOUyWaeNGQ", "Video")</f>
        <v/>
      </c>
      <c r="B3262" t="inlineStr">
        <is>
          <t>3:28</t>
        </is>
      </c>
      <c r="C3262" t="inlineStr">
        <is>
          <t>countries are likely a bit heart be hit</t>
        </is>
      </c>
      <c r="D3262">
        <f>HYPERLINK("https://www.youtube.com/watch?v=drOUyWaeNGQ&amp;t=208s", "Go to time")</f>
        <v/>
      </c>
    </row>
    <row r="3263">
      <c r="A3263">
        <f>HYPERLINK("https://www.youtube.com/watch?v=drOUyWaeNGQ", "Video")</f>
        <v/>
      </c>
      <c r="B3263" t="inlineStr">
        <is>
          <t>5:29</t>
        </is>
      </c>
      <c r="C3263" t="inlineStr">
        <is>
          <t>she has headed the IMF for a bit less</t>
        </is>
      </c>
      <c r="D3263">
        <f>HYPERLINK("https://www.youtube.com/watch?v=drOUyWaeNGQ&amp;t=329s", "Go to time")</f>
        <v/>
      </c>
    </row>
    <row r="3264">
      <c r="A3264">
        <f>HYPERLINK("https://www.youtube.com/watch?v=drOUyWaeNGQ", "Video")</f>
        <v/>
      </c>
      <c r="B3264" t="inlineStr">
        <is>
          <t>14:14</t>
        </is>
      </c>
      <c r="C3264" t="inlineStr">
        <is>
          <t>almost 11 bit a trillion I'm sorry I'm</t>
        </is>
      </c>
      <c r="D3264">
        <f>HYPERLINK("https://www.youtube.com/watch?v=drOUyWaeNGQ&amp;t=854s", "Go to time")</f>
        <v/>
      </c>
    </row>
    <row r="3265">
      <c r="A3265">
        <f>HYPERLINK("https://www.youtube.com/watch?v=drOUyWaeNGQ", "Video")</f>
        <v/>
      </c>
      <c r="B3265" t="inlineStr">
        <is>
          <t>23:47</t>
        </is>
      </c>
      <c r="C3265" t="inlineStr">
        <is>
          <t>Jim from or Ohio you talked a little bit</t>
        </is>
      </c>
      <c r="D3265">
        <f>HYPERLINK("https://www.youtube.com/watch?v=drOUyWaeNGQ&amp;t=1427s", "Go to time")</f>
        <v/>
      </c>
    </row>
    <row r="3266">
      <c r="A3266">
        <f>HYPERLINK("https://www.youtube.com/watch?v=drOUyWaeNGQ", "Video")</f>
        <v/>
      </c>
      <c r="B3266" t="inlineStr">
        <is>
          <t>39:13</t>
        </is>
      </c>
      <c r="C3266" t="inlineStr">
        <is>
          <t>spend a little bit of time from your</t>
        </is>
      </c>
      <c r="D3266">
        <f>HYPERLINK("https://www.youtube.com/watch?v=drOUyWaeNGQ&amp;t=2353s", "Go to time")</f>
        <v/>
      </c>
    </row>
    <row r="3267">
      <c r="A3267">
        <f>HYPERLINK("https://www.youtube.com/watch?v=ME5arjlSTGQ", "Video")</f>
        <v/>
      </c>
      <c r="B3267" t="inlineStr">
        <is>
          <t>0:18</t>
        </is>
      </c>
      <c r="C3267" t="inlineStr">
        <is>
          <t>When I came almost 40 years ago,
we moved a bit from strategy</t>
        </is>
      </c>
      <c r="D3267">
        <f>HYPERLINK("https://www.youtube.com/watch?v=ME5arjlSTGQ&amp;t=18s", "Go to time")</f>
        <v/>
      </c>
    </row>
    <row r="3268">
      <c r="A3268">
        <f>HYPERLINK("https://www.youtube.com/watch?v=ME5arjlSTGQ", "Video")</f>
        <v/>
      </c>
      <c r="B3268" t="inlineStr">
        <is>
          <t>0:27</t>
        </is>
      </c>
      <c r="C3268" t="inlineStr">
        <is>
          <t>to have a bigger ambition
than just the strategy.</t>
        </is>
      </c>
      <c r="D3268">
        <f>HYPERLINK("https://www.youtube.com/watch?v=ME5arjlSTGQ&amp;t=27s", "Go to time")</f>
        <v/>
      </c>
    </row>
    <row r="3269">
      <c r="A3269">
        <f>HYPERLINK("https://www.youtube.com/watch?v=ME5arjlSTGQ", "Video")</f>
        <v/>
      </c>
      <c r="B3269" t="inlineStr">
        <is>
          <t>3:42</t>
        </is>
      </c>
      <c r="C3269" t="inlineStr">
        <is>
          <t>It's when your ambition
is much, much greater</t>
        </is>
      </c>
      <c r="D3269">
        <f>HYPERLINK("https://www.youtube.com/watch?v=ME5arjlSTGQ&amp;t=222s", "Go to time")</f>
        <v/>
      </c>
    </row>
    <row r="3270">
      <c r="A3270">
        <f>HYPERLINK("https://www.youtube.com/watch?v=BAdn-jFSDkE", "Video")</f>
        <v/>
      </c>
      <c r="B3270" t="inlineStr">
        <is>
          <t>1:20</t>
        </is>
      </c>
      <c r="C3270" t="inlineStr">
        <is>
          <t>Bitcoin and blockchain?</t>
        </is>
      </c>
      <c r="D3270">
        <f>HYPERLINK("https://www.youtube.com/watch?v=BAdn-jFSDkE&amp;t=80s", "Go to time")</f>
        <v/>
      </c>
    </row>
    <row r="3271">
      <c r="A3271">
        <f>HYPERLINK("https://www.youtube.com/watch?v=BAdn-jFSDkE", "Video")</f>
        <v/>
      </c>
      <c r="B3271" t="inlineStr">
        <is>
          <t>1:24</t>
        </is>
      </c>
      <c r="C3271" t="inlineStr">
        <is>
          <t>THOMAS STACKPOLE: So
NFTs and Bitcoin--</t>
        </is>
      </c>
      <c r="D3271">
        <f>HYPERLINK("https://www.youtube.com/watch?v=BAdn-jFSDkE&amp;t=84s", "Go to time")</f>
        <v/>
      </c>
    </row>
    <row r="3272">
      <c r="A3272">
        <f>HYPERLINK("https://www.youtube.com/watch?v=BAdn-jFSDkE", "Video")</f>
        <v/>
      </c>
      <c r="B3272" t="inlineStr">
        <is>
          <t>4:07</t>
        </is>
      </c>
      <c r="C3272" t="inlineStr">
        <is>
          <t>maybe, not even that--
but a little bit</t>
        </is>
      </c>
      <c r="D3272">
        <f>HYPERLINK("https://www.youtube.com/watch?v=BAdn-jFSDkE&amp;t=247s", "Go to time")</f>
        <v/>
      </c>
    </row>
    <row r="3273">
      <c r="A3273">
        <f>HYPERLINK("https://www.youtube.com/watch?v=BAdn-jFSDkE", "Video")</f>
        <v/>
      </c>
      <c r="B3273" t="inlineStr">
        <is>
          <t>7:07</t>
        </is>
      </c>
      <c r="C3273" t="inlineStr">
        <is>
          <t>And so, I think it is
bringing this a little bit</t>
        </is>
      </c>
      <c r="D3273">
        <f>HYPERLINK("https://www.youtube.com/watch?v=BAdn-jFSDkE&amp;t=427s", "Go to time")</f>
        <v/>
      </c>
    </row>
    <row r="3274">
      <c r="A3274">
        <f>HYPERLINK("https://www.youtube.com/watch?v=QH8-P-Q8g50", "Video")</f>
        <v/>
      </c>
      <c r="B3274" t="inlineStr">
        <is>
          <t>4:52</t>
        </is>
      </c>
      <c r="C3274" t="inlineStr">
        <is>
          <t>CURT NICKISCH: Well, let's
dig into that a little bit</t>
        </is>
      </c>
      <c r="D3274">
        <f>HYPERLINK("https://www.youtube.com/watch?v=QH8-P-Q8g50&amp;t=292s", "Go to time")</f>
        <v/>
      </c>
    </row>
    <row r="3275">
      <c r="A3275">
        <f>HYPERLINK("https://www.youtube.com/watch?v=QH8-P-Q8g50", "Video")</f>
        <v/>
      </c>
      <c r="B3275" t="inlineStr">
        <is>
          <t>14:19</t>
        </is>
      </c>
      <c r="C3275" t="inlineStr">
        <is>
          <t>I'm sure that's a temptation
a bit for managers</t>
        </is>
      </c>
      <c r="D3275">
        <f>HYPERLINK("https://www.youtube.com/watch?v=QH8-P-Q8g50&amp;t=859s", "Go to time")</f>
        <v/>
      </c>
    </row>
    <row r="3276">
      <c r="A3276">
        <f>HYPERLINK("https://www.youtube.com/watch?v=QH8-P-Q8g50", "Video")</f>
        <v/>
      </c>
      <c r="B3276" t="inlineStr">
        <is>
          <t>21:54</t>
        </is>
      </c>
      <c r="C3276" t="inlineStr">
        <is>
          <t>And if you give a little bit
of resources to support this,</t>
        </is>
      </c>
      <c r="D3276">
        <f>HYPERLINK("https://www.youtube.com/watch?v=QH8-P-Q8g50&amp;t=1314s", "Go to time")</f>
        <v/>
      </c>
    </row>
    <row r="3277">
      <c r="A3277">
        <f>HYPERLINK("https://www.youtube.com/watch?v=j2lJiOp9yMI", "Video")</f>
        <v/>
      </c>
      <c r="B3277" t="inlineStr">
        <is>
          <t>21:15</t>
        </is>
      </c>
      <c r="C3277" t="inlineStr">
        <is>
          <t>I'm in where people feel a little bit</t>
        </is>
      </c>
      <c r="D3277">
        <f>HYPERLINK("https://www.youtube.com/watch?v=j2lJiOp9yMI&amp;t=1275s", "Go to time")</f>
        <v/>
      </c>
    </row>
    <row r="3278">
      <c r="A3278">
        <f>HYPERLINK("https://www.youtube.com/watch?v=j2lJiOp9yMI", "Video")</f>
        <v/>
      </c>
      <c r="B3278" t="inlineStr">
        <is>
          <t>27:45</t>
        </is>
      </c>
      <c r="C3278" t="inlineStr">
        <is>
          <t>that a bit but if you could just point</t>
        </is>
      </c>
      <c r="D3278">
        <f>HYPERLINK("https://www.youtube.com/watch?v=j2lJiOp9yMI&amp;t=1665s", "Go to time")</f>
        <v/>
      </c>
    </row>
    <row r="3279">
      <c r="A3279">
        <f>HYPERLINK("https://www.youtube.com/watch?v=j2lJiOp9yMI", "Video")</f>
        <v/>
      </c>
      <c r="B3279" t="inlineStr">
        <is>
          <t>29:16</t>
        </is>
      </c>
      <c r="C3279" t="inlineStr">
        <is>
          <t>be a little bit open even if you do lose</t>
        </is>
      </c>
      <c r="D3279">
        <f>HYPERLINK("https://www.youtube.com/watch?v=j2lJiOp9yMI&amp;t=1756s", "Go to time")</f>
        <v/>
      </c>
    </row>
    <row r="3280">
      <c r="A3280">
        <f>HYPERLINK("https://www.youtube.com/watch?v=j2lJiOp9yMI", "Video")</f>
        <v/>
      </c>
      <c r="B3280" t="inlineStr">
        <is>
          <t>35:06</t>
        </is>
      </c>
      <c r="C3280" t="inlineStr">
        <is>
          <t>you know exhibiting bias right we all at</t>
        </is>
      </c>
      <c r="D3280">
        <f>HYPERLINK("https://www.youtube.com/watch?v=j2lJiOp9yMI&amp;t=2106s", "Go to time")</f>
        <v/>
      </c>
    </row>
    <row r="3281">
      <c r="A3281">
        <f>HYPERLINK("https://www.youtube.com/watch?v=j2lJiOp9yMI", "Video")</f>
        <v/>
      </c>
      <c r="B3281" t="inlineStr">
        <is>
          <t>35:11</t>
        </is>
      </c>
      <c r="C3281" t="inlineStr">
        <is>
          <t>exhibit those behaviors and so the</t>
        </is>
      </c>
      <c r="D3281">
        <f>HYPERLINK("https://www.youtube.com/watch?v=j2lJiOp9yMI&amp;t=2111s", "Go to time")</f>
        <v/>
      </c>
    </row>
    <row r="3282">
      <c r="A3282">
        <f>HYPERLINK("https://www.youtube.com/watch?v=iAMzp-jFymY", "Video")</f>
        <v/>
      </c>
      <c r="B3282" t="inlineStr">
        <is>
          <t>0:31</t>
        </is>
      </c>
      <c r="C3282" t="inlineStr">
        <is>
          <t>They will exhibit
hiding behavior,</t>
        </is>
      </c>
      <c r="D3282">
        <f>HYPERLINK("https://www.youtube.com/watch?v=iAMzp-jFymY&amp;t=31s", "Go to time")</f>
        <v/>
      </c>
    </row>
    <row r="3283">
      <c r="A3283">
        <f>HYPERLINK("https://www.youtube.com/watch?v=iAMzp-jFymY", "Video")</f>
        <v/>
      </c>
      <c r="B3283" t="inlineStr">
        <is>
          <t>2:36</t>
        </is>
      </c>
      <c r="C3283" t="inlineStr">
        <is>
          <t>If you're exhibiting
workaholic behavior,</t>
        </is>
      </c>
      <c r="D3283">
        <f>HYPERLINK("https://www.youtube.com/watch?v=iAMzp-jFymY&amp;t=156s", "Go to time")</f>
        <v/>
      </c>
    </row>
    <row r="3284">
      <c r="A3284">
        <f>HYPERLINK("https://www.youtube.com/watch?v=f-weOItc80E", "Video")</f>
        <v/>
      </c>
      <c r="B3284" t="inlineStr">
        <is>
          <t>8:52</t>
        </is>
      </c>
      <c r="C3284" t="inlineStr">
        <is>
          <t>So that's the first bit.</t>
        </is>
      </c>
      <c r="D3284">
        <f>HYPERLINK("https://www.youtube.com/watch?v=f-weOItc80E&amp;t=532s", "Go to time")</f>
        <v/>
      </c>
    </row>
    <row r="3285">
      <c r="A3285">
        <f>HYPERLINK("https://www.youtube.com/watch?v=f-weOItc80E", "Video")</f>
        <v/>
      </c>
      <c r="B3285" t="inlineStr">
        <is>
          <t>8:53</t>
        </is>
      </c>
      <c r="C3285" t="inlineStr">
        <is>
          <t>And the second bit
is that there's</t>
        </is>
      </c>
      <c r="D3285">
        <f>HYPERLINK("https://www.youtube.com/watch?v=f-weOItc80E&amp;t=533s", "Go to time")</f>
        <v/>
      </c>
    </row>
    <row r="3286">
      <c r="A3286">
        <f>HYPERLINK("https://www.youtube.com/watch?v=f-weOItc80E", "Video")</f>
        <v/>
      </c>
      <c r="B3286" t="inlineStr">
        <is>
          <t>14:34</t>
        </is>
      </c>
      <c r="C3286" t="inlineStr">
        <is>
          <t>we overshare because we
are off guard a little bit.</t>
        </is>
      </c>
      <c r="D3286">
        <f>HYPERLINK("https://www.youtube.com/watch?v=f-weOItc80E&amp;t=874s", "Go to time")</f>
        <v/>
      </c>
    </row>
    <row r="3287">
      <c r="A3287">
        <f>HYPERLINK("https://www.youtube.com/watch?v=f-weOItc80E", "Video")</f>
        <v/>
      </c>
      <c r="B3287" t="inlineStr">
        <is>
          <t>22:09</t>
        </is>
      </c>
      <c r="C3287" t="inlineStr">
        <is>
          <t>or building a gratitude
habit into your day to day.</t>
        </is>
      </c>
      <c r="D3287">
        <f>HYPERLINK("https://www.youtube.com/watch?v=f-weOItc80E&amp;t=1329s", "Go to time")</f>
        <v/>
      </c>
    </row>
    <row r="3288">
      <c r="A3288">
        <f>HYPERLINK("https://www.youtube.com/watch?v=PvqXK6VvL5A", "Video")</f>
        <v/>
      </c>
      <c r="B3288" t="inlineStr">
        <is>
          <t>1:01</t>
        </is>
      </c>
      <c r="C3288" t="inlineStr">
        <is>
          <t>jumping around a bit.</t>
        </is>
      </c>
      <c r="D3288">
        <f>HYPERLINK("https://www.youtube.com/watch?v=PvqXK6VvL5A&amp;t=61s", "Go to time")</f>
        <v/>
      </c>
    </row>
    <row r="3289">
      <c r="A3289">
        <f>HYPERLINK("https://www.youtube.com/watch?v=PvqXK6VvL5A", "Video")</f>
        <v/>
      </c>
      <c r="B3289" t="inlineStr">
        <is>
          <t>1:48</t>
        </is>
      </c>
      <c r="C3289" t="inlineStr">
        <is>
          <t>I'm seeing maybe a
bit of kerning issue</t>
        </is>
      </c>
      <c r="D3289">
        <f>HYPERLINK("https://www.youtube.com/watch?v=PvqXK6VvL5A&amp;t=108s", "Go to time")</f>
        <v/>
      </c>
    </row>
    <row r="3290">
      <c r="A3290">
        <f>HYPERLINK("https://www.youtube.com/watch?v=PvqXK6VvL5A", "Video")</f>
        <v/>
      </c>
      <c r="B3290" t="inlineStr">
        <is>
          <t>2:13</t>
        </is>
      </c>
      <c r="C3290" t="inlineStr">
        <is>
          <t>A little bit of
a waste of space.</t>
        </is>
      </c>
      <c r="D3290">
        <f>HYPERLINK("https://www.youtube.com/watch?v=PvqXK6VvL5A&amp;t=133s", "Go to time")</f>
        <v/>
      </c>
    </row>
    <row r="3291">
      <c r="A3291">
        <f>HYPERLINK("https://www.youtube.com/watch?v=NToNTG73JsQ", "Video")</f>
        <v/>
      </c>
      <c r="B3291" t="inlineStr">
        <is>
          <t>0:41</t>
        </is>
      </c>
      <c r="C3291" t="inlineStr">
        <is>
          <t>to identify leaders,
that it's a bit squishy.</t>
        </is>
      </c>
      <c r="D3291">
        <f>HYPERLINK("https://www.youtube.com/watch?v=NToNTG73JsQ&amp;t=41s", "Go to time")</f>
        <v/>
      </c>
    </row>
    <row r="3292">
      <c r="A3292">
        <f>HYPERLINK("https://www.youtube.com/watch?v=NToNTG73JsQ", "Video")</f>
        <v/>
      </c>
      <c r="B3292" t="inlineStr">
        <is>
          <t>3:05</t>
        </is>
      </c>
      <c r="C3292" t="inlineStr">
        <is>
          <t>buckets that leave people
feeling a little bit confused</t>
        </is>
      </c>
      <c r="D3292">
        <f>HYPERLINK("https://www.youtube.com/watch?v=NToNTG73JsQ&amp;t=185s", "Go to time")</f>
        <v/>
      </c>
    </row>
    <row r="3293">
      <c r="A3293">
        <f>HYPERLINK("https://www.youtube.com/watch?v=NToNTG73JsQ", "Video")</f>
        <v/>
      </c>
      <c r="B3293" t="inlineStr">
        <is>
          <t>3:44</t>
        </is>
      </c>
      <c r="C3293" t="inlineStr">
        <is>
          <t>It's a set of behaviors,
it's a set of habits,</t>
        </is>
      </c>
      <c r="D3293">
        <f>HYPERLINK("https://www.youtube.com/watch?v=NToNTG73JsQ&amp;t=224s", "Go to time")</f>
        <v/>
      </c>
    </row>
    <row r="3294">
      <c r="A3294">
        <f>HYPERLINK("https://www.youtube.com/watch?v=NToNTG73JsQ", "Video")</f>
        <v/>
      </c>
      <c r="B3294" t="inlineStr">
        <is>
          <t>6:05</t>
        </is>
      </c>
      <c r="C3294" t="inlineStr">
        <is>
          <t>and uhs when they speak, and
this hurt them a little bit.</t>
        </is>
      </c>
      <c r="D3294">
        <f>HYPERLINK("https://www.youtube.com/watch?v=NToNTG73JsQ&amp;t=365s", "Go to time")</f>
        <v/>
      </c>
    </row>
    <row r="3295">
      <c r="A3295">
        <f>HYPERLINK("https://www.youtube.com/watch?v=NToNTG73JsQ", "Video")</f>
        <v/>
      </c>
      <c r="B3295" t="inlineStr">
        <is>
          <t>7:05</t>
        </is>
      </c>
      <c r="C3295" t="inlineStr">
        <is>
          <t>we clearly find that it
is a little bit easier</t>
        </is>
      </c>
      <c r="D3295">
        <f>HYPERLINK("https://www.youtube.com/watch?v=NToNTG73JsQ&amp;t=425s", "Go to time")</f>
        <v/>
      </c>
    </row>
    <row r="3296">
      <c r="A3296">
        <f>HYPERLINK("https://www.youtube.com/watch?v=NToNTG73JsQ", "Video")</f>
        <v/>
      </c>
      <c r="B3296" t="inlineStr">
        <is>
          <t>7:27</t>
        </is>
      </c>
      <c r="C3296" t="inlineStr">
        <is>
          <t>lean a little bit
more attractive to get</t>
        </is>
      </c>
      <c r="D3296">
        <f>HYPERLINK("https://www.youtube.com/watch?v=NToNTG73JsQ&amp;t=447s", "Go to time")</f>
        <v/>
      </c>
    </row>
    <row r="3297">
      <c r="A3297">
        <f>HYPERLINK("https://www.youtube.com/watch?v=NToNTG73JsQ", "Video")</f>
        <v/>
      </c>
      <c r="B3297" t="inlineStr">
        <is>
          <t>7:40</t>
        </is>
      </c>
      <c r="C3297" t="inlineStr">
        <is>
          <t>a little bit stuck
in their career,</t>
        </is>
      </c>
      <c r="D3297">
        <f>HYPERLINK("https://www.youtube.com/watch?v=NToNTG73JsQ&amp;t=460s", "Go to time")</f>
        <v/>
      </c>
    </row>
    <row r="3298">
      <c r="A3298">
        <f>HYPERLINK("https://www.youtube.com/watch?v=NToNTG73JsQ", "Video")</f>
        <v/>
      </c>
      <c r="B3298" t="inlineStr">
        <is>
          <t>8:20</t>
        </is>
      </c>
      <c r="C3298" t="inlineStr">
        <is>
          <t>I'm working with someone who
needs to lean a little bit more</t>
        </is>
      </c>
      <c r="D3298">
        <f>HYPERLINK("https://www.youtube.com/watch?v=NToNTG73JsQ&amp;t=500s", "Go to time")</f>
        <v/>
      </c>
    </row>
    <row r="3299">
      <c r="A3299">
        <f>HYPERLINK("https://www.youtube.com/watch?v=NToNTG73JsQ", "Video")</f>
        <v/>
      </c>
      <c r="B3299" t="inlineStr">
        <is>
          <t>15:41</t>
        </is>
      </c>
      <c r="C3299" t="inlineStr">
        <is>
          <t>but we are telling women to
be careful a little bit more</t>
        </is>
      </c>
      <c r="D3299">
        <f>HYPERLINK("https://www.youtube.com/watch?v=NToNTG73JsQ&amp;t=941s", "Go to time")</f>
        <v/>
      </c>
    </row>
    <row r="3300">
      <c r="A3300">
        <f>HYPERLINK("https://www.youtube.com/watch?v=NToNTG73JsQ", "Video")</f>
        <v/>
      </c>
      <c r="B3300" t="inlineStr">
        <is>
          <t>16:46</t>
        </is>
      </c>
      <c r="C3300" t="inlineStr">
        <is>
          <t>but that certainly, it's
highlighted a little bit more</t>
        </is>
      </c>
      <c r="D3300">
        <f>HYPERLINK("https://www.youtube.com/watch?v=NToNTG73JsQ&amp;t=1006s", "Go to time")</f>
        <v/>
      </c>
    </row>
    <row r="3301">
      <c r="A3301">
        <f>HYPERLINK("https://www.youtube.com/watch?v=5vljHeCB4ok", "Video")</f>
        <v/>
      </c>
      <c r="B3301" t="inlineStr">
        <is>
          <t>2:36</t>
        </is>
      </c>
      <c r="C3301" t="inlineStr">
        <is>
          <t>she's looking for
a bit of guidance</t>
        </is>
      </c>
      <c r="D3301">
        <f>HYPERLINK("https://www.youtube.com/watch?v=5vljHeCB4ok&amp;t=156s", "Go to time")</f>
        <v/>
      </c>
    </row>
    <row r="3302">
      <c r="A3302">
        <f>HYPERLINK("https://www.youtube.com/watch?v=5vljHeCB4ok", "Video")</f>
        <v/>
      </c>
      <c r="B3302" t="inlineStr">
        <is>
          <t>7:56</t>
        </is>
      </c>
      <c r="C3302" t="inlineStr">
        <is>
          <t>So it's a little bit of
that conflict, I guess.</t>
        </is>
      </c>
      <c r="D3302">
        <f>HYPERLINK("https://www.youtube.com/watch?v=5vljHeCB4ok&amp;t=476s", "Go to time")</f>
        <v/>
      </c>
    </row>
    <row r="3303">
      <c r="A3303">
        <f>HYPERLINK("https://www.youtube.com/watch?v=5vljHeCB4ok", "Video")</f>
        <v/>
      </c>
      <c r="B3303" t="inlineStr">
        <is>
          <t>10:25</t>
        </is>
      </c>
      <c r="C3303" t="inlineStr">
        <is>
          <t>I've done a little bit
of what they do just</t>
        </is>
      </c>
      <c r="D3303">
        <f>HYPERLINK("https://www.youtube.com/watch?v=5vljHeCB4ok&amp;t=625s", "Go to time")</f>
        <v/>
      </c>
    </row>
    <row r="3304">
      <c r="A3304">
        <f>HYPERLINK("https://www.youtube.com/watch?v=5vljHeCB4ok", "Video")</f>
        <v/>
      </c>
      <c r="B3304" t="inlineStr">
        <is>
          <t>13:46</t>
        </is>
      </c>
      <c r="C3304" t="inlineStr">
        <is>
          <t>So elaborate on that
for me a little bit.</t>
        </is>
      </c>
      <c r="D3304">
        <f>HYPERLINK("https://www.youtube.com/watch?v=5vljHeCB4ok&amp;t=826s", "Go to time")</f>
        <v/>
      </c>
    </row>
    <row r="3305">
      <c r="A3305">
        <f>HYPERLINK("https://www.youtube.com/watch?v=5vljHeCB4ok", "Video")</f>
        <v/>
      </c>
      <c r="B3305" t="inlineStr">
        <is>
          <t>23:36</t>
        </is>
      </c>
      <c r="C3305" t="inlineStr">
        <is>
          <t>Number 2 is I think
a little bit of what</t>
        </is>
      </c>
      <c r="D3305">
        <f>HYPERLINK("https://www.youtube.com/watch?v=5vljHeCB4ok&amp;t=1416s", "Go to time")</f>
        <v/>
      </c>
    </row>
    <row r="3306">
      <c r="A3306">
        <f>HYPERLINK("https://www.youtube.com/watch?v=5vljHeCB4ok", "Video")</f>
        <v/>
      </c>
      <c r="B3306" t="inlineStr">
        <is>
          <t>32:52</t>
        </is>
      </c>
      <c r="C3306" t="inlineStr">
        <is>
          <t>that I was interested in
for a little bit, which</t>
        </is>
      </c>
      <c r="D3306">
        <f>HYPERLINK("https://www.youtube.com/watch?v=5vljHeCB4ok&amp;t=1972s", "Go to time")</f>
        <v/>
      </c>
    </row>
    <row r="3307">
      <c r="A3307">
        <f>HYPERLINK("https://www.youtube.com/watch?v=5vljHeCB4ok", "Video")</f>
        <v/>
      </c>
      <c r="B3307" t="inlineStr">
        <is>
          <t>39:45</t>
        </is>
      </c>
      <c r="C3307" t="inlineStr">
        <is>
          <t>So I worry about
that a little bit.</t>
        </is>
      </c>
      <c r="D3307">
        <f>HYPERLINK("https://www.youtube.com/watch?v=5vljHeCB4ok&amp;t=2385s", "Go to time")</f>
        <v/>
      </c>
    </row>
    <row r="3308">
      <c r="A3308">
        <f>HYPERLINK("https://www.youtube.com/watch?v=5vljHeCB4ok", "Video")</f>
        <v/>
      </c>
      <c r="B3308" t="inlineStr">
        <is>
          <t>43:41</t>
        </is>
      </c>
      <c r="C3308" t="inlineStr">
        <is>
          <t>not dismisses, but kind
of mitigates a little bit,</t>
        </is>
      </c>
      <c r="D3308">
        <f>HYPERLINK("https://www.youtube.com/watch?v=5vljHeCB4ok&amp;t=2621s", "Go to time")</f>
        <v/>
      </c>
    </row>
    <row r="3309">
      <c r="A3309">
        <f>HYPERLINK("https://www.youtube.com/watch?v=5vljHeCB4ok", "Video")</f>
        <v/>
      </c>
      <c r="B3309" t="inlineStr">
        <is>
          <t>49:05</t>
        </is>
      </c>
      <c r="C3309" t="inlineStr">
        <is>
          <t>[LAUGHS] I think a little bit of
it is it's not that these fires</t>
        </is>
      </c>
      <c r="D3309">
        <f>HYPERLINK("https://www.youtube.com/watch?v=5vljHeCB4ok&amp;t=2945s", "Go to time")</f>
        <v/>
      </c>
    </row>
    <row r="3310">
      <c r="A3310">
        <f>HYPERLINK("https://www.youtube.com/watch?v=5vljHeCB4ok", "Video")</f>
        <v/>
      </c>
      <c r="B3310" t="inlineStr">
        <is>
          <t>49:22</t>
        </is>
      </c>
      <c r="C3310" t="inlineStr">
        <is>
          <t>the anxiety a little bit and let
him really think clearly about,</t>
        </is>
      </c>
      <c r="D3310">
        <f>HYPERLINK("https://www.youtube.com/watch?v=5vljHeCB4ok&amp;t=2962s", "Go to time")</f>
        <v/>
      </c>
    </row>
    <row r="3311">
      <c r="A3311">
        <f>HYPERLINK("https://www.youtube.com/watch?v=5vljHeCB4ok", "Video")</f>
        <v/>
      </c>
      <c r="B3311" t="inlineStr">
        <is>
          <t>56:50</t>
        </is>
      </c>
      <c r="C3311" t="inlineStr">
        <is>
          <t>the inhibitor or not
the one holding me back</t>
        </is>
      </c>
      <c r="D3311">
        <f>HYPERLINK("https://www.youtube.com/watch?v=5vljHeCB4ok&amp;t=3410s", "Go to time")</f>
        <v/>
      </c>
    </row>
    <row r="3312">
      <c r="A3312">
        <f>HYPERLINK("https://www.youtube.com/watch?v=CDe1g1IsEGY", "Video")</f>
        <v/>
      </c>
      <c r="B3312" t="inlineStr">
        <is>
          <t>1:17</t>
        </is>
      </c>
      <c r="C3312" t="inlineStr">
        <is>
          <t>Can you go into a little bit
about where this term actually</t>
        </is>
      </c>
      <c r="D3312">
        <f>HYPERLINK("https://www.youtube.com/watch?v=CDe1g1IsEGY&amp;t=77s", "Go to time")</f>
        <v/>
      </c>
    </row>
    <row r="3313">
      <c r="A3313">
        <f>HYPERLINK("https://www.youtube.com/watch?v=YUwN9dI8MIc", "Video")</f>
        <v/>
      </c>
      <c r="B3313" t="inlineStr">
        <is>
          <t>2:07</t>
        </is>
      </c>
      <c r="C3313" t="inlineStr">
        <is>
          <t>set up the topic a little
bit, before we get Noubar</t>
        </is>
      </c>
      <c r="D3313">
        <f>HYPERLINK("https://www.youtube.com/watch?v=YUwN9dI8MIc&amp;t=127s", "Go to time")</f>
        <v/>
      </c>
    </row>
    <row r="3314">
      <c r="A3314">
        <f>HYPERLINK("https://www.youtube.com/watch?v=YUwN9dI8MIc", "Video")</f>
        <v/>
      </c>
      <c r="B3314" t="inlineStr">
        <is>
          <t>5:10</t>
        </is>
      </c>
      <c r="C3314" t="inlineStr">
        <is>
          <t>And maybe we learn a
little bit more today</t>
        </is>
      </c>
      <c r="D3314">
        <f>HYPERLINK("https://www.youtube.com/watch?v=YUwN9dI8MIc&amp;t=310s", "Go to time")</f>
        <v/>
      </c>
    </row>
    <row r="3315">
      <c r="A3315">
        <f>HYPERLINK("https://www.youtube.com/watch?v=YUwN9dI8MIc", "Video")</f>
        <v/>
      </c>
      <c r="B3315" t="inlineStr">
        <is>
          <t>6:15</t>
        </is>
      </c>
      <c r="C3315" t="inlineStr">
        <is>
          <t>And let's set the
stage a little bit.</t>
        </is>
      </c>
      <c r="D3315">
        <f>HYPERLINK("https://www.youtube.com/watch?v=YUwN9dI8MIc&amp;t=375s", "Go to time")</f>
        <v/>
      </c>
    </row>
    <row r="3316">
      <c r="A3316">
        <f>HYPERLINK("https://www.youtube.com/watch?v=YUwN9dI8MIc", "Video")</f>
        <v/>
      </c>
      <c r="B3316" t="inlineStr">
        <is>
          <t>12:03</t>
        </is>
      </c>
      <c r="C3316" t="inlineStr">
        <is>
          <t>a little sooner, which
is a bit of a moot point.</t>
        </is>
      </c>
      <c r="D3316">
        <f>HYPERLINK("https://www.youtube.com/watch?v=YUwN9dI8MIc&amp;t=723s", "Go to time")</f>
        <v/>
      </c>
    </row>
    <row r="3317">
      <c r="A3317">
        <f>HYPERLINK("https://www.youtube.com/watch?v=YUwN9dI8MIc", "Video")</f>
        <v/>
      </c>
      <c r="B3317" t="inlineStr">
        <is>
          <t>12:05</t>
        </is>
      </c>
      <c r="C3317" t="inlineStr">
        <is>
          <t>Because we have to wait
for safety or a bit later.</t>
        </is>
      </c>
      <c r="D3317">
        <f>HYPERLINK("https://www.youtube.com/watch?v=YUwN9dI8MIc&amp;t=725s", "Go to time")</f>
        <v/>
      </c>
    </row>
    <row r="3318">
      <c r="A3318">
        <f>HYPERLINK("https://www.youtube.com/watch?v=YUwN9dI8MIc", "Video")</f>
        <v/>
      </c>
      <c r="B3318" t="inlineStr">
        <is>
          <t>25:06</t>
        </is>
      </c>
      <c r="C3318" t="inlineStr">
        <is>
          <t>So let's talk a bit
about the distribution</t>
        </is>
      </c>
      <c r="D3318">
        <f>HYPERLINK("https://www.youtube.com/watch?v=YUwN9dI8MIc&amp;t=1506s", "Go to time")</f>
        <v/>
      </c>
    </row>
    <row r="3319">
      <c r="A3319">
        <f>HYPERLINK("https://www.youtube.com/watch?v=YUwN9dI8MIc", "Video")</f>
        <v/>
      </c>
      <c r="B3319" t="inlineStr">
        <is>
          <t>25:16</t>
        </is>
      </c>
      <c r="C3319" t="inlineStr">
        <is>
          <t>ADI IGNATIUS: Well, look,
this is a bit unprecedented.</t>
        </is>
      </c>
      <c r="D3319">
        <f>HYPERLINK("https://www.youtube.com/watch?v=YUwN9dI8MIc&amp;t=1516s", "Go to time")</f>
        <v/>
      </c>
    </row>
    <row r="3320">
      <c r="A3320">
        <f>HYPERLINK("https://www.youtube.com/watch?v=YUwN9dI8MIc", "Video")</f>
        <v/>
      </c>
      <c r="B3320" t="inlineStr">
        <is>
          <t>33:47</t>
        </is>
      </c>
      <c r="C3320" t="inlineStr">
        <is>
          <t>I think it's a little
bit overstated.</t>
        </is>
      </c>
      <c r="D3320">
        <f>HYPERLINK("https://www.youtube.com/watch?v=YUwN9dI8MIc&amp;t=2027s", "Go to time")</f>
        <v/>
      </c>
    </row>
    <row r="3321">
      <c r="A3321">
        <f>HYPERLINK("https://www.youtube.com/watch?v=YUwN9dI8MIc", "Video")</f>
        <v/>
      </c>
      <c r="B3321" t="inlineStr">
        <is>
          <t>39:12</t>
        </is>
      </c>
      <c r="C3321" t="inlineStr">
        <is>
          <t>we think it's a little
bit easier to do this.</t>
        </is>
      </c>
      <c r="D3321">
        <f>HYPERLINK("https://www.youtube.com/watch?v=YUwN9dI8MIc&amp;t=2352s", "Go to time")</f>
        <v/>
      </c>
    </row>
    <row r="3322">
      <c r="A3322">
        <f>HYPERLINK("https://www.youtube.com/watch?v=YUwN9dI8MIc", "Video")</f>
        <v/>
      </c>
      <c r="B3322" t="inlineStr">
        <is>
          <t>40:23</t>
        </is>
      </c>
      <c r="C3322" t="inlineStr">
        <is>
          <t>who finishes earlier
than later by a bit</t>
        </is>
      </c>
      <c r="D3322">
        <f>HYPERLINK("https://www.youtube.com/watch?v=YUwN9dI8MIc&amp;t=2423s", "Go to time")</f>
        <v/>
      </c>
    </row>
    <row r="3323">
      <c r="A3323">
        <f>HYPERLINK("https://www.youtube.com/watch?v=YUwN9dI8MIc", "Video")</f>
        <v/>
      </c>
      <c r="B3323" t="inlineStr">
        <is>
          <t>40:44</t>
        </is>
      </c>
      <c r="C3323" t="inlineStr">
        <is>
          <t>hurtful than getting it
right a little bit sooner.</t>
        </is>
      </c>
      <c r="D3323">
        <f>HYPERLINK("https://www.youtube.com/watch?v=YUwN9dI8MIc&amp;t=2444s", "Go to time")</f>
        <v/>
      </c>
    </row>
    <row r="3324">
      <c r="A3324">
        <f>HYPERLINK("https://www.youtube.com/watch?v=YUwN9dI8MIc", "Video")</f>
        <v/>
      </c>
      <c r="B3324" t="inlineStr">
        <is>
          <t>43:03</t>
        </is>
      </c>
      <c r="C3324" t="inlineStr">
        <is>
          <t>is a bit tamed by
just how important it</t>
        </is>
      </c>
      <c r="D3324">
        <f>HYPERLINK("https://www.youtube.com/watch?v=YUwN9dI8MIc&amp;t=2583s", "Go to time")</f>
        <v/>
      </c>
    </row>
    <row r="3325">
      <c r="A3325">
        <f>HYPERLINK("https://www.youtube.com/watch?v=n_-S8paMO2I", "Video")</f>
        <v/>
      </c>
      <c r="B3325" t="inlineStr">
        <is>
          <t>6:40</t>
        </is>
      </c>
      <c r="C3325" t="inlineStr">
        <is>
          <t>JEMMA SBEG: Yeah, it was a
little bit lonely, actually,</t>
        </is>
      </c>
      <c r="D3325">
        <f>HYPERLINK("https://www.youtube.com/watch?v=n_-S8paMO2I&amp;t=400s", "Go to time")</f>
        <v/>
      </c>
    </row>
    <row r="3326">
      <c r="A3326">
        <f>HYPERLINK("https://www.youtube.com/watch?v=n_-S8paMO2I", "Video")</f>
        <v/>
      </c>
      <c r="B3326" t="inlineStr">
        <is>
          <t>8:37</t>
        </is>
      </c>
      <c r="C3326" t="inlineStr">
        <is>
          <t>intersected with my
personal life a little bit,</t>
        </is>
      </c>
      <c r="D3326">
        <f>HYPERLINK("https://www.youtube.com/watch?v=n_-S8paMO2I&amp;t=517s", "Go to time")</f>
        <v/>
      </c>
    </row>
    <row r="3327">
      <c r="A3327">
        <f>HYPERLINK("https://www.youtube.com/watch?v=n_-S8paMO2I", "Video")</f>
        <v/>
      </c>
      <c r="B3327" t="inlineStr">
        <is>
          <t>16:32</t>
        </is>
      </c>
      <c r="C3327" t="inlineStr">
        <is>
          <t>JEMMA SBEG: Oh my
goodness, a bit</t>
        </is>
      </c>
      <c r="D3327">
        <f>HYPERLINK("https://www.youtube.com/watch?v=n_-S8paMO2I&amp;t=992s", "Go to time")</f>
        <v/>
      </c>
    </row>
    <row r="3328">
      <c r="A3328">
        <f>HYPERLINK("https://www.youtube.com/watch?v=n_-S8paMO2I", "Video")</f>
        <v/>
      </c>
      <c r="B3328" t="inlineStr">
        <is>
          <t>17:28</t>
        </is>
      </c>
      <c r="C3328" t="inlineStr">
        <is>
          <t>And an example is right now
I'm in a bit of a crunch period</t>
        </is>
      </c>
      <c r="D3328">
        <f>HYPERLINK("https://www.youtube.com/watch?v=n_-S8paMO2I&amp;t=1048s", "Go to time")</f>
        <v/>
      </c>
    </row>
    <row r="3329">
      <c r="A3329">
        <f>HYPERLINK("https://www.youtube.com/watch?v=n_-S8paMO2I", "Video")</f>
        <v/>
      </c>
      <c r="B3329" t="inlineStr">
        <is>
          <t>19:22</t>
        </is>
      </c>
      <c r="C3329" t="inlineStr">
        <is>
          <t>I think also then I
went a little bit ham.</t>
        </is>
      </c>
      <c r="D3329">
        <f>HYPERLINK("https://www.youtube.com/watch?v=n_-S8paMO2I&amp;t=1162s", "Go to time")</f>
        <v/>
      </c>
    </row>
    <row r="3330">
      <c r="A3330">
        <f>HYPERLINK("https://www.youtube.com/watch?v=n_-S8paMO2I", "Video")</f>
        <v/>
      </c>
      <c r="B3330" t="inlineStr">
        <is>
          <t>19:25</t>
        </is>
      </c>
      <c r="C3330" t="inlineStr">
        <is>
          <t>I went a bit to the
extreme because something--</t>
        </is>
      </c>
      <c r="D3330">
        <f>HYPERLINK("https://www.youtube.com/watch?v=n_-S8paMO2I&amp;t=1165s", "Go to time")</f>
        <v/>
      </c>
    </row>
    <row r="3331">
      <c r="A3331">
        <f>HYPERLINK("https://www.youtube.com/watch?v=n_-S8paMO2I", "Video")</f>
        <v/>
      </c>
      <c r="B3331" t="inlineStr">
        <is>
          <t>26:56</t>
        </is>
      </c>
      <c r="C3331" t="inlineStr">
        <is>
          <t>JEMMA SBEG: I think it's
a bit more stressful.</t>
        </is>
      </c>
      <c r="D3331">
        <f>HYPERLINK("https://www.youtube.com/watch?v=n_-S8paMO2I&amp;t=1616s", "Go to time")</f>
        <v/>
      </c>
    </row>
    <row r="3332">
      <c r="A3332">
        <f>HYPERLINK("https://www.youtube.com/watch?v=n_-S8paMO2I", "Video")</f>
        <v/>
      </c>
      <c r="B3332" t="inlineStr">
        <is>
          <t>27:06</t>
        </is>
      </c>
      <c r="C3332" t="inlineStr">
        <is>
          <t>It's a bit stressful
because you don't</t>
        </is>
      </c>
      <c r="D3332">
        <f>HYPERLINK("https://www.youtube.com/watch?v=n_-S8paMO2I&amp;t=1626s", "Go to time")</f>
        <v/>
      </c>
    </row>
    <row r="3333">
      <c r="A3333">
        <f>HYPERLINK("https://www.youtube.com/watch?v=n_-S8paMO2I", "Video")</f>
        <v/>
      </c>
      <c r="B3333" t="inlineStr">
        <is>
          <t>28:55</t>
        </is>
      </c>
      <c r="C3333" t="inlineStr">
        <is>
          <t>So it's just like a bit
of a learning process.</t>
        </is>
      </c>
      <c r="D3333">
        <f>HYPERLINK("https://www.youtube.com/watch?v=n_-S8paMO2I&amp;t=1735s", "Go to time")</f>
        <v/>
      </c>
    </row>
    <row r="3334">
      <c r="A3334">
        <f>HYPERLINK("https://www.youtube.com/watch?v=n_-S8paMO2I", "Video")</f>
        <v/>
      </c>
      <c r="B3334" t="inlineStr">
        <is>
          <t>30:16</t>
        </is>
      </c>
      <c r="C3334" t="inlineStr">
        <is>
          <t>And so yeah, I think it
is a little bit difficult,</t>
        </is>
      </c>
      <c r="D3334">
        <f>HYPERLINK("https://www.youtube.com/watch?v=n_-S8paMO2I&amp;t=1816s", "Go to time")</f>
        <v/>
      </c>
    </row>
    <row r="3335">
      <c r="A3335">
        <f>HYPERLINK("https://www.youtube.com/watch?v=jbj4wwchkcE", "Video")</f>
        <v/>
      </c>
      <c r="B3335" t="inlineStr">
        <is>
          <t>2:09</t>
        </is>
      </c>
      <c r="C3335" t="inlineStr">
        <is>
          <t>I want to ask you about that
a little bit because I would</t>
        </is>
      </c>
      <c r="D3335">
        <f>HYPERLINK("https://www.youtube.com/watch?v=jbj4wwchkcE&amp;t=129s", "Go to time")</f>
        <v/>
      </c>
    </row>
    <row r="3336">
      <c r="A3336">
        <f>HYPERLINK("https://www.youtube.com/watch?v=jbj4wwchkcE", "Video")</f>
        <v/>
      </c>
      <c r="B3336" t="inlineStr">
        <is>
          <t>13:41</t>
        </is>
      </c>
      <c r="C3336" t="inlineStr">
        <is>
          <t>It's bit-sized,
video-based, gamified.</t>
        </is>
      </c>
      <c r="D3336">
        <f>HYPERLINK("https://www.youtube.com/watch?v=jbj4wwchkcE&amp;t=821s", "Go to time")</f>
        <v/>
      </c>
    </row>
    <row r="3337">
      <c r="A3337">
        <f>HYPERLINK("https://www.youtube.com/watch?v=jbj4wwchkcE", "Video")</f>
        <v/>
      </c>
      <c r="B3337" t="inlineStr">
        <is>
          <t>18:49</t>
        </is>
      </c>
      <c r="C3337" t="inlineStr">
        <is>
          <t>in 10-minute, 15-minute
bit-sized, consumable, video,</t>
        </is>
      </c>
      <c r="D3337">
        <f>HYPERLINK("https://www.youtube.com/watch?v=jbj4wwchkcE&amp;t=1129s", "Go to time")</f>
        <v/>
      </c>
    </row>
    <row r="3338">
      <c r="A3338">
        <f>HYPERLINK("https://www.youtube.com/watch?v=jbj4wwchkcE", "Video")</f>
        <v/>
      </c>
      <c r="B3338" t="inlineStr">
        <is>
          <t>19:43</t>
        </is>
      </c>
      <c r="C3338" t="inlineStr">
        <is>
          <t>I worry a little
bit about what it</t>
        </is>
      </c>
      <c r="D3338">
        <f>HYPERLINK("https://www.youtube.com/watch?v=jbj4wwchkcE&amp;t=1183s", "Go to time")</f>
        <v/>
      </c>
    </row>
    <row r="3339">
      <c r="A3339">
        <f>HYPERLINK("https://www.youtube.com/watch?v=jbj4wwchkcE", "Video")</f>
        <v/>
      </c>
      <c r="B3339" t="inlineStr">
        <is>
          <t>20:14</t>
        </is>
      </c>
      <c r="C3339" t="inlineStr">
        <is>
          <t>fight with each other a little
bit in a constructive way.</t>
        </is>
      </c>
      <c r="D3339">
        <f>HYPERLINK("https://www.youtube.com/watch?v=jbj4wwchkcE&amp;t=1214s", "Go to time")</f>
        <v/>
      </c>
    </row>
    <row r="3340">
      <c r="A3340">
        <f>HYPERLINK("https://www.youtube.com/watch?v=jbj4wwchkcE", "Video")</f>
        <v/>
      </c>
      <c r="B3340" t="inlineStr">
        <is>
          <t>20:17</t>
        </is>
      </c>
      <c r="C3340" t="inlineStr">
        <is>
          <t>I worry a little bit that
all of that joy of that</t>
        </is>
      </c>
      <c r="D3340">
        <f>HYPERLINK("https://www.youtube.com/watch?v=jbj4wwchkcE&amp;t=1217s", "Go to time")</f>
        <v/>
      </c>
    </row>
    <row r="3341">
      <c r="A3341">
        <f>HYPERLINK("https://www.youtube.com/watch?v=jbj4wwchkcE", "Video")</f>
        <v/>
      </c>
      <c r="B3341" t="inlineStr">
        <is>
          <t>20:35</t>
        </is>
      </c>
      <c r="C3341" t="inlineStr">
        <is>
          <t>All right, I want to
shift a little bit.</t>
        </is>
      </c>
      <c r="D3341">
        <f>HYPERLINK("https://www.youtube.com/watch?v=jbj4wwchkcE&amp;t=1235s", "Go to time")</f>
        <v/>
      </c>
    </row>
    <row r="3342">
      <c r="A3342">
        <f>HYPERLINK("https://www.youtube.com/watch?v=JrX7yT4gNWA", "Video")</f>
        <v/>
      </c>
      <c r="B3342" t="inlineStr">
        <is>
          <t>5:50</t>
        </is>
      </c>
      <c r="C3342" t="inlineStr">
        <is>
          <t>just a little bit off my plate.</t>
        </is>
      </c>
      <c r="D3342">
        <f>HYPERLINK("https://www.youtube.com/watch?v=JrX7yT4gNWA&amp;t=350s", "Go to time")</f>
        <v/>
      </c>
    </row>
    <row r="3343">
      <c r="A3343">
        <f>HYPERLINK("https://www.youtube.com/watch?v=JrX7yT4gNWA", "Video")</f>
        <v/>
      </c>
      <c r="B3343" t="inlineStr">
        <is>
          <t>7:22</t>
        </is>
      </c>
      <c r="C3343" t="inlineStr">
        <is>
          <t>a little bit more.</t>
        </is>
      </c>
      <c r="D3343">
        <f>HYPERLINK("https://www.youtube.com/watch?v=JrX7yT4gNWA&amp;t=442s", "Go to time")</f>
        <v/>
      </c>
    </row>
    <row r="3344">
      <c r="A3344">
        <f>HYPERLINK("https://www.youtube.com/watch?v=LKKkaqsd_iQ", "Video")</f>
        <v/>
      </c>
      <c r="B3344" t="inlineStr">
        <is>
          <t>14:33</t>
        </is>
      </c>
      <c r="C3344" t="inlineStr">
        <is>
          <t>So there is a little bit
of that openness going on.</t>
        </is>
      </c>
      <c r="D3344">
        <f>HYPERLINK("https://www.youtube.com/watch?v=LKKkaqsd_iQ&amp;t=873s", "Go to time")</f>
        <v/>
      </c>
    </row>
    <row r="3345">
      <c r="A3345">
        <f>HYPERLINK("https://www.youtube.com/watch?v=LKKkaqsd_iQ", "Video")</f>
        <v/>
      </c>
      <c r="B3345" t="inlineStr">
        <is>
          <t>16:52</t>
        </is>
      </c>
      <c r="C3345" t="inlineStr">
        <is>
          <t>Talk a little bit about what
he got right, particularly</t>
        </is>
      </c>
      <c r="D3345">
        <f>HYPERLINK("https://www.youtube.com/watch?v=LKKkaqsd_iQ&amp;t=1012s", "Go to time")</f>
        <v/>
      </c>
    </row>
    <row r="3346">
      <c r="A3346">
        <f>HYPERLINK("https://www.youtube.com/watch?v=LKKkaqsd_iQ", "Video")</f>
        <v/>
      </c>
      <c r="B3346" t="inlineStr">
        <is>
          <t>24:39</t>
        </is>
      </c>
      <c r="C3346" t="inlineStr">
        <is>
          <t>Now that we a bit about how
cultural evolution happens,</t>
        </is>
      </c>
      <c r="D3346">
        <f>HYPERLINK("https://www.youtube.com/watch?v=LKKkaqsd_iQ&amp;t=1479s", "Go to time")</f>
        <v/>
      </c>
    </row>
    <row r="3347">
      <c r="A3347">
        <f>HYPERLINK("https://www.youtube.com/watch?v=LKKkaqsd_iQ", "Video")</f>
        <v/>
      </c>
      <c r="B3347" t="inlineStr">
        <is>
          <t>30:52</t>
        </is>
      </c>
      <c r="C3347" t="inlineStr">
        <is>
          <t>you go without talking a
little bit about generative AI.</t>
        </is>
      </c>
      <c r="D3347">
        <f>HYPERLINK("https://www.youtube.com/watch?v=LKKkaqsd_iQ&amp;t=1852s", "Go to time")</f>
        <v/>
      </c>
    </row>
    <row r="3348">
      <c r="A3348">
        <f>HYPERLINK("https://www.youtube.com/watch?v=LKKkaqsd_iQ", "Video")</f>
        <v/>
      </c>
      <c r="B3348" t="inlineStr">
        <is>
          <t>31:54</t>
        </is>
      </c>
      <c r="C3348" t="inlineStr">
        <is>
          <t>We've run a little
bit long, so we're</t>
        </is>
      </c>
      <c r="D3348">
        <f>HYPERLINK("https://www.youtube.com/watch?v=LKKkaqsd_iQ&amp;t=1914s", "Go to time")</f>
        <v/>
      </c>
    </row>
    <row r="3349">
      <c r="A3349">
        <f>HYPERLINK("https://www.youtube.com/watch?v=OeV2fHEM4RI", "Video")</f>
        <v/>
      </c>
      <c r="B3349" t="inlineStr">
        <is>
          <t>1:09</t>
        </is>
      </c>
      <c r="C3349" t="inlineStr">
        <is>
          <t>instead of little bitty slide parts next</t>
        </is>
      </c>
      <c r="D3349">
        <f>HYPERLINK("https://www.youtube.com/watch?v=OeV2fHEM4RI&amp;t=69s", "Go to time")</f>
        <v/>
      </c>
    </row>
    <row r="3350">
      <c r="A3350">
        <f>HYPERLINK("https://www.youtube.com/watch?v=OeV2fHEM4RI", "Video")</f>
        <v/>
      </c>
      <c r="B3350" t="inlineStr">
        <is>
          <t>2:10</t>
        </is>
      </c>
      <c r="C3350" t="inlineStr">
        <is>
          <t>give them a handout with a little bit of</t>
        </is>
      </c>
      <c r="D3350">
        <f>HYPERLINK("https://www.youtube.com/watch?v=OeV2fHEM4RI&amp;t=130s", "Go to time")</f>
        <v/>
      </c>
    </row>
    <row r="3351">
      <c r="A3351">
        <f>HYPERLINK("https://www.youtube.com/watch?v=Cz3dV0TTSQc", "Video")</f>
        <v/>
      </c>
      <c r="B3351" t="inlineStr">
        <is>
          <t>0:47</t>
        </is>
      </c>
      <c r="C3351" t="inlineStr">
        <is>
          <t>going to bring him
in a little bit.</t>
        </is>
      </c>
      <c r="D3351">
        <f>HYPERLINK("https://www.youtube.com/watch?v=Cz3dV0TTSQc&amp;t=47s", "Go to time")</f>
        <v/>
      </c>
    </row>
    <row r="3352">
      <c r="A3352">
        <f>HYPERLINK("https://www.youtube.com/watch?v=Cz3dV0TTSQc", "Video")</f>
        <v/>
      </c>
      <c r="B3352" t="inlineStr">
        <is>
          <t>1:21</t>
        </is>
      </c>
      <c r="C3352" t="inlineStr">
        <is>
          <t>I'd love to talk a little
bit with Josh and Octavia</t>
        </is>
      </c>
      <c r="D3352">
        <f>HYPERLINK("https://www.youtube.com/watch?v=Cz3dV0TTSQc&amp;t=81s", "Go to time")</f>
        <v/>
      </c>
    </row>
    <row r="3353">
      <c r="A3353">
        <f>HYPERLINK("https://www.youtube.com/watch?v=Cz3dV0TTSQc", "Video")</f>
        <v/>
      </c>
      <c r="B3353" t="inlineStr">
        <is>
          <t>9:16</t>
        </is>
      </c>
      <c r="C3353" t="inlineStr">
        <is>
          <t>so what you were talking about
was a little bit like, OK.</t>
        </is>
      </c>
      <c r="D3353">
        <f>HYPERLINK("https://www.youtube.com/watch?v=Cz3dV0TTSQc&amp;t=556s", "Go to time")</f>
        <v/>
      </c>
    </row>
    <row r="3354">
      <c r="A3354">
        <f>HYPERLINK("https://www.youtube.com/watch?v=Cz3dV0TTSQc", "Video")</f>
        <v/>
      </c>
      <c r="B3354" t="inlineStr">
        <is>
          <t>9:50</t>
        </is>
      </c>
      <c r="C3354" t="inlineStr">
        <is>
          <t>you can give yourself a little
bit of distance from them.</t>
        </is>
      </c>
      <c r="D3354">
        <f>HYPERLINK("https://www.youtube.com/watch?v=Cz3dV0TTSQc&amp;t=590s", "Go to time")</f>
        <v/>
      </c>
    </row>
    <row r="3355">
      <c r="A3355">
        <f>HYPERLINK("https://www.youtube.com/watch?v=Cz3dV0TTSQc", "Video")</f>
        <v/>
      </c>
      <c r="B3355" t="inlineStr">
        <is>
          <t>11:33</t>
        </is>
      </c>
      <c r="C3355" t="inlineStr">
        <is>
          <t>So could you talk a
little bit about that?</t>
        </is>
      </c>
      <c r="D3355">
        <f>HYPERLINK("https://www.youtube.com/watch?v=Cz3dV0TTSQc&amp;t=693s", "Go to time")</f>
        <v/>
      </c>
    </row>
    <row r="3356">
      <c r="A3356">
        <f>HYPERLINK("https://www.youtube.com/watch?v=Cz3dV0TTSQc", "Video")</f>
        <v/>
      </c>
      <c r="B3356" t="inlineStr">
        <is>
          <t>11:48</t>
        </is>
      </c>
      <c r="C3356" t="inlineStr">
        <is>
          <t>So could you talk a
little bit about how</t>
        </is>
      </c>
      <c r="D3356">
        <f>HYPERLINK("https://www.youtube.com/watch?v=Cz3dV0TTSQc&amp;t=708s", "Go to time")</f>
        <v/>
      </c>
    </row>
    <row r="3357">
      <c r="A3357">
        <f>HYPERLINK("https://www.youtube.com/watch?v=Cz3dV0TTSQc", "Video")</f>
        <v/>
      </c>
      <c r="B3357" t="inlineStr">
        <is>
          <t>16:03</t>
        </is>
      </c>
      <c r="C3357" t="inlineStr">
        <is>
          <t>We have to be a little bit more
creative about how we put them</t>
        </is>
      </c>
      <c r="D3357">
        <f>HYPERLINK("https://www.youtube.com/watch?v=Cz3dV0TTSQc&amp;t=963s", "Go to time")</f>
        <v/>
      </c>
    </row>
    <row r="3358">
      <c r="A3358">
        <f>HYPERLINK("https://www.youtube.com/watch?v=Cz3dV0TTSQc", "Video")</f>
        <v/>
      </c>
      <c r="B3358" t="inlineStr">
        <is>
          <t>16:39</t>
        </is>
      </c>
      <c r="C3358" t="inlineStr">
        <is>
          <t>They're also-- we run into the
opposite problem quite a bit,</t>
        </is>
      </c>
      <c r="D3358">
        <f>HYPERLINK("https://www.youtube.com/watch?v=Cz3dV0TTSQc&amp;t=999s", "Go to time")</f>
        <v/>
      </c>
    </row>
    <row r="3359">
      <c r="A3359">
        <f>HYPERLINK("https://www.youtube.com/watch?v=Cz3dV0TTSQc", "Video")</f>
        <v/>
      </c>
      <c r="B3359" t="inlineStr">
        <is>
          <t>19:46</t>
        </is>
      </c>
      <c r="C3359" t="inlineStr">
        <is>
          <t>to do something a little
bit different, which</t>
        </is>
      </c>
      <c r="D3359">
        <f>HYPERLINK("https://www.youtube.com/watch?v=Cz3dV0TTSQc&amp;t=1186s", "Go to time")</f>
        <v/>
      </c>
    </row>
    <row r="3360">
      <c r="A3360">
        <f>HYPERLINK("https://www.youtube.com/watch?v=Cz3dV0TTSQc", "Video")</f>
        <v/>
      </c>
      <c r="B3360" t="inlineStr">
        <is>
          <t>20:03</t>
        </is>
      </c>
      <c r="C3360" t="inlineStr">
        <is>
          <t>quite a bit.</t>
        </is>
      </c>
      <c r="D3360">
        <f>HYPERLINK("https://www.youtube.com/watch?v=Cz3dV0TTSQc&amp;t=1203s", "Go to time")</f>
        <v/>
      </c>
    </row>
    <row r="3361">
      <c r="A3361">
        <f>HYPERLINK("https://www.youtube.com/watch?v=Cz3dV0TTSQc", "Video")</f>
        <v/>
      </c>
      <c r="B3361" t="inlineStr">
        <is>
          <t>20:57</t>
        </is>
      </c>
      <c r="C3361" t="inlineStr">
        <is>
          <t>but I wonder if we risk it also
becoming a bit demoralizing</t>
        </is>
      </c>
      <c r="D3361">
        <f>HYPERLINK("https://www.youtube.com/watch?v=Cz3dV0TTSQc&amp;t=1257s", "Go to time")</f>
        <v/>
      </c>
    </row>
    <row r="3362">
      <c r="A3362">
        <f>HYPERLINK("https://www.youtube.com/watch?v=Cz3dV0TTSQc", "Video")</f>
        <v/>
      </c>
      <c r="B3362" t="inlineStr">
        <is>
          <t>21:24</t>
        </is>
      </c>
      <c r="C3362" t="inlineStr">
        <is>
          <t>What you're trying to do is
give them a little bit more</t>
        </is>
      </c>
      <c r="D3362">
        <f>HYPERLINK("https://www.youtube.com/watch?v=Cz3dV0TTSQc&amp;t=1284s", "Go to time")</f>
        <v/>
      </c>
    </row>
    <row r="3363">
      <c r="A3363">
        <f>HYPERLINK("https://www.youtube.com/watch?v=Cz3dV0TTSQc", "Video")</f>
        <v/>
      </c>
      <c r="B3363" t="inlineStr">
        <is>
          <t>22:23</t>
        </is>
      </c>
      <c r="C3363" t="inlineStr">
        <is>
          <t>to take risks and be a little
bit vulnerable, knowing they're</t>
        </is>
      </c>
      <c r="D3363">
        <f>HYPERLINK("https://www.youtube.com/watch?v=Cz3dV0TTSQc&amp;t=1343s", "Go to time")</f>
        <v/>
      </c>
    </row>
    <row r="3364">
      <c r="A3364">
        <f>HYPERLINK("https://www.youtube.com/watch?v=Cz3dV0TTSQc", "Video")</f>
        <v/>
      </c>
      <c r="B3364" t="inlineStr">
        <is>
          <t>23:52</t>
        </is>
      </c>
      <c r="C3364" t="inlineStr">
        <is>
          <t>that gap a little bit, right?</t>
        </is>
      </c>
      <c r="D3364">
        <f>HYPERLINK("https://www.youtube.com/watch?v=Cz3dV0TTSQc&amp;t=1432s", "Go to time")</f>
        <v/>
      </c>
    </row>
    <row r="3365">
      <c r="A3365">
        <f>HYPERLINK("https://www.youtube.com/watch?v=Cz3dV0TTSQc", "Video")</f>
        <v/>
      </c>
      <c r="B3365" t="inlineStr">
        <is>
          <t>24:05</t>
        </is>
      </c>
      <c r="C3365" t="inlineStr">
        <is>
          <t>made employees a little bit
more comfortable saying,</t>
        </is>
      </c>
      <c r="D3365">
        <f>HYPERLINK("https://www.youtube.com/watch?v=Cz3dV0TTSQc&amp;t=1445s", "Go to time")</f>
        <v/>
      </c>
    </row>
    <row r="3366">
      <c r="A3366">
        <f>HYPERLINK("https://www.youtube.com/watch?v=Cz3dV0TTSQc", "Video")</f>
        <v/>
      </c>
      <c r="B3366" t="inlineStr">
        <is>
          <t>24:51</t>
        </is>
      </c>
      <c r="C3366" t="inlineStr">
        <is>
          <t>is setting ridiculously
ambitious goals that you never</t>
        </is>
      </c>
      <c r="D3366">
        <f>HYPERLINK("https://www.youtube.com/watch?v=Cz3dV0TTSQc&amp;t=1491s", "Go to time")</f>
        <v/>
      </c>
    </row>
    <row r="3367">
      <c r="A3367">
        <f>HYPERLINK("https://www.youtube.com/watch?v=Cz3dV0TTSQc", "Video")</f>
        <v/>
      </c>
      <c r="B3367" t="inlineStr">
        <is>
          <t>26:42</t>
        </is>
      </c>
      <c r="C3367" t="inlineStr">
        <is>
          <t>is still a bit uncomfortable
having their workers adopt work</t>
        </is>
      </c>
      <c r="D3367">
        <f>HYPERLINK("https://www.youtube.com/watch?v=Cz3dV0TTSQc&amp;t=1602s", "Go to time")</f>
        <v/>
      </c>
    </row>
    <row r="3368">
      <c r="A3368">
        <f>HYPERLINK("https://www.youtube.com/watch?v=Cz3dV0TTSQc", "Video")</f>
        <v/>
      </c>
      <c r="B3368" t="inlineStr">
        <is>
          <t>28:46</t>
        </is>
      </c>
      <c r="C3368" t="inlineStr">
        <is>
          <t>they actually tend to become
a little bit more motivated.</t>
        </is>
      </c>
      <c r="D3368">
        <f>HYPERLINK("https://www.youtube.com/watch?v=Cz3dV0TTSQc&amp;t=1726s", "Go to time")</f>
        <v/>
      </c>
    </row>
    <row r="3369">
      <c r="A3369">
        <f>HYPERLINK("https://www.youtube.com/watch?v=Cz3dV0TTSQc", "Video")</f>
        <v/>
      </c>
      <c r="B3369" t="inlineStr">
        <is>
          <t>36:07</t>
        </is>
      </c>
      <c r="C3369" t="inlineStr">
        <is>
          <t>I've tried to get a little bit
more thoughtful about what's</t>
        </is>
      </c>
      <c r="D3369">
        <f>HYPERLINK("https://www.youtube.com/watch?v=Cz3dV0TTSQc&amp;t=2167s", "Go to time")</f>
        <v/>
      </c>
    </row>
    <row r="3370">
      <c r="A3370">
        <f>HYPERLINK("https://www.youtube.com/watch?v=Cz3dV0TTSQc", "Video")</f>
        <v/>
      </c>
      <c r="B3370" t="inlineStr">
        <is>
          <t>36:13</t>
        </is>
      </c>
      <c r="C3370" t="inlineStr">
        <is>
          <t>a little bit like being in a
movie where you get typecast,</t>
        </is>
      </c>
      <c r="D3370">
        <f>HYPERLINK("https://www.youtube.com/watch?v=Cz3dV0TTSQc&amp;t=2173s", "Go to time")</f>
        <v/>
      </c>
    </row>
    <row r="3371">
      <c r="A3371">
        <f>HYPERLINK("https://www.youtube.com/watch?v=Cz3dV0TTSQc", "Video")</f>
        <v/>
      </c>
      <c r="B3371" t="inlineStr">
        <is>
          <t>37:50</t>
        </is>
      </c>
      <c r="C3371" t="inlineStr">
        <is>
          <t>a little bit more novel
and something where</t>
        </is>
      </c>
      <c r="D3371">
        <f>HYPERLINK("https://www.youtube.com/watch?v=Cz3dV0TTSQc&amp;t=2270s", "Go to time")</f>
        <v/>
      </c>
    </row>
    <row r="3372">
      <c r="A3372">
        <f>HYPERLINK("https://www.youtube.com/watch?v=Cz3dV0TTSQc", "Video")</f>
        <v/>
      </c>
      <c r="B3372" t="inlineStr">
        <is>
          <t>40:54</t>
        </is>
      </c>
      <c r="C3372" t="inlineStr">
        <is>
          <t>Just a little bit.</t>
        </is>
      </c>
      <c r="D3372">
        <f>HYPERLINK("https://www.youtube.com/watch?v=Cz3dV0TTSQc&amp;t=2454s", "Go to time")</f>
        <v/>
      </c>
    </row>
    <row r="3373">
      <c r="A3373">
        <f>HYPERLINK("https://www.youtube.com/watch?v=Cz3dV0TTSQc", "Video")</f>
        <v/>
      </c>
      <c r="B3373" t="inlineStr">
        <is>
          <t>43:25</t>
        </is>
      </c>
      <c r="C3373" t="inlineStr">
        <is>
          <t>a little bit about this
idea of asking questions</t>
        </is>
      </c>
      <c r="D3373">
        <f>HYPERLINK("https://www.youtube.com/watch?v=Cz3dV0TTSQc&amp;t=2605s", "Go to time")</f>
        <v/>
      </c>
    </row>
    <row r="3374">
      <c r="A3374">
        <f>HYPERLINK("https://www.youtube.com/watch?v=oq3FR3IyLR0", "Video")</f>
        <v/>
      </c>
      <c r="B3374" t="inlineStr">
        <is>
          <t>19:48</t>
        </is>
      </c>
      <c r="C3374" t="inlineStr">
        <is>
          <t>create new habits now that
we take out of this crisis?</t>
        </is>
      </c>
      <c r="D3374">
        <f>HYPERLINK("https://www.youtube.com/watch?v=oq3FR3IyLR0&amp;t=1188s", "Go to time")</f>
        <v/>
      </c>
    </row>
    <row r="3375">
      <c r="A3375">
        <f>HYPERLINK("https://www.youtube.com/watch?v=oq3FR3IyLR0", "Video")</f>
        <v/>
      </c>
      <c r="B3375" t="inlineStr">
        <is>
          <t>20:11</t>
        </is>
      </c>
      <c r="C3375" t="inlineStr">
        <is>
          <t>to build new habits.</t>
        </is>
      </c>
      <c r="D3375">
        <f>HYPERLINK("https://www.youtube.com/watch?v=oq3FR3IyLR0&amp;t=1211s", "Go to time")</f>
        <v/>
      </c>
    </row>
    <row r="3376">
      <c r="A3376">
        <f>HYPERLINK("https://www.youtube.com/watch?v=oq3FR3IyLR0", "Video")</f>
        <v/>
      </c>
      <c r="B3376" t="inlineStr">
        <is>
          <t>27:24</t>
        </is>
      </c>
      <c r="C3376" t="inlineStr">
        <is>
          <t>JOSHUA MACHT:
Yeah, a little bit.</t>
        </is>
      </c>
      <c r="D3376">
        <f>HYPERLINK("https://www.youtube.com/watch?v=oq3FR3IyLR0&amp;t=1644s", "Go to time")</f>
        <v/>
      </c>
    </row>
    <row r="3377">
      <c r="A3377">
        <f>HYPERLINK("https://www.youtube.com/watch?v=oq3FR3IyLR0", "Video")</f>
        <v/>
      </c>
      <c r="B3377" t="inlineStr">
        <is>
          <t>30:09</t>
        </is>
      </c>
      <c r="C3377" t="inlineStr">
        <is>
          <t>about building these
healthy habits,</t>
        </is>
      </c>
      <c r="D3377">
        <f>HYPERLINK("https://www.youtube.com/watch?v=oq3FR3IyLR0&amp;t=1809s", "Go to time")</f>
        <v/>
      </c>
    </row>
    <row r="3378">
      <c r="A3378">
        <f>HYPERLINK("https://www.youtube.com/watch?v=ym-SLh5Z6FE", "Video")</f>
        <v/>
      </c>
      <c r="B3378" t="inlineStr">
        <is>
          <t>9:36</t>
        </is>
      </c>
      <c r="C3378" t="inlineStr">
        <is>
          <t>little bit for for those of us who think</t>
        </is>
      </c>
      <c r="D3378">
        <f>HYPERLINK("https://www.youtube.com/watch?v=ym-SLh5Z6FE&amp;t=576s", "Go to time")</f>
        <v/>
      </c>
    </row>
    <row r="3379">
      <c r="A3379">
        <f>HYPERLINK("https://www.youtube.com/watch?v=ym-SLh5Z6FE", "Video")</f>
        <v/>
      </c>
      <c r="B3379" t="inlineStr">
        <is>
          <t>13:11</t>
        </is>
      </c>
      <c r="C3379" t="inlineStr">
        <is>
          <t>you feel a bit disconnected because the</t>
        </is>
      </c>
      <c r="D3379">
        <f>HYPERLINK("https://www.youtube.com/watch?v=ym-SLh5Z6FE&amp;t=791s", "Go to time")</f>
        <v/>
      </c>
    </row>
    <row r="3380">
      <c r="A3380">
        <f>HYPERLINK("https://www.youtube.com/watch?v=ym-SLh5Z6FE", "Video")</f>
        <v/>
      </c>
      <c r="B3380" t="inlineStr">
        <is>
          <t>19:59</t>
        </is>
      </c>
      <c r="C3380" t="inlineStr">
        <is>
          <t>little bit of technical skills in order</t>
        </is>
      </c>
      <c r="D3380">
        <f>HYPERLINK("https://www.youtube.com/watch?v=ym-SLh5Z6FE&amp;t=1199s", "Go to time")</f>
        <v/>
      </c>
    </row>
    <row r="3381">
      <c r="A3381">
        <f>HYPERLINK("https://www.youtube.com/watch?v=ym-SLh5Z6FE", "Video")</f>
        <v/>
      </c>
      <c r="B3381" t="inlineStr">
        <is>
          <t>29:39</t>
        </is>
      </c>
      <c r="C3381" t="inlineStr">
        <is>
          <t>a little bit about technology in the</t>
        </is>
      </c>
      <c r="D3381">
        <f>HYPERLINK("https://www.youtube.com/watch?v=ym-SLh5Z6FE&amp;t=1779s", "Go to time")</f>
        <v/>
      </c>
    </row>
    <row r="3382">
      <c r="A3382">
        <f>HYPERLINK("https://www.youtube.com/watch?v=kbxz5WYiLZQ", "Video")</f>
        <v/>
      </c>
      <c r="B3382" t="inlineStr">
        <is>
          <t>0:24</t>
        </is>
      </c>
      <c r="C3382" t="inlineStr">
        <is>
          <t>is like a little
bit of mentorship.</t>
        </is>
      </c>
      <c r="D3382">
        <f>HYPERLINK("https://www.youtube.com/watch?v=kbxz5WYiLZQ&amp;t=24s", "Go to time")</f>
        <v/>
      </c>
    </row>
    <row r="3383">
      <c r="A3383">
        <f>HYPERLINK("https://www.youtube.com/watch?v=kbxz5WYiLZQ", "Video")</f>
        <v/>
      </c>
      <c r="B3383" t="inlineStr">
        <is>
          <t>8:15</t>
        </is>
      </c>
      <c r="C3383" t="inlineStr">
        <is>
          <t>because my work has gotten a
bit more managerial in nature.</t>
        </is>
      </c>
      <c r="D3383">
        <f>HYPERLINK("https://www.youtube.com/watch?v=kbxz5WYiLZQ&amp;t=495s", "Go to time")</f>
        <v/>
      </c>
    </row>
    <row r="3384">
      <c r="A3384">
        <f>HYPERLINK("https://www.youtube.com/watch?v=kbxz5WYiLZQ", "Video")</f>
        <v/>
      </c>
      <c r="B3384" t="inlineStr">
        <is>
          <t>19:56</t>
        </is>
      </c>
      <c r="C3384" t="inlineStr">
        <is>
          <t>But I do think most people go
into retirement a little bit</t>
        </is>
      </c>
      <c r="D3384">
        <f>HYPERLINK("https://www.youtube.com/watch?v=kbxz5WYiLZQ&amp;t=1196s", "Go to time")</f>
        <v/>
      </c>
    </row>
    <row r="3385">
      <c r="A3385">
        <f>HYPERLINK("https://www.youtube.com/watch?v=kbxz5WYiLZQ", "Video")</f>
        <v/>
      </c>
      <c r="B3385" t="inlineStr">
        <is>
          <t>25:03</t>
        </is>
      </c>
      <c r="C3385" t="inlineStr">
        <is>
          <t>SARAH GREEN CARMICHAEL: I also
felt a little bit at the time</t>
        </is>
      </c>
      <c r="D3385">
        <f>HYPERLINK("https://www.youtube.com/watch?v=kbxz5WYiLZQ&amp;t=1503s", "Go to time")</f>
        <v/>
      </c>
    </row>
    <row r="3386">
      <c r="A3386">
        <f>HYPERLINK("https://www.youtube.com/watch?v=kbxz5WYiLZQ", "Video")</f>
        <v/>
      </c>
      <c r="B3386" t="inlineStr">
        <is>
          <t>27:40</t>
        </is>
      </c>
      <c r="C3386" t="inlineStr">
        <is>
          <t>bodies, particularly women's,
and their eating habits--</t>
        </is>
      </c>
      <c r="D3386">
        <f>HYPERLINK("https://www.youtube.com/watch?v=kbxz5WYiLZQ&amp;t=1660s", "Go to time")</f>
        <v/>
      </c>
    </row>
    <row r="3387">
      <c r="A3387">
        <f>HYPERLINK("https://www.youtube.com/watch?v=kbxz5WYiLZQ", "Video")</f>
        <v/>
      </c>
      <c r="B3387" t="inlineStr">
        <is>
          <t>27:57</t>
        </is>
      </c>
      <c r="C3387" t="inlineStr">
        <is>
          <t>that she was biased in
this way or exhibited</t>
        </is>
      </c>
      <c r="D3387">
        <f>HYPERLINK("https://www.youtube.com/watch?v=kbxz5WYiLZQ&amp;t=1677s", "Go to time")</f>
        <v/>
      </c>
    </row>
    <row r="3388">
      <c r="A3388">
        <f>HYPERLINK("https://www.youtube.com/watch?v=kbxz5WYiLZQ", "Video")</f>
        <v/>
      </c>
      <c r="B3388" t="inlineStr">
        <is>
          <t>29:37</t>
        </is>
      </c>
      <c r="C3388" t="inlineStr">
        <is>
          <t>what can I exhibit
in front of my child</t>
        </is>
      </c>
      <c r="D3388">
        <f>HYPERLINK("https://www.youtube.com/watch?v=kbxz5WYiLZQ&amp;t=1777s", "Go to time")</f>
        <v/>
      </c>
    </row>
    <row r="3389">
      <c r="A3389">
        <f>HYPERLINK("https://www.youtube.com/watch?v=QMu5xiEHlRs", "Video")</f>
        <v/>
      </c>
      <c r="B3389" t="inlineStr">
        <is>
          <t>1:06</t>
        </is>
      </c>
      <c r="C3389" t="inlineStr">
        <is>
          <t>world of bitcoin and cryptocurrencies</t>
        </is>
      </c>
      <c r="D3389">
        <f>HYPERLINK("https://www.youtube.com/watch?v=QMu5xiEHlRs&amp;t=66s", "Go to time")</f>
        <v/>
      </c>
    </row>
    <row r="3390">
      <c r="A3390">
        <f>HYPERLINK("https://www.youtube.com/watch?v=QMu5xiEHlRs", "Video")</f>
        <v/>
      </c>
      <c r="B3390" t="inlineStr">
        <is>
          <t>1:40</t>
        </is>
      </c>
      <c r="C3390" t="inlineStr">
        <is>
          <t>it's called bitcoin internet money some</t>
        </is>
      </c>
      <c r="D3390">
        <f>HYPERLINK("https://www.youtube.com/watch?v=QMu5xiEHlRs&amp;t=100s", "Go to time")</f>
        <v/>
      </c>
    </row>
    <row r="3391">
      <c r="A3391">
        <f>HYPERLINK("https://www.youtube.com/watch?v=QMu5xiEHlRs", "Video")</f>
        <v/>
      </c>
      <c r="B3391" t="inlineStr">
        <is>
          <t>7:41</t>
        </is>
      </c>
      <c r="C3391" t="inlineStr">
        <is>
          <t>little bit</t>
        </is>
      </c>
      <c r="D3391">
        <f>HYPERLINK("https://www.youtube.com/watch?v=QMu5xiEHlRs&amp;t=461s", "Go to time")</f>
        <v/>
      </c>
    </row>
    <row r="3392">
      <c r="A3392">
        <f>HYPERLINK("https://www.youtube.com/watch?v=QMu5xiEHlRs", "Video")</f>
        <v/>
      </c>
      <c r="B3392" t="inlineStr">
        <is>
          <t>15:51</t>
        </is>
      </c>
      <c r="C3392" t="inlineStr">
        <is>
          <t>it's handling transactions in bitcoin</t>
        </is>
      </c>
      <c r="D3392">
        <f>HYPERLINK("https://www.youtube.com/watch?v=QMu5xiEHlRs&amp;t=951s", "Go to time")</f>
        <v/>
      </c>
    </row>
    <row r="3393">
      <c r="A3393">
        <f>HYPERLINK("https://www.youtube.com/watch?v=QMu5xiEHlRs", "Video")</f>
        <v/>
      </c>
      <c r="B3393" t="inlineStr">
        <is>
          <t>17:49</t>
        </is>
      </c>
      <c r="C3393" t="inlineStr">
        <is>
          <t>or a debit card or cash might be to</t>
        </is>
      </c>
      <c r="D3393">
        <f>HYPERLINK("https://www.youtube.com/watch?v=QMu5xiEHlRs&amp;t=1069s", "Go to time")</f>
        <v/>
      </c>
    </row>
    <row r="3394">
      <c r="A3394">
        <f>HYPERLINK("https://www.youtube.com/watch?v=QMu5xiEHlRs", "Video")</f>
        <v/>
      </c>
      <c r="B3394" t="inlineStr">
        <is>
          <t>18:21</t>
        </is>
      </c>
      <c r="C3394" t="inlineStr">
        <is>
          <t>get a little bit more there</t>
        </is>
      </c>
      <c r="D3394">
        <f>HYPERLINK("https://www.youtube.com/watch?v=QMu5xiEHlRs&amp;t=1101s", "Go to time")</f>
        <v/>
      </c>
    </row>
    <row r="3395">
      <c r="A3395">
        <f>HYPERLINK("https://www.youtube.com/watch?v=QMu5xiEHlRs", "Video")</f>
        <v/>
      </c>
      <c r="B3395" t="inlineStr">
        <is>
          <t>29:45</t>
        </is>
      </c>
      <c r="C3395" t="inlineStr">
        <is>
          <t>the bitcoins disrupting cash is it</t>
        </is>
      </c>
      <c r="D3395">
        <f>HYPERLINK("https://www.youtube.com/watch?v=QMu5xiEHlRs&amp;t=1785s", "Go to time")</f>
        <v/>
      </c>
    </row>
    <row r="3396">
      <c r="A3396">
        <f>HYPERLINK("https://www.youtube.com/watch?v=QMu5xiEHlRs", "Video")</f>
        <v/>
      </c>
      <c r="B3396" t="inlineStr">
        <is>
          <t>30:14</t>
        </is>
      </c>
      <c r="C3396" t="inlineStr">
        <is>
          <t>uh slow um bitcoin</t>
        </is>
      </c>
      <c r="D3396">
        <f>HYPERLINK("https://www.youtube.com/watch?v=QMu5xiEHlRs&amp;t=1814s", "Go to time")</f>
        <v/>
      </c>
    </row>
    <row r="3397">
      <c r="A3397">
        <f>HYPERLINK("https://www.youtube.com/watch?v=QMu5xiEHlRs", "Video")</f>
        <v/>
      </c>
      <c r="B3397" t="inlineStr">
        <is>
          <t>32:17</t>
        </is>
      </c>
      <c r="C3397" t="inlineStr">
        <is>
          <t>policy to say that people are prohibited</t>
        </is>
      </c>
      <c r="D3397">
        <f>HYPERLINK("https://www.youtube.com/watch?v=QMu5xiEHlRs&amp;t=1937s", "Go to time")</f>
        <v/>
      </c>
    </row>
    <row r="3398">
      <c r="A3398">
        <f>HYPERLINK("https://www.youtube.com/watch?v=QMu5xiEHlRs", "Video")</f>
        <v/>
      </c>
      <c r="B3398" t="inlineStr">
        <is>
          <t>37:05</t>
        </is>
      </c>
      <c r="C3398" t="inlineStr">
        <is>
          <t>ambitions</t>
        </is>
      </c>
      <c r="D3398">
        <f>HYPERLINK("https://www.youtube.com/watch?v=QMu5xiEHlRs&amp;t=2225s", "Go to time")</f>
        <v/>
      </c>
    </row>
    <row r="3399">
      <c r="A3399">
        <f>HYPERLINK("https://www.youtube.com/watch?v=wjy_GCrZTnQ", "Video")</f>
        <v/>
      </c>
      <c r="B3399" t="inlineStr">
        <is>
          <t>11:46</t>
        </is>
      </c>
      <c r="C3399" t="inlineStr">
        <is>
          <t>know I'm chuckling a little bit but I'm</t>
        </is>
      </c>
      <c r="D3399">
        <f>HYPERLINK("https://www.youtube.com/watch?v=wjy_GCrZTnQ&amp;t=706s", "Go to time")</f>
        <v/>
      </c>
    </row>
    <row r="3400">
      <c r="A3400">
        <f>HYPERLINK("https://www.youtube.com/watch?v=wjy_GCrZTnQ", "Video")</f>
        <v/>
      </c>
      <c r="B3400" t="inlineStr">
        <is>
          <t>14:22</t>
        </is>
      </c>
      <c r="C3400" t="inlineStr">
        <is>
          <t>a little bit where you started off with</t>
        </is>
      </c>
      <c r="D3400">
        <f>HYPERLINK("https://www.youtube.com/watch?v=wjy_GCrZTnQ&amp;t=862s", "Go to time")</f>
        <v/>
      </c>
    </row>
    <row r="3401">
      <c r="A3401">
        <f>HYPERLINK("https://www.youtube.com/watch?v=wjy_GCrZTnQ", "Video")</f>
        <v/>
      </c>
      <c r="B3401" t="inlineStr">
        <is>
          <t>24:01</t>
        </is>
      </c>
      <c r="C3401" t="inlineStr">
        <is>
          <t>might work for a little bit Yeah and</t>
        </is>
      </c>
      <c r="D3401">
        <f>HYPERLINK("https://www.youtube.com/watch?v=wjy_GCrZTnQ&amp;t=1441s", "Go to time")</f>
        <v/>
      </c>
    </row>
    <row r="3402">
      <c r="A3402">
        <f>HYPERLINK("https://www.youtube.com/watch?v=wjy_GCrZTnQ", "Video")</f>
        <v/>
      </c>
      <c r="B3402" t="inlineStr">
        <is>
          <t>36:38</t>
        </is>
      </c>
      <c r="C3402" t="inlineStr">
        <is>
          <t>now that we've addressed a bit of how to</t>
        </is>
      </c>
      <c r="D3402">
        <f>HYPERLINK("https://www.youtube.com/watch?v=wjy_GCrZTnQ&amp;t=2198s", "Go to time")</f>
        <v/>
      </c>
    </row>
    <row r="3403">
      <c r="A3403">
        <f>HYPERLINK("https://www.youtube.com/watch?v=uXyF_ZGkzWA", "Video")</f>
        <v/>
      </c>
      <c r="B3403" t="inlineStr">
        <is>
          <t>5:37</t>
        </is>
      </c>
      <c r="C3403" t="inlineStr">
        <is>
          <t>they're a bit rough around the edges</t>
        </is>
      </c>
      <c r="D3403">
        <f>HYPERLINK("https://www.youtube.com/watch?v=uXyF_ZGkzWA&amp;t=337s", "Go to time")</f>
        <v/>
      </c>
    </row>
    <row r="3404">
      <c r="A3404">
        <f>HYPERLINK("https://www.youtube.com/watch?v=IXKcAwZKjTk", "Video")</f>
        <v/>
      </c>
      <c r="B3404" t="inlineStr">
        <is>
          <t>2:03</t>
        </is>
      </c>
      <c r="C3404" t="inlineStr">
        <is>
          <t>But I've always found
endorsement deals a bit lazy.</t>
        </is>
      </c>
      <c r="D3404">
        <f>HYPERLINK("https://www.youtube.com/watch?v=IXKcAwZKjTk&amp;t=123s", "Go to time")</f>
        <v/>
      </c>
    </row>
    <row r="3405">
      <c r="A3405">
        <f>HYPERLINK("https://www.youtube.com/watch?v=qRSrgLtok7I", "Video")</f>
        <v/>
      </c>
      <c r="B3405" t="inlineStr">
        <is>
          <t>0:07</t>
        </is>
      </c>
      <c r="C3405" t="inlineStr">
        <is>
          <t>a lot of our old habits are really not</t>
        </is>
      </c>
      <c r="D3405">
        <f>HYPERLINK("https://www.youtube.com/watch?v=qRSrgLtok7I&amp;t=7s", "Go to time")</f>
        <v/>
      </c>
    </row>
    <row r="3406">
      <c r="A3406">
        <f>HYPERLINK("https://www.youtube.com/watch?v=qRSrgLtok7I", "Video")</f>
        <v/>
      </c>
      <c r="B3406" t="inlineStr">
        <is>
          <t>0:43</t>
        </is>
      </c>
      <c r="C3406" t="inlineStr">
        <is>
          <t>and not a bit of both a bit of both is</t>
        </is>
      </c>
      <c r="D3406">
        <f>HYPERLINK("https://www.youtube.com/watch?v=qRSrgLtok7I&amp;t=43s", "Go to time")</f>
        <v/>
      </c>
    </row>
    <row r="3407">
      <c r="A3407">
        <f>HYPERLINK("https://www.youtube.com/watch?v=qRSrgLtok7I", "Video")</f>
        <v/>
      </c>
      <c r="B3407" t="inlineStr">
        <is>
          <t>3:29</t>
        </is>
      </c>
      <c r="C3407" t="inlineStr">
        <is>
          <t>shift a bit and not in a good direction</t>
        </is>
      </c>
      <c r="D3407">
        <f>HYPERLINK("https://www.youtube.com/watch?v=qRSrgLtok7I&amp;t=209s", "Go to time")</f>
        <v/>
      </c>
    </row>
    <row r="3408">
      <c r="A3408">
        <f>HYPERLINK("https://www.youtube.com/watch?v=qRSrgLtok7I", "Video")</f>
        <v/>
      </c>
      <c r="B3408" t="inlineStr">
        <is>
          <t>4:13</t>
        </is>
      </c>
      <c r="C3408" t="inlineStr">
        <is>
          <t>to pick up our in-person world habits</t>
        </is>
      </c>
      <c r="D3408">
        <f>HYPERLINK("https://www.youtube.com/watch?v=qRSrgLtok7I&amp;t=253s", "Go to time")</f>
        <v/>
      </c>
    </row>
    <row r="3409">
      <c r="A3409">
        <f>HYPERLINK("https://www.youtube.com/watch?v=oc6hDUZPXmQ", "Video")</f>
        <v/>
      </c>
      <c r="B3409" t="inlineStr">
        <is>
          <t>9:22</t>
        </is>
      </c>
      <c r="C3409" t="inlineStr">
        <is>
          <t>It's also like putting your
heart out there a little bit.</t>
        </is>
      </c>
      <c r="D3409">
        <f>HYPERLINK("https://www.youtube.com/watch?v=oc6hDUZPXmQ&amp;t=562s", "Go to time")</f>
        <v/>
      </c>
    </row>
    <row r="3410">
      <c r="A3410">
        <f>HYPERLINK("https://www.youtube.com/watch?v=oc6hDUZPXmQ", "Video")</f>
        <v/>
      </c>
      <c r="B3410" t="inlineStr">
        <is>
          <t>11:45</t>
        </is>
      </c>
      <c r="C3410" t="inlineStr">
        <is>
          <t>ELAINY MATA: Yeah, a little bit.</t>
        </is>
      </c>
      <c r="D3410">
        <f>HYPERLINK("https://www.youtube.com/watch?v=oc6hDUZPXmQ&amp;t=705s", "Go to time")</f>
        <v/>
      </c>
    </row>
    <row r="3411">
      <c r="A3411">
        <f>HYPERLINK("https://www.youtube.com/watch?v=oc6hDUZPXmQ", "Video")</f>
        <v/>
      </c>
      <c r="B3411" t="inlineStr">
        <is>
          <t>15:32</t>
        </is>
      </c>
      <c r="C3411" t="inlineStr">
        <is>
          <t>a possibility for a path to get
out of your shell a little bit.</t>
        </is>
      </c>
      <c r="D3411">
        <f>HYPERLINK("https://www.youtube.com/watch?v=oc6hDUZPXmQ&amp;t=932s", "Go to time")</f>
        <v/>
      </c>
    </row>
    <row r="3412">
      <c r="A3412">
        <f>HYPERLINK("https://www.youtube.com/watch?v=oc6hDUZPXmQ", "Video")</f>
        <v/>
      </c>
      <c r="B3412" t="inlineStr">
        <is>
          <t>20:25</t>
        </is>
      </c>
      <c r="C3412" t="inlineStr">
        <is>
          <t>And if somebody does something
a little bit different,</t>
        </is>
      </c>
      <c r="D3412">
        <f>HYPERLINK("https://www.youtube.com/watch?v=oc6hDUZPXmQ&amp;t=1225s", "Go to time")</f>
        <v/>
      </c>
    </row>
    <row r="3413">
      <c r="A3413">
        <f>HYPERLINK("https://www.youtube.com/watch?v=PckLnoA82HY", "Video")</f>
        <v/>
      </c>
      <c r="B3413" t="inlineStr">
        <is>
          <t>0:15</t>
        </is>
      </c>
      <c r="C3413" t="inlineStr">
        <is>
          <t>want to share with you a little bit</t>
        </is>
      </c>
      <c r="D3413">
        <f>HYPERLINK("https://www.youtube.com/watch?v=PckLnoA82HY&amp;t=15s", "Go to time")</f>
        <v/>
      </c>
    </row>
    <row r="3414">
      <c r="A3414">
        <f>HYPERLINK("https://www.youtube.com/watch?v=PckLnoA82HY", "Video")</f>
        <v/>
      </c>
      <c r="B3414" t="inlineStr">
        <is>
          <t>0:23</t>
        </is>
      </c>
      <c r="C3414" t="inlineStr">
        <is>
          <t>bit more prepared and and hopefully make</t>
        </is>
      </c>
      <c r="D3414">
        <f>HYPERLINK("https://www.youtube.com/watch?v=PckLnoA82HY&amp;t=23s", "Go to time")</f>
        <v/>
      </c>
    </row>
    <row r="3415">
      <c r="A3415">
        <f>HYPERLINK("https://www.youtube.com/watch?v=PckLnoA82HY", "Video")</f>
        <v/>
      </c>
      <c r="B3415" t="inlineStr">
        <is>
          <t>1:06</t>
        </is>
      </c>
      <c r="C3415" t="inlineStr">
        <is>
          <t>you're a little bit out of practice</t>
        </is>
      </c>
      <c r="D3415">
        <f>HYPERLINK("https://www.youtube.com/watch?v=PckLnoA82HY&amp;t=66s", "Go to time")</f>
        <v/>
      </c>
    </row>
    <row r="3416">
      <c r="A3416">
        <f>HYPERLINK("https://www.youtube.com/watch?v=PckLnoA82HY", "Video")</f>
        <v/>
      </c>
      <c r="B3416" t="inlineStr">
        <is>
          <t>1:57</t>
        </is>
      </c>
      <c r="C3416" t="inlineStr">
        <is>
          <t>a little bit out of practice</t>
        </is>
      </c>
      <c r="D3416">
        <f>HYPERLINK("https://www.youtube.com/watch?v=PckLnoA82HY&amp;t=117s", "Go to time")</f>
        <v/>
      </c>
    </row>
    <row r="3417">
      <c r="A3417">
        <f>HYPERLINK("https://www.youtube.com/watch?v=PckLnoA82HY", "Video")</f>
        <v/>
      </c>
      <c r="B3417" t="inlineStr">
        <is>
          <t>3:07</t>
        </is>
      </c>
      <c r="C3417" t="inlineStr">
        <is>
          <t>yourself so you have a little bit of</t>
        </is>
      </c>
      <c r="D3417">
        <f>HYPERLINK("https://www.youtube.com/watch?v=PckLnoA82HY&amp;t=187s", "Go to time")</f>
        <v/>
      </c>
    </row>
    <row r="3418">
      <c r="A3418">
        <f>HYPERLINK("https://www.youtube.com/watch?v=PckLnoA82HY", "Video")</f>
        <v/>
      </c>
      <c r="B3418" t="inlineStr">
        <is>
          <t>3:36</t>
        </is>
      </c>
      <c r="C3418" t="inlineStr">
        <is>
          <t>you'll get a little bit of a break</t>
        </is>
      </c>
      <c r="D3418">
        <f>HYPERLINK("https://www.youtube.com/watch?v=PckLnoA82HY&amp;t=216s", "Go to time")</f>
        <v/>
      </c>
    </row>
    <row r="3419">
      <c r="A3419">
        <f>HYPERLINK("https://www.youtube.com/watch?v=PckLnoA82HY", "Video")</f>
        <v/>
      </c>
      <c r="B3419" t="inlineStr">
        <is>
          <t>4:32</t>
        </is>
      </c>
      <c r="C3419" t="inlineStr">
        <is>
          <t>little bit and the more things we have</t>
        </is>
      </c>
      <c r="D3419">
        <f>HYPERLINK("https://www.youtube.com/watch?v=PckLnoA82HY&amp;t=272s", "Go to time")</f>
        <v/>
      </c>
    </row>
    <row r="3420">
      <c r="A3420">
        <f>HYPERLINK("https://www.youtube.com/watch?v=PckLnoA82HY", "Video")</f>
        <v/>
      </c>
      <c r="B3420" t="inlineStr">
        <is>
          <t>4:51</t>
        </is>
      </c>
      <c r="C3420" t="inlineStr">
        <is>
          <t>really a little bit overwhelming so can</t>
        </is>
      </c>
      <c r="D3420">
        <f>HYPERLINK("https://www.youtube.com/watch?v=PckLnoA82HY&amp;t=291s", "Go to time")</f>
        <v/>
      </c>
    </row>
    <row r="3421">
      <c r="A3421">
        <f>HYPERLINK("https://www.youtube.com/watch?v=UEeripEWGho", "Video")</f>
        <v/>
      </c>
      <c r="B3421" t="inlineStr">
        <is>
          <t>4:16</t>
        </is>
      </c>
      <c r="C3421" t="inlineStr">
        <is>
          <t>some of the most brilliant,
empowered, ambitious,</t>
        </is>
      </c>
      <c r="D3421">
        <f>HYPERLINK("https://www.youtube.com/watch?v=UEeripEWGho&amp;t=256s", "Go to time")</f>
        <v/>
      </c>
    </row>
    <row r="3422">
      <c r="A3422">
        <f>HYPERLINK("https://www.youtube.com/watch?v=6NiQKO1H4fU", "Video")</f>
        <v/>
      </c>
      <c r="B3422" t="inlineStr">
        <is>
          <t>1:55</t>
        </is>
      </c>
      <c r="C3422" t="inlineStr">
        <is>
          <t>a little bit in the couple.</t>
        </is>
      </c>
      <c r="D3422">
        <f>HYPERLINK("https://www.youtube.com/watch?v=6NiQKO1H4fU&amp;t=115s", "Go to time")</f>
        <v/>
      </c>
    </row>
    <row r="3423">
      <c r="A3423">
        <f>HYPERLINK("https://www.youtube.com/watch?v=6NiQKO1H4fU", "Video")</f>
        <v/>
      </c>
      <c r="B3423" t="inlineStr">
        <is>
          <t>1:56</t>
        </is>
      </c>
      <c r="C3423" t="inlineStr">
        <is>
          <t>So one becomes
the ambitious one,</t>
        </is>
      </c>
      <c r="D3423">
        <f>HYPERLINK("https://www.youtube.com/watch?v=6NiQKO1H4fU&amp;t=116s", "Go to time")</f>
        <v/>
      </c>
    </row>
    <row r="3424">
      <c r="A3424">
        <f>HYPERLINK("https://www.youtube.com/watch?v=8yPmAMt9IkQ", "Video")</f>
        <v/>
      </c>
      <c r="B3424" t="inlineStr">
        <is>
          <t>0:55</t>
        </is>
      </c>
      <c r="C3424" t="inlineStr">
        <is>
          <t>do that we want to talk a little bit</t>
        </is>
      </c>
      <c r="D3424">
        <f>HYPERLINK("https://www.youtube.com/watch?v=8yPmAMt9IkQ&amp;t=55s", "Go to time")</f>
        <v/>
      </c>
    </row>
    <row r="3425">
      <c r="A3425">
        <f>HYPERLINK("https://www.youtube.com/watch?v=8yPmAMt9IkQ", "Video")</f>
        <v/>
      </c>
      <c r="B3425" t="inlineStr">
        <is>
          <t>4:49</t>
        </is>
      </c>
      <c r="C3425" t="inlineStr">
        <is>
          <t>talking a little bit about the moonshot</t>
        </is>
      </c>
      <c r="D3425">
        <f>HYPERLINK("https://www.youtube.com/watch?v=8yPmAMt9IkQ&amp;t=289s", "Go to time")</f>
        <v/>
      </c>
    </row>
    <row r="3426">
      <c r="A3426">
        <f>HYPERLINK("https://www.youtube.com/watch?v=8yPmAMt9IkQ", "Video")</f>
        <v/>
      </c>
      <c r="B3426" t="inlineStr">
        <is>
          <t>5:08</t>
        </is>
      </c>
      <c r="C3426" t="inlineStr">
        <is>
          <t>little bit about how you can put out</t>
        </is>
      </c>
      <c r="D3426">
        <f>HYPERLINK("https://www.youtube.com/watch?v=8yPmAMt9IkQ&amp;t=308s", "Go to time")</f>
        <v/>
      </c>
    </row>
    <row r="3427">
      <c r="A3427">
        <f>HYPERLINK("https://www.youtube.com/watch?v=8yPmAMt9IkQ", "Video")</f>
        <v/>
      </c>
      <c r="B3427" t="inlineStr">
        <is>
          <t>5:10</t>
        </is>
      </c>
      <c r="C3427" t="inlineStr">
        <is>
          <t>such a bold ambitious idea to shoot for</t>
        </is>
      </c>
      <c r="D3427">
        <f>HYPERLINK("https://www.youtube.com/watch?v=8yPmAMt9IkQ&amp;t=310s", "Go to time")</f>
        <v/>
      </c>
    </row>
    <row r="3428">
      <c r="A3428">
        <f>HYPERLINK("https://www.youtube.com/watch?v=8yPmAMt9IkQ", "Video")</f>
        <v/>
      </c>
      <c r="B3428" t="inlineStr">
        <is>
          <t>7:29</t>
        </is>
      </c>
      <c r="C3428" t="inlineStr">
        <is>
          <t>a little bit about the safety issues</t>
        </is>
      </c>
      <c r="D3428">
        <f>HYPERLINK("https://www.youtube.com/watch?v=8yPmAMt9IkQ&amp;t=449s", "Go to time")</f>
        <v/>
      </c>
    </row>
    <row r="3429">
      <c r="A3429">
        <f>HYPERLINK("https://www.youtube.com/watch?v=8yPmAMt9IkQ", "Video")</f>
        <v/>
      </c>
      <c r="B3429" t="inlineStr">
        <is>
          <t>16:29</t>
        </is>
      </c>
      <c r="C3429" t="inlineStr">
        <is>
          <t>a little bit about manufacturing and it</t>
        </is>
      </c>
      <c r="D3429">
        <f>HYPERLINK("https://www.youtube.com/watch?v=8yPmAMt9IkQ&amp;t=989s", "Go to time")</f>
        <v/>
      </c>
    </row>
    <row r="3430">
      <c r="A3430">
        <f>HYPERLINK("https://www.youtube.com/watch?v=8yPmAMt9IkQ", "Video")</f>
        <v/>
      </c>
      <c r="B3430" t="inlineStr">
        <is>
          <t>27:12</t>
        </is>
      </c>
      <c r="C3430" t="inlineStr">
        <is>
          <t>bit ahead of of the other ones but you</t>
        </is>
      </c>
      <c r="D3430">
        <f>HYPERLINK("https://www.youtube.com/watch?v=8yPmAMt9IkQ&amp;t=1632s", "Go to time")</f>
        <v/>
      </c>
    </row>
    <row r="3431">
      <c r="A3431">
        <f>HYPERLINK("https://www.youtube.com/watch?v=8yPmAMt9IkQ", "Video")</f>
        <v/>
      </c>
      <c r="B3431" t="inlineStr">
        <is>
          <t>37:43</t>
        </is>
      </c>
      <c r="C3431" t="inlineStr">
        <is>
          <t>be talking a little bit about the global</t>
        </is>
      </c>
      <c r="D3431">
        <f>HYPERLINK("https://www.youtube.com/watch?v=8yPmAMt9IkQ&amp;t=2263s", "Go to time")</f>
        <v/>
      </c>
    </row>
    <row r="3432">
      <c r="A3432">
        <f>HYPERLINK("https://www.youtube.com/watch?v=5Ynh570Mtbo", "Video")</f>
        <v/>
      </c>
      <c r="B3432" t="inlineStr">
        <is>
          <t>3:52</t>
        </is>
      </c>
      <c r="C3432" t="inlineStr">
        <is>
          <t>HR president was there, and then
our CEO came in a little bit</t>
        </is>
      </c>
      <c r="D3432">
        <f>HYPERLINK("https://www.youtube.com/watch?v=5Ynh570Mtbo&amp;t=232s", "Go to time")</f>
        <v/>
      </c>
    </row>
    <row r="3433">
      <c r="A3433">
        <f>HYPERLINK("https://www.youtube.com/watch?v=5Ynh570Mtbo", "Video")</f>
        <v/>
      </c>
      <c r="B3433" t="inlineStr">
        <is>
          <t>6:17</t>
        </is>
      </c>
      <c r="C3433" t="inlineStr">
        <is>
          <t>just shaking a bit.</t>
        </is>
      </c>
      <c r="D3433">
        <f>HYPERLINK("https://www.youtube.com/watch?v=5Ynh570Mtbo&amp;t=377s", "Go to time")</f>
        <v/>
      </c>
    </row>
    <row r="3434">
      <c r="A3434">
        <f>HYPERLINK("https://www.youtube.com/watch?v=5Ynh570Mtbo", "Video")</f>
        <v/>
      </c>
      <c r="B3434" t="inlineStr">
        <is>
          <t>7:26</t>
        </is>
      </c>
      <c r="C3434" t="inlineStr">
        <is>
          <t>It was a little
bit more sensitive.</t>
        </is>
      </c>
      <c r="D3434">
        <f>HYPERLINK("https://www.youtube.com/watch?v=5Ynh570Mtbo&amp;t=446s", "Go to time")</f>
        <v/>
      </c>
    </row>
    <row r="3435">
      <c r="A3435">
        <f>HYPERLINK("https://www.youtube.com/watch?v=5Ynh570Mtbo", "Video")</f>
        <v/>
      </c>
      <c r="B3435" t="inlineStr">
        <is>
          <t>8:32</t>
        </is>
      </c>
      <c r="C3435" t="inlineStr">
        <is>
          <t>and kind of alone also that
makes a little bit of sense.</t>
        </is>
      </c>
      <c r="D3435">
        <f>HYPERLINK("https://www.youtube.com/watch?v=5Ynh570Mtbo&amp;t=512s", "Go to time")</f>
        <v/>
      </c>
    </row>
    <row r="3436">
      <c r="A3436">
        <f>HYPERLINK("https://www.youtube.com/watch?v=5Ynh570Mtbo", "Video")</f>
        <v/>
      </c>
      <c r="B3436" t="inlineStr">
        <is>
          <t>8:58</t>
        </is>
      </c>
      <c r="C3436" t="inlineStr">
        <is>
          <t>had like a little bit of money
coming in somewhere else.</t>
        </is>
      </c>
      <c r="D3436">
        <f>HYPERLINK("https://www.youtube.com/watch?v=5Ynh570Mtbo&amp;t=538s", "Go to time")</f>
        <v/>
      </c>
    </row>
    <row r="3437">
      <c r="A3437">
        <f>HYPERLINK("https://www.youtube.com/watch?v=5Ynh570Mtbo", "Video")</f>
        <v/>
      </c>
      <c r="B3437" t="inlineStr">
        <is>
          <t>9:15</t>
        </is>
      </c>
      <c r="C3437" t="inlineStr">
        <is>
          <t>And I realized that I was like
selling my soul a little bit</t>
        </is>
      </c>
      <c r="D3437">
        <f>HYPERLINK("https://www.youtube.com/watch?v=5Ynh570Mtbo&amp;t=555s", "Go to time")</f>
        <v/>
      </c>
    </row>
    <row r="3438">
      <c r="A3438">
        <f>HYPERLINK("https://www.youtube.com/watch?v=5Ynh570Mtbo", "Video")</f>
        <v/>
      </c>
      <c r="B3438" t="inlineStr">
        <is>
          <t>16:16</t>
        </is>
      </c>
      <c r="C3438" t="inlineStr">
        <is>
          <t>you do get a little bit more
attention, and a little bit</t>
        </is>
      </c>
      <c r="D3438">
        <f>HYPERLINK("https://www.youtube.com/watch?v=5Ynh570Mtbo&amp;t=976s", "Go to time")</f>
        <v/>
      </c>
    </row>
    <row r="3439">
      <c r="A3439">
        <f>HYPERLINK("https://www.youtube.com/watch?v=5Ynh570Mtbo", "Video")</f>
        <v/>
      </c>
      <c r="B3439" t="inlineStr">
        <is>
          <t>18:30</t>
        </is>
      </c>
      <c r="C3439" t="inlineStr">
        <is>
          <t>But I know that it's a little
bit harder for other people</t>
        </is>
      </c>
      <c r="D3439">
        <f>HYPERLINK("https://www.youtube.com/watch?v=5Ynh570Mtbo&amp;t=1110s", "Go to time")</f>
        <v/>
      </c>
    </row>
    <row r="3440">
      <c r="A3440">
        <f>HYPERLINK("https://www.youtube.com/watch?v=J_Md3VOjwhA", "Video")</f>
        <v/>
      </c>
      <c r="B3440" t="inlineStr">
        <is>
          <t>1:53</t>
        </is>
      </c>
      <c r="C3440" t="inlineStr">
        <is>
          <t>bit more colorful so you'll see behind</t>
        </is>
      </c>
      <c r="D3440">
        <f>HYPERLINK("https://www.youtube.com/watch?v=J_Md3VOjwhA&amp;t=113s", "Go to time")</f>
        <v/>
      </c>
    </row>
    <row r="3441">
      <c r="A3441">
        <f>HYPERLINK("https://www.youtube.com/watch?v=J_Md3VOjwhA", "Video")</f>
        <v/>
      </c>
      <c r="B3441" t="inlineStr">
        <is>
          <t>3:18</t>
        </is>
      </c>
      <c r="C3441" t="inlineStr">
        <is>
          <t>little bit of color</t>
        </is>
      </c>
      <c r="D3441">
        <f>HYPERLINK("https://www.youtube.com/watch?v=J_Md3VOjwhA&amp;t=198s", "Go to time")</f>
        <v/>
      </c>
    </row>
    <row r="3442">
      <c r="A3442">
        <f>HYPERLINK("https://www.youtube.com/watch?v=J_Md3VOjwhA", "Video")</f>
        <v/>
      </c>
      <c r="B3442" t="inlineStr">
        <is>
          <t>6:17</t>
        </is>
      </c>
      <c r="C3442" t="inlineStr">
        <is>
          <t>little bit more natural and and kind of</t>
        </is>
      </c>
      <c r="D3442">
        <f>HYPERLINK("https://www.youtube.com/watch?v=J_Md3VOjwhA&amp;t=377s", "Go to time")</f>
        <v/>
      </c>
    </row>
    <row r="3443">
      <c r="A3443">
        <f>HYPERLINK("https://www.youtube.com/watch?v=qFhaQDikLWE", "Video")</f>
        <v/>
      </c>
      <c r="B3443" t="inlineStr">
        <is>
          <t>4:23</t>
        </is>
      </c>
      <c r="C3443" t="inlineStr">
        <is>
          <t>It's interesting that
they are bitter rivals.</t>
        </is>
      </c>
      <c r="D3443">
        <f>HYPERLINK("https://www.youtube.com/watch?v=qFhaQDikLWE&amp;t=263s", "Go to time")</f>
        <v/>
      </c>
    </row>
    <row r="3444">
      <c r="A3444">
        <f>HYPERLINK("https://www.youtube.com/watch?v=HikFC0R-9GA", "Video")</f>
        <v/>
      </c>
      <c r="B3444" t="inlineStr">
        <is>
          <t>5:00</t>
        </is>
      </c>
      <c r="C3444" t="inlineStr">
        <is>
          <t>with a bit of seriousness.</t>
        </is>
      </c>
      <c r="D3444">
        <f>HYPERLINK("https://www.youtube.com/watch?v=HikFC0R-9GA&amp;t=300s", "Go to time")</f>
        <v/>
      </c>
    </row>
    <row r="3445">
      <c r="A3445">
        <f>HYPERLINK("https://www.youtube.com/watch?v=HikFC0R-9GA", "Video")</f>
        <v/>
      </c>
      <c r="B3445" t="inlineStr">
        <is>
          <t>6:05</t>
        </is>
      </c>
      <c r="C3445" t="inlineStr">
        <is>
          <t>You wait a little bit.</t>
        </is>
      </c>
      <c r="D3445">
        <f>HYPERLINK("https://www.youtube.com/watch?v=HikFC0R-9GA&amp;t=365s", "Go to time")</f>
        <v/>
      </c>
    </row>
    <row r="3446">
      <c r="A3446">
        <f>HYPERLINK("https://www.youtube.com/watch?v=HikFC0R-9GA", "Video")</f>
        <v/>
      </c>
      <c r="B3446" t="inlineStr">
        <is>
          <t>11:25</t>
        </is>
      </c>
      <c r="C3446" t="inlineStr">
        <is>
          <t>didn't have a bit of structure.</t>
        </is>
      </c>
      <c r="D3446">
        <f>HYPERLINK("https://www.youtube.com/watch?v=HikFC0R-9GA&amp;t=685s", "Go to time")</f>
        <v/>
      </c>
    </row>
    <row r="3447">
      <c r="A3447">
        <f>HYPERLINK("https://www.youtube.com/watch?v=6Y-LzLCv_tE", "Video")</f>
        <v/>
      </c>
      <c r="B3447" t="inlineStr">
        <is>
          <t>4:01</t>
        </is>
      </c>
      <c r="C3447" t="inlineStr">
        <is>
          <t>structurally, the
system is a little bit</t>
        </is>
      </c>
      <c r="D3447">
        <f>HYPERLINK("https://www.youtube.com/watch?v=6Y-LzLCv_tE&amp;t=241s", "Go to time")</f>
        <v/>
      </c>
    </row>
    <row r="3448">
      <c r="A3448">
        <f>HYPERLINK("https://www.youtube.com/watch?v=6Y-LzLCv_tE", "Video")</f>
        <v/>
      </c>
      <c r="B3448" t="inlineStr">
        <is>
          <t>17:19</t>
        </is>
      </c>
      <c r="C3448" t="inlineStr">
        <is>
          <t>And I'd love to hear a little
bit about how you've made it</t>
        </is>
      </c>
      <c r="D3448">
        <f>HYPERLINK("https://www.youtube.com/watch?v=6Y-LzLCv_tE&amp;t=1039s", "Go to time")</f>
        <v/>
      </c>
    </row>
    <row r="3449">
      <c r="A3449">
        <f>HYPERLINK("https://www.youtube.com/watch?v=6Y-LzLCv_tE", "Video")</f>
        <v/>
      </c>
      <c r="B3449" t="inlineStr">
        <is>
          <t>28:33</t>
        </is>
      </c>
      <c r="C3449" t="inlineStr">
        <is>
          <t>each other a little
bit better, especially</t>
        </is>
      </c>
      <c r="D3449">
        <f>HYPERLINK("https://www.youtube.com/watch?v=6Y-LzLCv_tE&amp;t=1713s", "Go to time")</f>
        <v/>
      </c>
    </row>
    <row r="3450">
      <c r="A3450">
        <f>HYPERLINK("https://www.youtube.com/watch?v=58Lgm5i1pRE", "Video")</f>
        <v/>
      </c>
      <c r="B3450" t="inlineStr">
        <is>
          <t>8:11</t>
        </is>
      </c>
      <c r="C3450" t="inlineStr">
        <is>
          <t>you know quote dream with ambition and</t>
        </is>
      </c>
      <c r="D3450">
        <f>HYPERLINK("https://www.youtube.com/watch?v=58Lgm5i1pRE&amp;t=491s", "Go to time")</f>
        <v/>
      </c>
    </row>
    <row r="3451">
      <c r="A3451">
        <f>HYPERLINK("https://www.youtube.com/watch?v=58Lgm5i1pRE", "Video")</f>
        <v/>
      </c>
      <c r="B3451" t="inlineStr">
        <is>
          <t>8:29</t>
        </is>
      </c>
      <c r="C3451" t="inlineStr">
        <is>
          <t>dream with ambition</t>
        </is>
      </c>
      <c r="D3451">
        <f>HYPERLINK("https://www.youtube.com/watch?v=58Lgm5i1pRE&amp;t=509s", "Go to time")</f>
        <v/>
      </c>
    </row>
    <row r="3452">
      <c r="A3452">
        <f>HYPERLINK("https://www.youtube.com/watch?v=58Lgm5i1pRE", "Video")</f>
        <v/>
      </c>
      <c r="B3452" t="inlineStr">
        <is>
          <t>10:42</t>
        </is>
      </c>
      <c r="C3452" t="inlineStr">
        <is>
          <t>of the successful to inhale a little bit</t>
        </is>
      </c>
      <c r="D3452">
        <f>HYPERLINK("https://www.youtube.com/watch?v=58Lgm5i1pRE&amp;t=642s", "Go to time")</f>
        <v/>
      </c>
    </row>
    <row r="3453">
      <c r="A3453">
        <f>HYPERLINK("https://www.youtube.com/watch?v=58Lgm5i1pRE", "Video")</f>
        <v/>
      </c>
      <c r="B3453" t="inlineStr">
        <is>
          <t>13:27</t>
        </is>
      </c>
      <c r="C3453" t="inlineStr">
        <is>
          <t>we're reaping the bitter fruit of that</t>
        </is>
      </c>
      <c r="D3453">
        <f>HYPERLINK("https://www.youtube.com/watch?v=58Lgm5i1pRE&amp;t=807s", "Go to time")</f>
        <v/>
      </c>
    </row>
    <row r="3454">
      <c r="A3454">
        <f>HYPERLINK("https://www.youtube.com/watch?v=58Lgm5i1pRE", "Video")</f>
        <v/>
      </c>
      <c r="B3454" t="inlineStr">
        <is>
          <t>27:45</t>
        </is>
      </c>
      <c r="C3454" t="inlineStr">
        <is>
          <t>michael i do want to talk a bit more</t>
        </is>
      </c>
      <c r="D3454">
        <f>HYPERLINK("https://www.youtube.com/watch?v=58Lgm5i1pRE&amp;t=1665s", "Go to time")</f>
        <v/>
      </c>
    </row>
    <row r="3455">
      <c r="A3455">
        <f>HYPERLINK("https://www.youtube.com/watch?v=58Lgm5i1pRE", "Video")</f>
        <v/>
      </c>
      <c r="B3455" t="inlineStr">
        <is>
          <t>37:42</t>
        </is>
      </c>
      <c r="C3455" t="inlineStr">
        <is>
          <t>little bit to do with its</t>
        </is>
      </c>
      <c r="D3455">
        <f>HYPERLINK("https://www.youtube.com/watch?v=58Lgm5i1pRE&amp;t=2262s", "Go to time")</f>
        <v/>
      </c>
    </row>
    <row r="3456">
      <c r="A3456">
        <f>HYPERLINK("https://www.youtube.com/watch?v=58Lgm5i1pRE", "Video")</f>
        <v/>
      </c>
      <c r="B3456" t="inlineStr">
        <is>
          <t>40:00</t>
        </is>
      </c>
      <c r="C3456" t="inlineStr">
        <is>
          <t>inspiration for a ubi i'm a little bit</t>
        </is>
      </c>
      <c r="D3456">
        <f>HYPERLINK("https://www.youtube.com/watch?v=58Lgm5i1pRE&amp;t=2400s", "Go to time")</f>
        <v/>
      </c>
    </row>
    <row r="3457">
      <c r="A3457">
        <f>HYPERLINK("https://www.youtube.com/watch?v=58Lgm5i1pRE", "Video")</f>
        <v/>
      </c>
      <c r="B3457" t="inlineStr">
        <is>
          <t>51:04</t>
        </is>
      </c>
      <c r="C3457" t="inlineStr">
        <is>
          <t>bit</t>
        </is>
      </c>
      <c r="D3457">
        <f>HYPERLINK("https://www.youtube.com/watch?v=58Lgm5i1pRE&amp;t=3064s", "Go to time")</f>
        <v/>
      </c>
    </row>
    <row r="3458">
      <c r="A3458">
        <f>HYPERLINK("https://www.youtube.com/watch?v=oogtaawdbuM", "Video")</f>
        <v/>
      </c>
      <c r="B3458" t="inlineStr">
        <is>
          <t>2:09</t>
        </is>
      </c>
      <c r="C3458" t="inlineStr">
        <is>
          <t>let me give you a
little bit of context</t>
        </is>
      </c>
      <c r="D3458">
        <f>HYPERLINK("https://www.youtube.com/watch?v=oogtaawdbuM&amp;t=129s", "Go to time")</f>
        <v/>
      </c>
    </row>
    <row r="3459">
      <c r="A3459">
        <f>HYPERLINK("https://www.youtube.com/watch?v=oogtaawdbuM", "Video")</f>
        <v/>
      </c>
      <c r="B3459" t="inlineStr">
        <is>
          <t>2:15</t>
        </is>
      </c>
      <c r="C3459" t="inlineStr">
        <is>
          <t>Because in a way, it's a bit
of a-- it sort of mirrors</t>
        </is>
      </c>
      <c r="D3459">
        <f>HYPERLINK("https://www.youtube.com/watch?v=oogtaawdbuM&amp;t=135s", "Go to time")</f>
        <v/>
      </c>
    </row>
    <row r="3460">
      <c r="A3460">
        <f>HYPERLINK("https://www.youtube.com/watch?v=oogtaawdbuM", "Video")</f>
        <v/>
      </c>
      <c r="B3460" t="inlineStr">
        <is>
          <t>3:33</t>
        </is>
      </c>
      <c r="C3460" t="inlineStr">
        <is>
          <t>I mentioned a little
bit about your course,</t>
        </is>
      </c>
      <c r="D3460">
        <f>HYPERLINK("https://www.youtube.com/watch?v=oogtaawdbuM&amp;t=213s", "Go to time")</f>
        <v/>
      </c>
    </row>
    <row r="3461">
      <c r="A3461">
        <f>HYPERLINK("https://www.youtube.com/watch?v=oogtaawdbuM", "Video")</f>
        <v/>
      </c>
      <c r="B3461" t="inlineStr">
        <is>
          <t>5:31</t>
        </is>
      </c>
      <c r="C3461" t="inlineStr">
        <is>
          <t>Can you tell us a little bit
about your background, I think,</t>
        </is>
      </c>
      <c r="D3461">
        <f>HYPERLINK("https://www.youtube.com/watch?v=oogtaawdbuM&amp;t=331s", "Go to time")</f>
        <v/>
      </c>
    </row>
    <row r="3462">
      <c r="A3462">
        <f>HYPERLINK("https://www.youtube.com/watch?v=oogtaawdbuM", "Video")</f>
        <v/>
      </c>
      <c r="B3462" t="inlineStr">
        <is>
          <t>9:54</t>
        </is>
      </c>
      <c r="C3462" t="inlineStr">
        <is>
          <t>a little bit why something
didn't go the way they wanted</t>
        </is>
      </c>
      <c r="D3462">
        <f>HYPERLINK("https://www.youtube.com/watch?v=oogtaawdbuM&amp;t=594s", "Go to time")</f>
        <v/>
      </c>
    </row>
    <row r="3463">
      <c r="A3463">
        <f>HYPERLINK("https://www.youtube.com/watch?v=oogtaawdbuM", "Video")</f>
        <v/>
      </c>
      <c r="B3463" t="inlineStr">
        <is>
          <t>15:29</t>
        </is>
      </c>
      <c r="C3463" t="inlineStr">
        <is>
          <t>think like the Fitbit
for conversations.</t>
        </is>
      </c>
      <c r="D3463">
        <f>HYPERLINK("https://www.youtube.com/watch?v=oogtaawdbuM&amp;t=929s", "Go to time")</f>
        <v/>
      </c>
    </row>
    <row r="3464">
      <c r="A3464">
        <f>HYPERLINK("https://www.youtube.com/watch?v=oogtaawdbuM", "Video")</f>
        <v/>
      </c>
      <c r="B3464" t="inlineStr">
        <is>
          <t>22:14</t>
        </is>
      </c>
      <c r="C3464" t="inlineStr">
        <is>
          <t>Can you talk a
little bit about what</t>
        </is>
      </c>
      <c r="D3464">
        <f>HYPERLINK("https://www.youtube.com/watch?v=oogtaawdbuM&amp;t=1334s", "Go to time")</f>
        <v/>
      </c>
    </row>
    <row r="3465">
      <c r="A3465">
        <f>HYPERLINK("https://www.youtube.com/watch?v=X_F3xdIMKxs", "Video")</f>
        <v/>
      </c>
      <c r="B3465" t="inlineStr">
        <is>
          <t>3:12</t>
        </is>
      </c>
      <c r="C3465" t="inlineStr">
        <is>
          <t>But we have to set
ambitious goals.</t>
        </is>
      </c>
      <c r="D3465">
        <f>HYPERLINK("https://www.youtube.com/watch?v=X_F3xdIMKxs&amp;t=192s", "Go to time")</f>
        <v/>
      </c>
    </row>
    <row r="3466">
      <c r="A3466">
        <f>HYPERLINK("https://www.youtube.com/watch?v=X_F3xdIMKxs", "Video")</f>
        <v/>
      </c>
      <c r="B3466" t="inlineStr">
        <is>
          <t>21:34</t>
        </is>
      </c>
      <c r="C3466" t="inlineStr">
        <is>
          <t>kind of forced you to trust your
employees a little bit more.</t>
        </is>
      </c>
      <c r="D3466">
        <f>HYPERLINK("https://www.youtube.com/watch?v=X_F3xdIMKxs&amp;t=1294s", "Go to time")</f>
        <v/>
      </c>
    </row>
    <row r="3467">
      <c r="A3467">
        <f>HYPERLINK("https://www.youtube.com/watch?v=psZ_xKWHeTA", "Video")</f>
        <v/>
      </c>
      <c r="B3467" t="inlineStr">
        <is>
          <t>5:35</t>
        </is>
      </c>
      <c r="C3467" t="inlineStr">
        <is>
          <t>For leaders that are
a bit more developed,</t>
        </is>
      </c>
      <c r="D3467">
        <f>HYPERLINK("https://www.youtube.com/watch?v=psZ_xKWHeTA&amp;t=335s", "Go to time")</f>
        <v/>
      </c>
    </row>
    <row r="3468">
      <c r="A3468">
        <f>HYPERLINK("https://www.youtube.com/watch?v=GuzSM88qWko", "Video")</f>
        <v/>
      </c>
      <c r="B3468" t="inlineStr">
        <is>
          <t>0:52</t>
        </is>
      </c>
      <c r="C3468" t="inlineStr">
        <is>
          <t>a little bit more complicated.</t>
        </is>
      </c>
      <c r="D3468">
        <f>HYPERLINK("https://www.youtube.com/watch?v=GuzSM88qWko&amp;t=52s", "Go to time")</f>
        <v/>
      </c>
    </row>
    <row r="3469">
      <c r="A3469">
        <f>HYPERLINK("https://www.youtube.com/watch?v=GuzSM88qWko", "Video")</f>
        <v/>
      </c>
      <c r="B3469" t="inlineStr">
        <is>
          <t>10:08</t>
        </is>
      </c>
      <c r="C3469" t="inlineStr">
        <is>
          <t>Talk a little bit about
Rob Kalin's background.</t>
        </is>
      </c>
      <c r="D3469">
        <f>HYPERLINK("https://www.youtube.com/watch?v=GuzSM88qWko&amp;t=608s", "Go to time")</f>
        <v/>
      </c>
    </row>
    <row r="3470">
      <c r="A3470">
        <f>HYPERLINK("https://www.youtube.com/watch?v=GuzSM88qWko", "Video")</f>
        <v/>
      </c>
      <c r="B3470" t="inlineStr">
        <is>
          <t>12:02</t>
        </is>
      </c>
      <c r="C3470" t="inlineStr">
        <is>
          <t>Tell us a little bit about Chad
Dickerson and the situation</t>
        </is>
      </c>
      <c r="D3470">
        <f>HYPERLINK("https://www.youtube.com/watch?v=GuzSM88qWko&amp;t=722s", "Go to time")</f>
        <v/>
      </c>
    </row>
    <row r="3471">
      <c r="A3471">
        <f>HYPERLINK("https://www.youtube.com/watch?v=GuzSM88qWko", "Video")</f>
        <v/>
      </c>
      <c r="B3471" t="inlineStr">
        <is>
          <t>13:17</t>
        </is>
      </c>
      <c r="C3471" t="inlineStr">
        <is>
          <t>come back to bite them
about nine months after IPO.</t>
        </is>
      </c>
      <c r="D3471">
        <f>HYPERLINK("https://www.youtube.com/watch?v=GuzSM88qWko&amp;t=797s", "Go to time")</f>
        <v/>
      </c>
    </row>
    <row r="3472">
      <c r="A3472">
        <f>HYPERLINK("https://www.youtube.com/watch?v=GuzSM88qWko", "Video")</f>
        <v/>
      </c>
      <c r="B3472" t="inlineStr">
        <is>
          <t>14:57</t>
        </is>
      </c>
      <c r="C3472" t="inlineStr">
        <is>
          <t>Just talk a little bit about
that dynamic of the pressure</t>
        </is>
      </c>
      <c r="D3472">
        <f>HYPERLINK("https://www.youtube.com/watch?v=GuzSM88qWko&amp;t=897s", "Go to time")</f>
        <v/>
      </c>
    </row>
    <row r="3473">
      <c r="A3473">
        <f>HYPERLINK("https://www.youtube.com/watch?v=GuzSM88qWko", "Video")</f>
        <v/>
      </c>
      <c r="B3473" t="inlineStr">
        <is>
          <t>16:17</t>
        </is>
      </c>
      <c r="C3473" t="inlineStr">
        <is>
          <t>So let's talk a
little bit about how</t>
        </is>
      </c>
      <c r="D3473">
        <f>HYPERLINK("https://www.youtube.com/watch?v=GuzSM88qWko&amp;t=977s", "Go to time")</f>
        <v/>
      </c>
    </row>
    <row r="3474">
      <c r="A3474">
        <f>HYPERLINK("https://www.youtube.com/watch?v=kYT8QC0HuWE", "Video")</f>
        <v/>
      </c>
      <c r="B3474" t="inlineStr">
        <is>
          <t>6:05</t>
        </is>
      </c>
      <c r="C3474" t="inlineStr">
        <is>
          <t>they lift you up a little bit pretty</t>
        </is>
      </c>
      <c r="D3474">
        <f>HYPERLINK("https://www.youtube.com/watch?v=kYT8QC0HuWE&amp;t=365s", "Go to time")</f>
        <v/>
      </c>
    </row>
    <row r="3475">
      <c r="A3475">
        <f>HYPERLINK("https://www.youtube.com/watch?v=kYT8QC0HuWE", "Video")</f>
        <v/>
      </c>
      <c r="B3475" t="inlineStr">
        <is>
          <t>6:07</t>
        </is>
      </c>
      <c r="C3475" t="inlineStr">
        <is>
          <t>bring you down a little bit not much to</t>
        </is>
      </c>
      <c r="D3475">
        <f>HYPERLINK("https://www.youtube.com/watch?v=kYT8QC0HuWE&amp;t=367s", "Go to time")</f>
        <v/>
      </c>
    </row>
    <row r="3476">
      <c r="A3476">
        <f>HYPERLINK("https://www.youtube.com/watch?v=kYT8QC0HuWE", "Video")</f>
        <v/>
      </c>
      <c r="B3476" t="inlineStr">
        <is>
          <t>8:01</t>
        </is>
      </c>
      <c r="C3476" t="inlineStr">
        <is>
          <t>and we do have a bit of unlearning to do</t>
        </is>
      </c>
      <c r="D3476">
        <f>HYPERLINK("https://www.youtube.com/watch?v=kYT8QC0HuWE&amp;t=481s", "Go to time")</f>
        <v/>
      </c>
    </row>
    <row r="3477">
      <c r="A3477">
        <f>HYPERLINK("https://www.youtube.com/watch?v=kYT8QC0HuWE", "Video")</f>
        <v/>
      </c>
      <c r="B3477" t="inlineStr">
        <is>
          <t>9:43</t>
        </is>
      </c>
      <c r="C3477" t="inlineStr">
        <is>
          <t>time speeds up it's a bit like when</t>
        </is>
      </c>
      <c r="D3477">
        <f>HYPERLINK("https://www.youtube.com/watch?v=kYT8QC0HuWE&amp;t=583s", "Go to time")</f>
        <v/>
      </c>
    </row>
    <row r="3478">
      <c r="A3478">
        <f>HYPERLINK("https://www.youtube.com/watch?v=kYT8QC0HuWE", "Video")</f>
        <v/>
      </c>
      <c r="B3478" t="inlineStr">
        <is>
          <t>18:31</t>
        </is>
      </c>
      <c r="C3478" t="inlineStr">
        <is>
          <t>little bit and then push yourself to</t>
        </is>
      </c>
      <c r="D3478">
        <f>HYPERLINK("https://www.youtube.com/watch?v=kYT8QC0HuWE&amp;t=1111s", "Go to time")</f>
        <v/>
      </c>
    </row>
    <row r="3479">
      <c r="A3479">
        <f>HYPERLINK("https://www.youtube.com/watch?v=kYT8QC0HuWE", "Video")</f>
        <v/>
      </c>
      <c r="B3479" t="inlineStr">
        <is>
          <t>24:27</t>
        </is>
      </c>
      <c r="C3479" t="inlineStr">
        <is>
          <t>bit of a disease then their their immune</t>
        </is>
      </c>
      <c r="D3479">
        <f>HYPERLINK("https://www.youtube.com/watch?v=kYT8QC0HuWE&amp;t=1467s", "Go to time")</f>
        <v/>
      </c>
    </row>
    <row r="3480">
      <c r="A3480">
        <f>HYPERLINK("https://www.youtube.com/watch?v=jjRWaMCWs44", "Video")</f>
        <v/>
      </c>
      <c r="B3480" t="inlineStr">
        <is>
          <t>1:45</t>
        </is>
      </c>
      <c r="C3480" t="inlineStr">
        <is>
          <t>is a real wish to be at work and
to fulfill their work ambitions</t>
        </is>
      </c>
      <c r="D3480">
        <f>HYPERLINK("https://www.youtube.com/watch?v=jjRWaMCWs44&amp;t=105s", "Go to time")</f>
        <v/>
      </c>
    </row>
    <row r="3481">
      <c r="A3481">
        <f>HYPERLINK("https://www.youtube.com/watch?v=jjRWaMCWs44", "Video")</f>
        <v/>
      </c>
      <c r="B3481" t="inlineStr">
        <is>
          <t>3:27</t>
        </is>
      </c>
      <c r="C3481" t="inlineStr">
        <is>
          <t>ambitious competitive people
to stand out as the superstar.</t>
        </is>
      </c>
      <c r="D3481">
        <f>HYPERLINK("https://www.youtube.com/watch?v=jjRWaMCWs44&amp;t=207s", "Go to time")</f>
        <v/>
      </c>
    </row>
    <row r="3482">
      <c r="A3482">
        <f>HYPERLINK("https://www.youtube.com/watch?v=5lWQ_YXeVVQ", "Video")</f>
        <v/>
      </c>
      <c r="B3482" t="inlineStr">
        <is>
          <t>2:43</t>
        </is>
      </c>
      <c r="C3482" t="inlineStr">
        <is>
          <t>a bit more about how things
have gone downhill for him.</t>
        </is>
      </c>
      <c r="D3482">
        <f>HYPERLINK("https://www.youtube.com/watch?v=5lWQ_YXeVVQ&amp;t=163s", "Go to time")</f>
        <v/>
      </c>
    </row>
    <row r="3483">
      <c r="A3483">
        <f>HYPERLINK("https://www.youtube.com/watch?v=5lWQ_YXeVVQ", "Video")</f>
        <v/>
      </c>
      <c r="B3483" t="inlineStr">
        <is>
          <t>8:54</t>
        </is>
      </c>
      <c r="C3483" t="inlineStr">
        <is>
          <t>And you mentioned before, kind
of the feeling a little bit</t>
        </is>
      </c>
      <c r="D3483">
        <f>HYPERLINK("https://www.youtube.com/watch?v=5lWQ_YXeVVQ&amp;t=534s", "Go to time")</f>
        <v/>
      </c>
    </row>
    <row r="3484">
      <c r="A3484">
        <f>HYPERLINK("https://www.youtube.com/watch?v=5lWQ_YXeVVQ", "Video")</f>
        <v/>
      </c>
      <c r="B3484" t="inlineStr">
        <is>
          <t>8:57</t>
        </is>
      </c>
      <c r="C3484" t="inlineStr">
        <is>
          <t>of-- well, I don't know if
it's a little bit-- of failure</t>
        </is>
      </c>
      <c r="D3484">
        <f>HYPERLINK("https://www.youtube.com/watch?v=5lWQ_YXeVVQ&amp;t=537s", "Go to time")</f>
        <v/>
      </c>
    </row>
    <row r="3485">
      <c r="A3485">
        <f>HYPERLINK("https://www.youtube.com/watch?v=5lWQ_YXeVVQ", "Video")</f>
        <v/>
      </c>
      <c r="B3485" t="inlineStr">
        <is>
          <t>13:06</t>
        </is>
      </c>
      <c r="C3485" t="inlineStr">
        <is>
          <t>seeing that organizations have
a little bit of family in them,</t>
        </is>
      </c>
      <c r="D3485">
        <f>HYPERLINK("https://www.youtube.com/watch?v=5lWQ_YXeVVQ&amp;t=786s", "Go to time")</f>
        <v/>
      </c>
    </row>
    <row r="3486">
      <c r="A3486">
        <f>HYPERLINK("https://www.youtube.com/watch?v=5lWQ_YXeVVQ", "Video")</f>
        <v/>
      </c>
      <c r="B3486" t="inlineStr">
        <is>
          <t>24:51</t>
        </is>
      </c>
      <c r="C3486" t="inlineStr">
        <is>
          <t>So I think there's a bit of--</t>
        </is>
      </c>
      <c r="D3486">
        <f>HYPERLINK("https://www.youtube.com/watch?v=5lWQ_YXeVVQ&amp;t=1491s", "Go to time")</f>
        <v/>
      </c>
    </row>
    <row r="3487">
      <c r="A3487">
        <f>HYPERLINK("https://www.youtube.com/watch?v=5lWQ_YXeVVQ", "Video")</f>
        <v/>
      </c>
      <c r="B3487" t="inlineStr">
        <is>
          <t>51:28</t>
        </is>
      </c>
      <c r="C3487" t="inlineStr">
        <is>
          <t>MURIEL WILKINS: OK, so
we've covered quite a bit.</t>
        </is>
      </c>
      <c r="D3487">
        <f>HYPERLINK("https://www.youtube.com/watch?v=5lWQ_YXeVVQ&amp;t=3088s", "Go to time")</f>
        <v/>
      </c>
    </row>
    <row r="3488">
      <c r="A3488">
        <f>HYPERLINK("https://www.youtube.com/watch?v=57_hz4CKP10", "Video")</f>
        <v/>
      </c>
      <c r="B3488" t="inlineStr">
        <is>
          <t>0:00</t>
        </is>
      </c>
      <c r="C3488" t="inlineStr">
        <is>
          <t>what makes the most ambitious and</t>
        </is>
      </c>
      <c r="D3488">
        <f>HYPERLINK("https://www.youtube.com/watch?v=57_hz4CKP10&amp;t=0s", "Go to time")</f>
        <v/>
      </c>
    </row>
    <row r="3489">
      <c r="A3489">
        <f>HYPERLINK("https://www.youtube.com/watch?v=H9-JUHrEgF0", "Video")</f>
        <v/>
      </c>
      <c r="B3489" t="inlineStr">
        <is>
          <t>0:46</t>
        </is>
      </c>
      <c r="C3489" t="inlineStr">
        <is>
          <t>is the crucial time to start
building those good habits</t>
        </is>
      </c>
      <c r="D3489">
        <f>HYPERLINK("https://www.youtube.com/watch?v=H9-JUHrEgF0&amp;t=46s", "Go to time")</f>
        <v/>
      </c>
    </row>
    <row r="3490">
      <c r="A3490">
        <f>HYPERLINK("https://www.youtube.com/watch?v=JrwuTl4Igic", "Video")</f>
        <v/>
      </c>
      <c r="B3490" t="inlineStr">
        <is>
          <t>2:33</t>
        </is>
      </c>
      <c r="C3490" t="inlineStr">
        <is>
          <t>and I am a little bit hooked.</t>
        </is>
      </c>
      <c r="D3490">
        <f>HYPERLINK("https://www.youtube.com/watch?v=JrwuTl4Igic&amp;t=153s", "Go to time")</f>
        <v/>
      </c>
    </row>
    <row r="3491">
      <c r="A3491">
        <f>HYPERLINK("https://www.youtube.com/watch?v=JrwuTl4Igic", "Video")</f>
        <v/>
      </c>
      <c r="B3491" t="inlineStr">
        <is>
          <t>18:35</t>
        </is>
      </c>
      <c r="C3491" t="inlineStr">
        <is>
          <t>almost giving the environment
a little bit of a breather.</t>
        </is>
      </c>
      <c r="D3491">
        <f>HYPERLINK("https://www.youtube.com/watch?v=JrwuTl4Igic&amp;t=1115s", "Go to time")</f>
        <v/>
      </c>
    </row>
    <row r="3492">
      <c r="A3492">
        <f>HYPERLINK("https://www.youtube.com/watch?v=JrwuTl4Igic", "Video")</f>
        <v/>
      </c>
      <c r="B3492" t="inlineStr">
        <is>
          <t>22:33</t>
        </is>
      </c>
      <c r="C3492" t="inlineStr">
        <is>
          <t>Adi you and I talked a
little bit ahead of time</t>
        </is>
      </c>
      <c r="D3492">
        <f>HYPERLINK("https://www.youtube.com/watch?v=JrwuTl4Igic&amp;t=1353s", "Go to time")</f>
        <v/>
      </c>
    </row>
    <row r="3493">
      <c r="A3493">
        <f>HYPERLINK("https://www.youtube.com/watch?v=JrwuTl4Igic", "Video")</f>
        <v/>
      </c>
      <c r="B3493" t="inlineStr">
        <is>
          <t>25:11</t>
        </is>
      </c>
      <c r="C3493" t="inlineStr">
        <is>
          <t>viruses in their
natural habitat--</t>
        </is>
      </c>
      <c r="D3493">
        <f>HYPERLINK("https://www.youtube.com/watch?v=JrwuTl4Igic&amp;t=1511s", "Go to time")</f>
        <v/>
      </c>
    </row>
    <row r="3494">
      <c r="A3494">
        <f>HYPERLINK("https://www.youtube.com/watch?v=JrwuTl4Igic", "Video")</f>
        <v/>
      </c>
      <c r="B3494" t="inlineStr">
        <is>
          <t>30:34</t>
        </is>
      </c>
      <c r="C3494" t="inlineStr">
        <is>
          <t>She's going to come and
talk with us a little bit</t>
        </is>
      </c>
      <c r="D3494">
        <f>HYPERLINK("https://www.youtube.com/watch?v=JrwuTl4Igic&amp;t=1834s", "Go to time")</f>
        <v/>
      </c>
    </row>
    <row r="3495">
      <c r="A3495">
        <f>HYPERLINK("https://www.youtube.com/watch?v=rVtY_fyS9kI", "Video")</f>
        <v/>
      </c>
      <c r="B3495" t="inlineStr">
        <is>
          <t>6:46</t>
        </is>
      </c>
      <c r="C3495" t="inlineStr">
        <is>
          <t>little bit back to something Ashley</t>
        </is>
      </c>
      <c r="D3495">
        <f>HYPERLINK("https://www.youtube.com/watch?v=rVtY_fyS9kI&amp;t=406s", "Go to time")</f>
        <v/>
      </c>
    </row>
    <row r="3496">
      <c r="A3496">
        <f>HYPERLINK("https://www.youtube.com/watch?v=rVtY_fyS9kI", "Video")</f>
        <v/>
      </c>
      <c r="B3496" t="inlineStr">
        <is>
          <t>15:44</t>
        </is>
      </c>
      <c r="C3496" t="inlineStr">
        <is>
          <t>fair bit of formal power in our</t>
        </is>
      </c>
      <c r="D3496">
        <f>HYPERLINK("https://www.youtube.com/watch?v=rVtY_fyS9kI&amp;t=944s", "Go to time")</f>
        <v/>
      </c>
    </row>
    <row r="3497">
      <c r="A3497">
        <f>HYPERLINK("https://www.youtube.com/watch?v=rVtY_fyS9kI", "Video")</f>
        <v/>
      </c>
      <c r="B3497" t="inlineStr">
        <is>
          <t>33:14</t>
        </is>
      </c>
      <c r="C3497" t="inlineStr">
        <is>
          <t>bite-sized like that's that's the</t>
        </is>
      </c>
      <c r="D3497">
        <f>HYPERLINK("https://www.youtube.com/watch?v=rVtY_fyS9kI&amp;t=1994s", "Go to time")</f>
        <v/>
      </c>
    </row>
    <row r="3498">
      <c r="A3498">
        <f>HYPERLINK("https://www.youtube.com/watch?v=rVtY_fyS9kI", "Video")</f>
        <v/>
      </c>
      <c r="B3498" t="inlineStr">
        <is>
          <t>34:34</t>
        </is>
      </c>
      <c r="C3498" t="inlineStr">
        <is>
          <t>little bit of this analysis do you build</t>
        </is>
      </c>
      <c r="D3498">
        <f>HYPERLINK("https://www.youtube.com/watch?v=rVtY_fyS9kI&amp;t=2074s", "Go to time")</f>
        <v/>
      </c>
    </row>
    <row r="3499">
      <c r="A3499">
        <f>HYPERLINK("https://www.youtube.com/watch?v=MbRuzz66rzQ", "Video")</f>
        <v/>
      </c>
      <c r="B3499" t="inlineStr">
        <is>
          <t>6:55</t>
        </is>
      </c>
      <c r="C3499" t="inlineStr">
        <is>
          <t>- It took a little
bit of convincing,</t>
        </is>
      </c>
      <c r="D3499">
        <f>HYPERLINK("https://www.youtube.com/watch?v=MbRuzz66rzQ&amp;t=415s", "Go to time")</f>
        <v/>
      </c>
    </row>
    <row r="3500">
      <c r="A3500">
        <f>HYPERLINK("https://www.youtube.com/watch?v=MbRuzz66rzQ", "Video")</f>
        <v/>
      </c>
      <c r="B3500" t="inlineStr">
        <is>
          <t>7:21</t>
        </is>
      </c>
      <c r="C3500" t="inlineStr">
        <is>
          <t>Can you talk a
little bit about that</t>
        </is>
      </c>
      <c r="D3500">
        <f>HYPERLINK("https://www.youtube.com/watch?v=MbRuzz66rzQ&amp;t=441s", "Go to time")</f>
        <v/>
      </c>
    </row>
    <row r="3501">
      <c r="A3501">
        <f>HYPERLINK("https://www.youtube.com/watch?v=MbRuzz66rzQ", "Video")</f>
        <v/>
      </c>
      <c r="B3501" t="inlineStr">
        <is>
          <t>7:30</t>
        </is>
      </c>
      <c r="C3501" t="inlineStr">
        <is>
          <t>had a little bit
of trust built in.</t>
        </is>
      </c>
      <c r="D3501">
        <f>HYPERLINK("https://www.youtube.com/watch?v=MbRuzz66rzQ&amp;t=450s", "Go to time")</f>
        <v/>
      </c>
    </row>
    <row r="3502">
      <c r="A3502">
        <f>HYPERLINK("https://www.youtube.com/watch?v=MbRuzz66rzQ", "Video")</f>
        <v/>
      </c>
      <c r="B3502" t="inlineStr">
        <is>
          <t>10:41</t>
        </is>
      </c>
      <c r="C3502" t="inlineStr">
        <is>
          <t>- Now when I watch Dave's
TikToks I see them a little bit</t>
        </is>
      </c>
      <c r="D3502">
        <f>HYPERLINK("https://www.youtube.com/watch?v=MbRuzz66rzQ&amp;t=641s", "Go to time")</f>
        <v/>
      </c>
    </row>
    <row r="3503">
      <c r="A3503">
        <f>HYPERLINK("https://www.youtube.com/watch?v=1ZDWkl7nA-4", "Video")</f>
        <v/>
      </c>
      <c r="B3503" t="inlineStr">
        <is>
          <t>2:04</t>
        </is>
      </c>
      <c r="C3503" t="inlineStr">
        <is>
          <t>STEVE SARUMI: Twitch
was getting a little bit</t>
        </is>
      </c>
      <c r="D3503">
        <f>HYPERLINK("https://www.youtube.com/watch?v=1ZDWkl7nA-4&amp;t=124s", "Go to time")</f>
        <v/>
      </c>
    </row>
    <row r="3504">
      <c r="A3504">
        <f>HYPERLINK("https://www.youtube.com/watch?v=1ZDWkl7nA-4", "Video")</f>
        <v/>
      </c>
      <c r="B3504" t="inlineStr">
        <is>
          <t>5:03</t>
        </is>
      </c>
      <c r="C3504" t="inlineStr">
        <is>
          <t>money, which is bits.</t>
        </is>
      </c>
      <c r="D3504">
        <f>HYPERLINK("https://www.youtube.com/watch?v=1ZDWkl7nA-4&amp;t=303s", "Go to time")</f>
        <v/>
      </c>
    </row>
    <row r="3505">
      <c r="A3505">
        <f>HYPERLINK("https://www.youtube.com/watch?v=1ZDWkl7nA-4", "Video")</f>
        <v/>
      </c>
      <c r="B3505" t="inlineStr">
        <is>
          <t>5:04</t>
        </is>
      </c>
      <c r="C3505" t="inlineStr">
        <is>
          <t>And bits is a currency that
you buy with real money.</t>
        </is>
      </c>
      <c r="D3505">
        <f>HYPERLINK("https://www.youtube.com/watch?v=1ZDWkl7nA-4&amp;t=304s", "Go to time")</f>
        <v/>
      </c>
    </row>
    <row r="3506">
      <c r="A3506">
        <f>HYPERLINK("https://www.youtube.com/watch?v=1ZDWkl7nA-4", "Video")</f>
        <v/>
      </c>
      <c r="B3506" t="inlineStr">
        <is>
          <t>5:09</t>
        </is>
      </c>
      <c r="C3506" t="inlineStr">
        <is>
          <t>So I think it's like $12
or $13 for 1,000 bits.</t>
        </is>
      </c>
      <c r="D3506">
        <f>HYPERLINK("https://www.youtube.com/watch?v=1ZDWkl7nA-4&amp;t=309s", "Go to time")</f>
        <v/>
      </c>
    </row>
    <row r="3507">
      <c r="A3507">
        <f>HYPERLINK("https://www.youtube.com/watch?v=1ZDWkl7nA-4", "Video")</f>
        <v/>
      </c>
      <c r="B3507" t="inlineStr">
        <is>
          <t>5:15</t>
        </is>
      </c>
      <c r="C3507" t="inlineStr">
        <is>
          <t>But one bit is one penny.</t>
        </is>
      </c>
      <c r="D3507">
        <f>HYPERLINK("https://www.youtube.com/watch?v=1ZDWkl7nA-4&amp;t=315s", "Go to time")</f>
        <v/>
      </c>
    </row>
    <row r="3508">
      <c r="A3508">
        <f>HYPERLINK("https://www.youtube.com/watch?v=M6pT5b5GTSk", "Video")</f>
        <v/>
      </c>
      <c r="B3508" t="inlineStr">
        <is>
          <t>7:54</t>
        </is>
      </c>
      <c r="C3508" t="inlineStr">
        <is>
          <t>And I will admit I'm struggling
a little bit with the math</t>
        </is>
      </c>
      <c r="D3508">
        <f>HYPERLINK("https://www.youtube.com/watch?v=M6pT5b5GTSk&amp;t=474s", "Go to time")</f>
        <v/>
      </c>
    </row>
    <row r="3509">
      <c r="A3509">
        <f>HYPERLINK("https://www.youtube.com/watch?v=M6pT5b5GTSk", "Video")</f>
        <v/>
      </c>
      <c r="B3509" t="inlineStr">
        <is>
          <t>17:09</t>
        </is>
      </c>
      <c r="C3509" t="inlineStr">
        <is>
          <t>And if you have to be sad
about it for a little bit</t>
        </is>
      </c>
      <c r="D3509">
        <f>HYPERLINK("https://www.youtube.com/watch?v=M6pT5b5GTSk&amp;t=1029s", "Go to time")</f>
        <v/>
      </c>
    </row>
    <row r="3510">
      <c r="A3510">
        <f>HYPERLINK("https://www.youtube.com/watch?v=M6pT5b5GTSk", "Video")</f>
        <v/>
      </c>
      <c r="B3510" t="inlineStr">
        <is>
          <t>18:41</t>
        </is>
      </c>
      <c r="C3510" t="inlineStr">
        <is>
          <t>that I would want to
understand a little bit better</t>
        </is>
      </c>
      <c r="D3510">
        <f>HYPERLINK("https://www.youtube.com/watch?v=M6pT5b5GTSk&amp;t=1121s", "Go to time")</f>
        <v/>
      </c>
    </row>
    <row r="3511">
      <c r="A3511">
        <f>HYPERLINK("https://www.youtube.com/watch?v=M6pT5b5GTSk", "Video")</f>
        <v/>
      </c>
      <c r="B3511" t="inlineStr">
        <is>
          <t>23:45</t>
        </is>
      </c>
      <c r="C3511" t="inlineStr">
        <is>
          <t>somebody who might be a little
bit more senior than you, who</t>
        </is>
      </c>
      <c r="D3511">
        <f>HYPERLINK("https://www.youtube.com/watch?v=M6pT5b5GTSk&amp;t=1425s", "Go to time")</f>
        <v/>
      </c>
    </row>
    <row r="3512">
      <c r="A3512">
        <f>HYPERLINK("https://www.youtube.com/watch?v=aTu3e2xDdDg", "Video")</f>
        <v/>
      </c>
      <c r="B3512" t="inlineStr">
        <is>
          <t>0:01</t>
        </is>
      </c>
      <c r="C3512" t="inlineStr">
        <is>
          <t>may be a little bit overwhelmed
by the social media posts</t>
        </is>
      </c>
      <c r="D3512">
        <f>HYPERLINK("https://www.youtube.com/watch?v=aTu3e2xDdDg&amp;t=1s", "Go to time")</f>
        <v/>
      </c>
    </row>
    <row r="3513">
      <c r="A3513">
        <f>HYPERLINK("https://www.youtube.com/watch?v=aTu3e2xDdDg", "Video")</f>
        <v/>
      </c>
      <c r="B3513" t="inlineStr">
        <is>
          <t>7:59</t>
        </is>
      </c>
      <c r="C3513" t="inlineStr">
        <is>
          <t>But Beth was a
little bit different.</t>
        </is>
      </c>
      <c r="D3513">
        <f>HYPERLINK("https://www.youtube.com/watch?v=aTu3e2xDdDg&amp;t=479s", "Go to time")</f>
        <v/>
      </c>
    </row>
    <row r="3514">
      <c r="A3514">
        <f>HYPERLINK("https://www.youtube.com/watch?v=aTu3e2xDdDg", "Video")</f>
        <v/>
      </c>
      <c r="B3514" t="inlineStr">
        <is>
          <t>8:15</t>
        </is>
      </c>
      <c r="C3514" t="inlineStr">
        <is>
          <t>to know each other
a little bit more.</t>
        </is>
      </c>
      <c r="D3514">
        <f>HYPERLINK("https://www.youtube.com/watch?v=aTu3e2xDdDg&amp;t=495s", "Go to time")</f>
        <v/>
      </c>
    </row>
    <row r="3515">
      <c r="A3515">
        <f>HYPERLINK("https://www.youtube.com/watch?v=aTu3e2xDdDg", "Video")</f>
        <v/>
      </c>
      <c r="B3515" t="inlineStr">
        <is>
          <t>9:05</t>
        </is>
      </c>
      <c r="C3515" t="inlineStr">
        <is>
          <t>What could happen if you
trust her a little bit</t>
        </is>
      </c>
      <c r="D3515">
        <f>HYPERLINK("https://www.youtube.com/watch?v=aTu3e2xDdDg&amp;t=545s", "Go to time")</f>
        <v/>
      </c>
    </row>
    <row r="3516">
      <c r="A3516">
        <f>HYPERLINK("https://www.youtube.com/watch?v=aJsmJsd6GIw", "Video")</f>
        <v/>
      </c>
      <c r="B3516" t="inlineStr">
        <is>
          <t>1:26</t>
        </is>
      </c>
      <c r="C3516" t="inlineStr">
        <is>
          <t>debit once and everybody laughed and the</t>
        </is>
      </c>
      <c r="D3516">
        <f>HYPERLINK("https://www.youtube.com/watch?v=aJsmJsd6GIw&amp;t=86s", "Go to time")</f>
        <v/>
      </c>
    </row>
    <row r="3517">
      <c r="A3517">
        <f>HYPERLINK("https://www.youtube.com/watch?v=aJsmJsd6GIw", "Video")</f>
        <v/>
      </c>
      <c r="B3517" t="inlineStr">
        <is>
          <t>1:36</t>
        </is>
      </c>
      <c r="C3517" t="inlineStr">
        <is>
          <t>accounting system and credits and debits</t>
        </is>
      </c>
      <c r="D3517">
        <f>HYPERLINK("https://www.youtube.com/watch?v=aJsmJsd6GIw&amp;t=96s", "Go to time")</f>
        <v/>
      </c>
    </row>
    <row r="3518">
      <c r="A3518">
        <f>HYPERLINK("https://www.youtube.com/watch?v=aJsmJsd6GIw", "Video")</f>
        <v/>
      </c>
      <c r="B3518" t="inlineStr">
        <is>
          <t>2:06</t>
        </is>
      </c>
      <c r="C3518" t="inlineStr">
        <is>
          <t>don't need to know credits or debits</t>
        </is>
      </c>
      <c r="D3518">
        <f>HYPERLINK("https://www.youtube.com/watch?v=aJsmJsd6GIw&amp;t=126s", "Go to time")</f>
        <v/>
      </c>
    </row>
    <row r="3519">
      <c r="A3519">
        <f>HYPERLINK("https://www.youtube.com/watch?v=aJsmJsd6GIw", "Video")</f>
        <v/>
      </c>
      <c r="B3519" t="inlineStr">
        <is>
          <t>2:41</t>
        </is>
      </c>
      <c r="C3519" t="inlineStr">
        <is>
          <t>credits and debits uh no matter how</t>
        </is>
      </c>
      <c r="D3519">
        <f>HYPERLINK("https://www.youtube.com/watch?v=aJsmJsd6GIw&amp;t=161s", "Go to time")</f>
        <v/>
      </c>
    </row>
    <row r="3520">
      <c r="A3520">
        <f>HYPERLINK("https://www.youtube.com/watch?v=aJsmJsd6GIw", "Video")</f>
        <v/>
      </c>
      <c r="B3520" t="inlineStr">
        <is>
          <t>9:54</t>
        </is>
      </c>
      <c r="C3520" t="inlineStr">
        <is>
          <t>cases of fraud let's talk a little bit</t>
        </is>
      </c>
      <c r="D3520">
        <f>HYPERLINK("https://www.youtube.com/watch?v=aJsmJsd6GIw&amp;t=594s", "Go to time")</f>
        <v/>
      </c>
    </row>
    <row r="3521">
      <c r="A3521">
        <f>HYPERLINK("https://www.youtube.com/watch?v=aJsmJsd6GIw", "Video")</f>
        <v/>
      </c>
      <c r="B3521" t="inlineStr">
        <is>
          <t>10:06</t>
        </is>
      </c>
      <c r="C3521" t="inlineStr">
        <is>
          <t>a little bit about those elusive goals</t>
        </is>
      </c>
      <c r="D3521">
        <f>HYPERLINK("https://www.youtube.com/watch?v=aJsmJsd6GIw&amp;t=606s", "Go to time")</f>
        <v/>
      </c>
    </row>
    <row r="3522">
      <c r="A3522">
        <f>HYPERLINK("https://www.youtube.com/watch?v=dOIRSqNqAzE", "Video")</f>
        <v/>
      </c>
      <c r="B3522" t="inlineStr">
        <is>
          <t>0:23</t>
        </is>
      </c>
      <c r="C3522" t="inlineStr">
        <is>
          <t>but the 95% that you don't
see below the water is habit.</t>
        </is>
      </c>
      <c r="D3522">
        <f>HYPERLINK("https://www.youtube.com/watch?v=dOIRSqNqAzE&amp;t=23s", "Go to time")</f>
        <v/>
      </c>
    </row>
    <row r="3523">
      <c r="A3523">
        <f>HYPERLINK("https://www.youtube.com/watch?v=dOIRSqNqAzE", "Video")</f>
        <v/>
      </c>
      <c r="B3523" t="inlineStr">
        <is>
          <t>0:54</t>
        </is>
      </c>
      <c r="C3523" t="inlineStr">
        <is>
          <t>It's because you
interrupt habit.</t>
        </is>
      </c>
      <c r="D3523">
        <f>HYPERLINK("https://www.youtube.com/watch?v=dOIRSqNqAzE&amp;t=54s", "Go to time")</f>
        <v/>
      </c>
    </row>
    <row r="3524">
      <c r="A3524">
        <f>HYPERLINK("https://www.youtube.com/watch?v=dOIRSqNqAzE", "Video")</f>
        <v/>
      </c>
      <c r="B3524" t="inlineStr">
        <is>
          <t>2:27</t>
        </is>
      </c>
      <c r="C3524" t="inlineStr">
        <is>
          <t>You're now competing to
establish a new habit.</t>
        </is>
      </c>
      <c r="D3524">
        <f>HYPERLINK("https://www.youtube.com/watch?v=dOIRSqNqAzE&amp;t=147s", "Go to time")</f>
        <v/>
      </c>
    </row>
    <row r="3525">
      <c r="A3525">
        <f>HYPERLINK("https://www.youtube.com/watch?v=dOIRSqNqAzE", "Video")</f>
        <v/>
      </c>
      <c r="B3525" t="inlineStr">
        <is>
          <t>3:40</t>
        </is>
      </c>
      <c r="C3525" t="inlineStr">
        <is>
          <t>You needed to double down
on the habit of buying Tide.</t>
        </is>
      </c>
      <c r="D3525">
        <f>HYPERLINK("https://www.youtube.com/watch?v=dOIRSqNqAzE&amp;t=220s", "Go to time")</f>
        <v/>
      </c>
    </row>
    <row r="3526">
      <c r="A3526">
        <f>HYPERLINK("https://www.youtube.com/watch?v=dOIRSqNqAzE", "Video")</f>
        <v/>
      </c>
      <c r="B3526" t="inlineStr">
        <is>
          <t>4:50</t>
        </is>
      </c>
      <c r="C3526" t="inlineStr">
        <is>
          <t>saying I want to
keep this habit.</t>
        </is>
      </c>
      <c r="D3526">
        <f>HYPERLINK("https://www.youtube.com/watch?v=dOIRSqNqAzE&amp;t=290s", "Go to time")</f>
        <v/>
      </c>
    </row>
    <row r="3527">
      <c r="A3527">
        <f>HYPERLINK("https://www.youtube.com/watch?v=4zdMH2Qmobk", "Video")</f>
        <v/>
      </c>
      <c r="B3527" t="inlineStr">
        <is>
          <t>3:30</t>
        </is>
      </c>
      <c r="C3527" t="inlineStr">
        <is>
          <t>CURT NICKISCH: Tell
me a little bit</t>
        </is>
      </c>
      <c r="D3527">
        <f>HYPERLINK("https://www.youtube.com/watch?v=4zdMH2Qmobk&amp;t=210s", "Go to time")</f>
        <v/>
      </c>
    </row>
    <row r="3528">
      <c r="A3528">
        <f>HYPERLINK("https://www.youtube.com/watch?v=4zdMH2Qmobk", "Video")</f>
        <v/>
      </c>
      <c r="B3528" t="inlineStr">
        <is>
          <t>8:52</t>
        </is>
      </c>
      <c r="C3528" t="inlineStr">
        <is>
          <t>is a little bit more leap of
faith, right, lacks the data,</t>
        </is>
      </c>
      <c r="D3528">
        <f>HYPERLINK("https://www.youtube.com/watch?v=4zdMH2Qmobk&amp;t=532s", "Go to time")</f>
        <v/>
      </c>
    </row>
    <row r="3529">
      <c r="A3529">
        <f>HYPERLINK("https://www.youtube.com/watch?v=4zdMH2Qmobk", "Video")</f>
        <v/>
      </c>
      <c r="B3529" t="inlineStr">
        <is>
          <t>14:30</t>
        </is>
      </c>
      <c r="C3529" t="inlineStr">
        <is>
          <t>CURT NICKISCH: I want to ask a
little bit about the pandemic,</t>
        </is>
      </c>
      <c r="D3529">
        <f>HYPERLINK("https://www.youtube.com/watch?v=4zdMH2Qmobk&amp;t=870s", "Go to time")</f>
        <v/>
      </c>
    </row>
    <row r="3530">
      <c r="A3530">
        <f>HYPERLINK("https://www.youtube.com/watch?v=4zdMH2Qmobk", "Video")</f>
        <v/>
      </c>
      <c r="B3530" t="inlineStr">
        <is>
          <t>18:02</t>
        </is>
      </c>
      <c r="C3530" t="inlineStr">
        <is>
          <t>if things were a
little bit slower,</t>
        </is>
      </c>
      <c r="D3530">
        <f>HYPERLINK("https://www.youtube.com/watch?v=4zdMH2Qmobk&amp;t=1082s", "Go to time")</f>
        <v/>
      </c>
    </row>
    <row r="3531">
      <c r="A3531">
        <f>HYPERLINK("https://www.youtube.com/watch?v=4zdMH2Qmobk", "Video")</f>
        <v/>
      </c>
      <c r="B3531" t="inlineStr">
        <is>
          <t>18:04</t>
        </is>
      </c>
      <c r="C3531" t="inlineStr">
        <is>
          <t>and we weren't relying on
sort of some old bad habits.</t>
        </is>
      </c>
      <c r="D3531">
        <f>HYPERLINK("https://www.youtube.com/watch?v=4zdMH2Qmobk&amp;t=1084s", "Go to time")</f>
        <v/>
      </c>
    </row>
    <row r="3532">
      <c r="A3532">
        <f>HYPERLINK("https://www.youtube.com/watch?v=4zdMH2Qmobk", "Video")</f>
        <v/>
      </c>
      <c r="B3532" t="inlineStr">
        <is>
          <t>19:25</t>
        </is>
      </c>
      <c r="C3532" t="inlineStr">
        <is>
          <t>been a little bit of a
rough road for progress</t>
        </is>
      </c>
      <c r="D3532">
        <f>HYPERLINK("https://www.youtube.com/watch?v=4zdMH2Qmobk&amp;t=1165s", "Go to time")</f>
        <v/>
      </c>
    </row>
    <row r="3533">
      <c r="A3533">
        <f>HYPERLINK("https://www.youtube.com/watch?v=MQIQgqhiAy8", "Video")</f>
        <v/>
      </c>
      <c r="B3533" t="inlineStr">
        <is>
          <t>1:19</t>
        </is>
      </c>
      <c r="C3533" t="inlineStr">
        <is>
          <t>little bit about vaccines we had</t>
        </is>
      </c>
      <c r="D3533">
        <f>HYPERLINK("https://www.youtube.com/watch?v=MQIQgqhiAy8&amp;t=79s", "Go to time")</f>
        <v/>
      </c>
    </row>
    <row r="3534">
      <c r="A3534">
        <f>HYPERLINK("https://www.youtube.com/watch?v=MQIQgqhiAy8", "Video")</f>
        <v/>
      </c>
      <c r="B3534" t="inlineStr">
        <is>
          <t>14:16</t>
        </is>
      </c>
      <c r="C3534" t="inlineStr">
        <is>
          <t>bit unknown</t>
        </is>
      </c>
      <c r="D3534">
        <f>HYPERLINK("https://www.youtube.com/watch?v=MQIQgqhiAy8&amp;t=856s", "Go to time")</f>
        <v/>
      </c>
    </row>
    <row r="3535">
      <c r="A3535">
        <f>HYPERLINK("https://www.youtube.com/watch?v=MQIQgqhiAy8", "Video")</f>
        <v/>
      </c>
      <c r="B3535" t="inlineStr">
        <is>
          <t>21:37</t>
        </is>
      </c>
      <c r="C3535" t="inlineStr">
        <is>
          <t>a bit of a silver lining from the</t>
        </is>
      </c>
      <c r="D3535">
        <f>HYPERLINK("https://www.youtube.com/watch?v=MQIQgqhiAy8&amp;t=1297s", "Go to time")</f>
        <v/>
      </c>
    </row>
    <row r="3536">
      <c r="A3536">
        <f>HYPERLINK("https://www.youtube.com/watch?v=MQIQgqhiAy8", "Video")</f>
        <v/>
      </c>
      <c r="B3536" t="inlineStr">
        <is>
          <t>25:46</t>
        </is>
      </c>
      <c r="C3536" t="inlineStr">
        <is>
          <t>that so we got a little bit of a head</t>
        </is>
      </c>
      <c r="D3536">
        <f>HYPERLINK("https://www.youtube.com/watch?v=MQIQgqhiAy8&amp;t=1546s", "Go to time")</f>
        <v/>
      </c>
    </row>
    <row r="3537">
      <c r="A3537">
        <f>HYPERLINK("https://www.youtube.com/watch?v=s5yXr1YRQHU", "Video")</f>
        <v/>
      </c>
      <c r="B3537" t="inlineStr">
        <is>
          <t>1:21</t>
        </is>
      </c>
      <c r="C3537" t="inlineStr">
        <is>
          <t>a little bit more deliberate with even
small decisions in their everyday lives.</t>
        </is>
      </c>
      <c r="D3537">
        <f>HYPERLINK("https://www.youtube.com/watch?v=s5yXr1YRQHU&amp;t=81s", "Go to time")</f>
        <v/>
      </c>
    </row>
    <row r="3538">
      <c r="A3538">
        <f>HYPERLINK("https://www.youtube.com/watch?v=dm8bOd9yHOE", "Video")</f>
        <v/>
      </c>
      <c r="B3538" t="inlineStr">
        <is>
          <t>4:08</t>
        </is>
      </c>
      <c r="C3538" t="inlineStr">
        <is>
          <t>KELSEY ALPAIO: OK, I need a
little bit of explanation.</t>
        </is>
      </c>
      <c r="D3538">
        <f>HYPERLINK("https://www.youtube.com/watch?v=dm8bOd9yHOE&amp;t=248s", "Go to time")</f>
        <v/>
      </c>
    </row>
    <row r="3539">
      <c r="A3539">
        <f>HYPERLINK("https://www.youtube.com/watch?v=dm8bOd9yHOE", "Video")</f>
        <v/>
      </c>
      <c r="B3539" t="inlineStr">
        <is>
          <t>7:37</t>
        </is>
      </c>
      <c r="C3539" t="inlineStr">
        <is>
          <t>Would you mind
talking a little bit</t>
        </is>
      </c>
      <c r="D3539">
        <f>HYPERLINK("https://www.youtube.com/watch?v=dm8bOd9yHOE&amp;t=457s", "Go to time")</f>
        <v/>
      </c>
    </row>
    <row r="3540">
      <c r="A3540">
        <f>HYPERLINK("https://www.youtube.com/watch?v=gRTpYWUmizE", "Video")</f>
        <v/>
      </c>
      <c r="B3540" t="inlineStr">
        <is>
          <t>1:52</t>
        </is>
      </c>
      <c r="C3540" t="inlineStr">
        <is>
          <t>Can you talk a little bit
about where we are now</t>
        </is>
      </c>
      <c r="D3540">
        <f>HYPERLINK("https://www.youtube.com/watch?v=gRTpYWUmizE&amp;t=112s", "Go to time")</f>
        <v/>
      </c>
    </row>
    <row r="3541">
      <c r="A3541">
        <f>HYPERLINK("https://www.youtube.com/watch?v=gRTpYWUmizE", "Video")</f>
        <v/>
      </c>
      <c r="B3541" t="inlineStr">
        <is>
          <t>6:24</t>
        </is>
      </c>
      <c r="C3541" t="inlineStr">
        <is>
          <t>But do you want to-- you want
to talk a little bit more</t>
        </is>
      </c>
      <c r="D3541">
        <f>HYPERLINK("https://www.youtube.com/watch?v=gRTpYWUmizE&amp;t=384s", "Go to time")</f>
        <v/>
      </c>
    </row>
    <row r="3542">
      <c r="A3542">
        <f>HYPERLINK("https://www.youtube.com/watch?v=xsTmH3gOtlU", "Video")</f>
        <v/>
      </c>
      <c r="B3542" t="inlineStr">
        <is>
          <t>2:16</t>
        </is>
      </c>
      <c r="C3542" t="inlineStr">
        <is>
          <t>there is a lot that goes
into making an exhibit.</t>
        </is>
      </c>
      <c r="D3542">
        <f>HYPERLINK("https://www.youtube.com/watch?v=xsTmH3gOtlU&amp;t=136s", "Go to time")</f>
        <v/>
      </c>
    </row>
    <row r="3543">
      <c r="A3543">
        <f>HYPERLINK("https://www.youtube.com/watch?v=xsTmH3gOtlU", "Video")</f>
        <v/>
      </c>
      <c r="B3543" t="inlineStr">
        <is>
          <t>2:27</t>
        </is>
      </c>
      <c r="C3543" t="inlineStr">
        <is>
          <t>I wonder what in her mind
makes a good exhibit.</t>
        </is>
      </c>
      <c r="D3543">
        <f>HYPERLINK("https://www.youtube.com/watch?v=xsTmH3gOtlU&amp;t=147s", "Go to time")</f>
        <v/>
      </c>
    </row>
    <row r="3544">
      <c r="A3544">
        <f>HYPERLINK("https://www.youtube.com/watch?v=xsTmH3gOtlU", "Video")</f>
        <v/>
      </c>
      <c r="B3544" t="inlineStr">
        <is>
          <t>2:33</t>
        </is>
      </c>
      <c r="C3544" t="inlineStr">
        <is>
          <t>NATALIE BELL: I'm often thinking
about how the exhibition is</t>
        </is>
      </c>
      <c r="D3544">
        <f>HYPERLINK("https://www.youtube.com/watch?v=xsTmH3gOtlU&amp;t=153s", "Go to time")</f>
        <v/>
      </c>
    </row>
    <row r="3545">
      <c r="A3545">
        <f>HYPERLINK("https://www.youtube.com/watch?v=xsTmH3gOtlU", "Video")</f>
        <v/>
      </c>
      <c r="B3545" t="inlineStr">
        <is>
          <t>2:50</t>
        </is>
      </c>
      <c r="C3545" t="inlineStr">
        <is>
          <t>Spending a lot of time with the
language around an exhibition.</t>
        </is>
      </c>
      <c r="D3545">
        <f>HYPERLINK("https://www.youtube.com/watch?v=xsTmH3gOtlU&amp;t=170s", "Go to time")</f>
        <v/>
      </c>
    </row>
    <row r="3546">
      <c r="A3546">
        <f>HYPERLINK("https://www.youtube.com/watch?v=xsTmH3gOtlU", "Video")</f>
        <v/>
      </c>
      <c r="B3546" t="inlineStr">
        <is>
          <t>3:23</t>
        </is>
      </c>
      <c r="C3546" t="inlineStr">
        <is>
          <t>which is a little bit
less conventional.</t>
        </is>
      </c>
      <c r="D3546">
        <f>HYPERLINK("https://www.youtube.com/watch?v=xsTmH3gOtlU&amp;t=203s", "Go to time")</f>
        <v/>
      </c>
    </row>
    <row r="3547">
      <c r="A3547">
        <f>HYPERLINK("https://www.youtube.com/watch?v=xsTmH3gOtlU", "Video")</f>
        <v/>
      </c>
      <c r="B3547" t="inlineStr">
        <is>
          <t>8:43</t>
        </is>
      </c>
      <c r="C3547" t="inlineStr">
        <is>
          <t>in transmitting that
through making exhibitions,</t>
        </is>
      </c>
      <c r="D3547">
        <f>HYPERLINK("https://www.youtube.com/watch?v=xsTmH3gOtlU&amp;t=523s", "Go to time")</f>
        <v/>
      </c>
    </row>
    <row r="3548">
      <c r="A3548">
        <f>HYPERLINK("https://www.youtube.com/watch?v=vZ1YjAlcbVE", "Video")</f>
        <v/>
      </c>
      <c r="B3548" t="inlineStr">
        <is>
          <t>9:01</t>
        </is>
      </c>
      <c r="C3548" t="inlineStr">
        <is>
          <t>And can you talk a little
bit about just the pressure</t>
        </is>
      </c>
      <c r="D3548">
        <f>HYPERLINK("https://www.youtube.com/watch?v=vZ1YjAlcbVE&amp;t=541s", "Go to time")</f>
        <v/>
      </c>
    </row>
    <row r="3549">
      <c r="A3549">
        <f>HYPERLINK("https://www.youtube.com/watch?v=vZ1YjAlcbVE", "Video")</f>
        <v/>
      </c>
      <c r="B3549" t="inlineStr">
        <is>
          <t>21:27</t>
        </is>
      </c>
      <c r="C3549" t="inlineStr">
        <is>
          <t>And I think it's a little
bit of my Midwestern-ness,</t>
        </is>
      </c>
      <c r="D3549">
        <f>HYPERLINK("https://www.youtube.com/watch?v=vZ1YjAlcbVE&amp;t=1287s", "Go to time")</f>
        <v/>
      </c>
    </row>
    <row r="3550">
      <c r="A3550">
        <f>HYPERLINK("https://www.youtube.com/watch?v=vZ1YjAlcbVE", "Video")</f>
        <v/>
      </c>
      <c r="B3550" t="inlineStr">
        <is>
          <t>21:30</t>
        </is>
      </c>
      <c r="C3550" t="inlineStr">
        <is>
          <t>a little bit of my dad--</t>
        </is>
      </c>
      <c r="D3550">
        <f>HYPERLINK("https://www.youtube.com/watch?v=vZ1YjAlcbVE&amp;t=1290s", "Go to time")</f>
        <v/>
      </c>
    </row>
    <row r="3551">
      <c r="A3551">
        <f>HYPERLINK("https://www.youtube.com/watch?v=vZ1YjAlcbVE", "Video")</f>
        <v/>
      </c>
      <c r="B3551" t="inlineStr">
        <is>
          <t>30:40</t>
        </is>
      </c>
      <c r="C3551" t="inlineStr">
        <is>
          <t>Look, I mean, my
only bit of wisdom</t>
        </is>
      </c>
      <c r="D3551">
        <f>HYPERLINK("https://www.youtube.com/watch?v=vZ1YjAlcbVE&amp;t=1840s", "Go to time")</f>
        <v/>
      </c>
    </row>
    <row r="3552">
      <c r="A3552">
        <f>HYPERLINK("https://www.youtube.com/watch?v=m9NpSlziG58", "Video")</f>
        <v/>
      </c>
      <c r="B3552" t="inlineStr">
        <is>
          <t>5:57</t>
        </is>
      </c>
      <c r="C3552" t="inlineStr">
        <is>
          <t>I mean, I feel a little
bit more confident,</t>
        </is>
      </c>
      <c r="D3552">
        <f>HYPERLINK("https://www.youtube.com/watch?v=m9NpSlziG58&amp;t=357s", "Go to time")</f>
        <v/>
      </c>
    </row>
    <row r="3553">
      <c r="A3553">
        <f>HYPERLINK("https://www.youtube.com/watch?v=XXshUEDo0Iw", "Video")</f>
        <v/>
      </c>
      <c r="B3553" t="inlineStr">
        <is>
          <t>6:00</t>
        </is>
      </c>
      <c r="C3553" t="inlineStr">
        <is>
          <t>So it sort of felt a
little bit scary, really.</t>
        </is>
      </c>
      <c r="D3553">
        <f>HYPERLINK("https://www.youtube.com/watch?v=XXshUEDo0Iw&amp;t=360s", "Go to time")</f>
        <v/>
      </c>
    </row>
    <row r="3554">
      <c r="A3554">
        <f>HYPERLINK("https://www.youtube.com/watch?v=urpxkLZEklc", "Video")</f>
        <v/>
      </c>
      <c r="B3554" t="inlineStr">
        <is>
          <t>3:46</t>
        </is>
      </c>
      <c r="C3554" t="inlineStr">
        <is>
          <t>you'll have a little bit of power when</t>
        </is>
      </c>
      <c r="D3554">
        <f>HYPERLINK("https://www.youtube.com/watch?v=urpxkLZEklc&amp;t=226s", "Go to time")</f>
        <v/>
      </c>
    </row>
    <row r="3555">
      <c r="A3555">
        <f>HYPERLINK("https://www.youtube.com/watch?v=urpxkLZEklc", "Video")</f>
        <v/>
      </c>
      <c r="B3555" t="inlineStr">
        <is>
          <t>5:33</t>
        </is>
      </c>
      <c r="C3555" t="inlineStr">
        <is>
          <t>side is a little bit harder right I'm a</t>
        </is>
      </c>
      <c r="D3555">
        <f>HYPERLINK("https://www.youtube.com/watch?v=urpxkLZEklc&amp;t=333s", "Go to time")</f>
        <v/>
      </c>
    </row>
    <row r="3556">
      <c r="A3556">
        <f>HYPERLINK("https://www.youtube.com/watch?v=xWKtw4uwZXk", "Video")</f>
        <v/>
      </c>
      <c r="B3556" t="inlineStr">
        <is>
          <t>1:25</t>
        </is>
      </c>
      <c r="C3556" t="inlineStr">
        <is>
          <t>to help achieve some
small bit of progress.</t>
        </is>
      </c>
      <c r="D3556">
        <f>HYPERLINK("https://www.youtube.com/watch?v=xWKtw4uwZXk&amp;t=85s", "Go to time")</f>
        <v/>
      </c>
    </row>
    <row r="3557">
      <c r="A3557">
        <f>HYPERLINK("https://www.youtube.com/watch?v=xWKtw4uwZXk", "Video")</f>
        <v/>
      </c>
      <c r="B3557" t="inlineStr">
        <is>
          <t>9:59</t>
        </is>
      </c>
      <c r="C3557" t="inlineStr">
        <is>
          <t>ADI IGNATIUS:
Laura, the last bit</t>
        </is>
      </c>
      <c r="D3557">
        <f>HYPERLINK("https://www.youtube.com/watch?v=xWKtw4uwZXk&amp;t=599s", "Go to time")</f>
        <v/>
      </c>
    </row>
    <row r="3558">
      <c r="A3558">
        <f>HYPERLINK("https://www.youtube.com/watch?v=xWKtw4uwZXk", "Video")</f>
        <v/>
      </c>
      <c r="B3558" t="inlineStr">
        <is>
          <t>12:22</t>
        </is>
      </c>
      <c r="C3558" t="inlineStr">
        <is>
          <t>So it's a bit different now in
terms of the scale and scope.</t>
        </is>
      </c>
      <c r="D3558">
        <f>HYPERLINK("https://www.youtube.com/watch?v=xWKtw4uwZXk&amp;t=742s", "Go to time")</f>
        <v/>
      </c>
    </row>
    <row r="3559">
      <c r="A3559">
        <f>HYPERLINK("https://www.youtube.com/watch?v=xWKtw4uwZXk", "Video")</f>
        <v/>
      </c>
      <c r="B3559" t="inlineStr">
        <is>
          <t>21:41</t>
        </is>
      </c>
      <c r="C3559" t="inlineStr">
        <is>
          <t>I mean, in the article, you
talk a little bit about I</t>
        </is>
      </c>
      <c r="D3559">
        <f>HYPERLINK("https://www.youtube.com/watch?v=xWKtw4uwZXk&amp;t=1301s", "Go to time")</f>
        <v/>
      </c>
    </row>
    <row r="3560">
      <c r="A3560">
        <f>HYPERLINK("https://www.youtube.com/watch?v=xWKtw4uwZXk", "Video")</f>
        <v/>
      </c>
      <c r="B3560" t="inlineStr">
        <is>
          <t>22:46</t>
        </is>
      </c>
      <c r="C3560" t="inlineStr">
        <is>
          <t>are a bit more palatable.</t>
        </is>
      </c>
      <c r="D3560">
        <f>HYPERLINK("https://www.youtube.com/watch?v=xWKtw4uwZXk&amp;t=1366s", "Go to time")</f>
        <v/>
      </c>
    </row>
    <row r="3561">
      <c r="A3561">
        <f>HYPERLINK("https://www.youtube.com/watch?v=xWKtw4uwZXk", "Video")</f>
        <v/>
      </c>
      <c r="B3561" t="inlineStr">
        <is>
          <t>25:02</t>
        </is>
      </c>
      <c r="C3561" t="inlineStr">
        <is>
          <t>to who has a little bit
more power than you?</t>
        </is>
      </c>
      <c r="D3561">
        <f>HYPERLINK("https://www.youtube.com/watch?v=xWKtw4uwZXk&amp;t=1502s", "Go to time")</f>
        <v/>
      </c>
    </row>
    <row r="3562">
      <c r="A3562">
        <f>HYPERLINK("https://www.youtube.com/watch?v=xWKtw4uwZXk", "Video")</f>
        <v/>
      </c>
      <c r="B3562" t="inlineStr">
        <is>
          <t>30:45</t>
        </is>
      </c>
      <c r="C3562" t="inlineStr">
        <is>
          <t>But let me give you a little
bit of feedback on this message.</t>
        </is>
      </c>
      <c r="D3562">
        <f>HYPERLINK("https://www.youtube.com/watch?v=xWKtw4uwZXk&amp;t=1845s", "Go to time")</f>
        <v/>
      </c>
    </row>
    <row r="3563">
      <c r="A3563">
        <f>HYPERLINK("https://www.youtube.com/watch?v=xWKtw4uwZXk", "Video")</f>
        <v/>
      </c>
      <c r="B3563" t="inlineStr">
        <is>
          <t>44:38</t>
        </is>
      </c>
      <c r="C3563" t="inlineStr">
        <is>
          <t>So the question of qualification
is often a bit of a fluke.</t>
        </is>
      </c>
      <c r="D3563">
        <f>HYPERLINK("https://www.youtube.com/watch?v=xWKtw4uwZXk&amp;t=2678s", "Go to time")</f>
        <v/>
      </c>
    </row>
    <row r="3564">
      <c r="A3564">
        <f>HYPERLINK("https://www.youtube.com/watch?v=jhtwqK3iOV8", "Video")</f>
        <v/>
      </c>
      <c r="B3564" t="inlineStr">
        <is>
          <t>0:52</t>
        </is>
      </c>
      <c r="C3564" t="inlineStr">
        <is>
          <t>little bit just like prepare</t>
        </is>
      </c>
      <c r="D3564">
        <f>HYPERLINK("https://www.youtube.com/watch?v=jhtwqK3iOV8&amp;t=52s", "Go to time")</f>
        <v/>
      </c>
    </row>
    <row r="3565">
      <c r="A3565">
        <f>HYPERLINK("https://www.youtube.com/watch?v=jhtwqK3iOV8", "Video")</f>
        <v/>
      </c>
      <c r="B3565" t="inlineStr">
        <is>
          <t>4:30</t>
        </is>
      </c>
      <c r="C3565" t="inlineStr">
        <is>
          <t>the reason is if you make that bit too</t>
        </is>
      </c>
      <c r="D3565">
        <f>HYPERLINK("https://www.youtube.com/watch?v=jhtwqK3iOV8&amp;t=270s", "Go to time")</f>
        <v/>
      </c>
    </row>
    <row r="3566">
      <c r="A3566">
        <f>HYPERLINK("https://www.youtube.com/watch?v=jhtwqK3iOV8", "Video")</f>
        <v/>
      </c>
      <c r="B3566" t="inlineStr">
        <is>
          <t>4:44</t>
        </is>
      </c>
      <c r="C3566" t="inlineStr">
        <is>
          <t>do a little bit of our work</t>
        </is>
      </c>
      <c r="D3566">
        <f>HYPERLINK("https://www.youtube.com/watch?v=jhtwqK3iOV8&amp;t=284s", "Go to time")</f>
        <v/>
      </c>
    </row>
    <row r="3567">
      <c r="A3567">
        <f>HYPERLINK("https://www.youtube.com/watch?v=jhtwqK3iOV8", "Video")</f>
        <v/>
      </c>
      <c r="B3567" t="inlineStr">
        <is>
          <t>9:49</t>
        </is>
      </c>
      <c r="C3567" t="inlineStr">
        <is>
          <t>i felt a little bit like this is a lot</t>
        </is>
      </c>
      <c r="D3567">
        <f>HYPERLINK("https://www.youtube.com/watch?v=jhtwqK3iOV8&amp;t=589s", "Go to time")</f>
        <v/>
      </c>
    </row>
    <row r="3568">
      <c r="A3568">
        <f>HYPERLINK("https://www.youtube.com/watch?v=mrVbkfnZyDw", "Video")</f>
        <v/>
      </c>
      <c r="B3568" t="inlineStr">
        <is>
          <t>17:57</t>
        </is>
      </c>
      <c r="C3568" t="inlineStr">
        <is>
          <t>Unions will need to be a
bit more agile in working</t>
        </is>
      </c>
      <c r="D3568">
        <f>HYPERLINK("https://www.youtube.com/watch?v=mrVbkfnZyDw&amp;t=1077s", "Go to time")</f>
        <v/>
      </c>
    </row>
    <row r="3569">
      <c r="A3569">
        <f>HYPERLINK("https://www.youtube.com/watch?v=r0qpJxEhOP4", "Video")</f>
        <v/>
      </c>
      <c r="B3569" t="inlineStr">
        <is>
          <t>2:16</t>
        </is>
      </c>
      <c r="C3569" t="inlineStr">
        <is>
          <t>organizations that exhibit a growth</t>
        </is>
      </c>
      <c r="D3569">
        <f>HYPERLINK("https://www.youtube.com/watch?v=r0qpJxEhOP4&amp;t=136s", "Go to time")</f>
        <v/>
      </c>
    </row>
    <row r="3570">
      <c r="A3570">
        <f>HYPERLINK("https://www.youtube.com/watch?v=r0qpJxEhOP4", "Video")</f>
        <v/>
      </c>
      <c r="B3570" t="inlineStr">
        <is>
          <t>3:04</t>
        </is>
      </c>
      <c r="C3570" t="inlineStr">
        <is>
          <t>that inhibits growth</t>
        </is>
      </c>
      <c r="D3570">
        <f>HYPERLINK("https://www.youtube.com/watch?v=r0qpJxEhOP4&amp;t=184s", "Go to time")</f>
        <v/>
      </c>
    </row>
    <row r="3571">
      <c r="A3571">
        <f>HYPERLINK("https://www.youtube.com/watch?v=HQUWdUCWeq0", "Video")</f>
        <v/>
      </c>
      <c r="B3571" t="inlineStr">
        <is>
          <t>1:48</t>
        </is>
      </c>
      <c r="C3571" t="inlineStr">
        <is>
          <t>Narcissism can be a bit
of a double-edged sword.</t>
        </is>
      </c>
      <c r="D3571">
        <f>HYPERLINK("https://www.youtube.com/watch?v=HQUWdUCWeq0&amp;t=108s", "Go to time")</f>
        <v/>
      </c>
    </row>
    <row r="3572">
      <c r="A3572">
        <f>HYPERLINK("https://www.youtube.com/watch?v=HQUWdUCWeq0", "Video")</f>
        <v/>
      </c>
      <c r="B3572" t="inlineStr">
        <is>
          <t>6:47</t>
        </is>
      </c>
      <c r="C3572" t="inlineStr">
        <is>
          <t>with a little bit of
constructive negative critical</t>
        </is>
      </c>
      <c r="D3572">
        <f>HYPERLINK("https://www.youtube.com/watch?v=HQUWdUCWeq0&amp;t=407s", "Go to time")</f>
        <v/>
      </c>
    </row>
    <row r="3573">
      <c r="A3573">
        <f>HYPERLINK("https://www.youtube.com/watch?v=B8mQvdYodS8", "Video")</f>
        <v/>
      </c>
      <c r="B3573" t="inlineStr">
        <is>
          <t>4:45</t>
        </is>
      </c>
      <c r="C3573" t="inlineStr">
        <is>
          <t>it back a bit and just give this whole</t>
        </is>
      </c>
      <c r="D3573">
        <f>HYPERLINK("https://www.youtube.com/watch?v=B8mQvdYodS8&amp;t=285s", "Go to time")</f>
        <v/>
      </c>
    </row>
    <row r="3574">
      <c r="A3574">
        <f>HYPERLINK("https://www.youtube.com/watch?v=i4hb1TnAlJM", "Video")</f>
        <v/>
      </c>
      <c r="B3574" t="inlineStr">
        <is>
          <t>0:52</t>
        </is>
      </c>
      <c r="C3574" t="inlineStr">
        <is>
          <t>my teeth a little bit I do get a little</t>
        </is>
      </c>
      <c r="D3574">
        <f>HYPERLINK("https://www.youtube.com/watch?v=i4hb1TnAlJM&amp;t=52s", "Go to time")</f>
        <v/>
      </c>
    </row>
    <row r="3575">
      <c r="A3575">
        <f>HYPERLINK("https://www.youtube.com/watch?v=i4hb1TnAlJM", "Video")</f>
        <v/>
      </c>
      <c r="B3575" t="inlineStr">
        <is>
          <t>0:54</t>
        </is>
      </c>
      <c r="C3575" t="inlineStr">
        <is>
          <t>bit of that tightness in the chest but</t>
        </is>
      </c>
      <c r="D3575">
        <f>HYPERLINK("https://www.youtube.com/watch?v=i4hb1TnAlJM&amp;t=54s", "Go to time")</f>
        <v/>
      </c>
    </row>
    <row r="3576">
      <c r="A3576">
        <f>HYPERLINK("https://www.youtube.com/watch?v=i4hb1TnAlJM", "Video")</f>
        <v/>
      </c>
      <c r="B3576" t="inlineStr">
        <is>
          <t>1:23</t>
        </is>
      </c>
      <c r="C3576" t="inlineStr">
        <is>
          <t>we'll hear more from them a bit later</t>
        </is>
      </c>
      <c r="D3576">
        <f>HYPERLINK("https://www.youtube.com/watch?v=i4hb1TnAlJM&amp;t=83s", "Go to time")</f>
        <v/>
      </c>
    </row>
    <row r="3577">
      <c r="A3577">
        <f>HYPERLINK("https://www.youtube.com/watch?v=i4hb1TnAlJM", "Video")</f>
        <v/>
      </c>
      <c r="B3577" t="inlineStr">
        <is>
          <t>14:57</t>
        </is>
      </c>
      <c r="C3577" t="inlineStr">
        <is>
          <t>little bit about each of them</t>
        </is>
      </c>
      <c r="D3577">
        <f>HYPERLINK("https://www.youtube.com/watch?v=i4hb1TnAlJM&amp;t=897s", "Go to time")</f>
        <v/>
      </c>
    </row>
    <row r="3578">
      <c r="A3578">
        <f>HYPERLINK("https://www.youtube.com/watch?v=i4hb1TnAlJM", "Video")</f>
        <v/>
      </c>
      <c r="B3578" t="inlineStr">
        <is>
          <t>15:14</t>
        </is>
      </c>
      <c r="C3578" t="inlineStr">
        <is>
          <t>to when I want to get a little bit deep</t>
        </is>
      </c>
      <c r="D3578">
        <f>HYPERLINK("https://www.youtube.com/watch?v=i4hb1TnAlJM&amp;t=914s", "Go to time")</f>
        <v/>
      </c>
    </row>
    <row r="3579">
      <c r="A3579">
        <f>HYPERLINK("https://www.youtube.com/watch?v=i4hb1TnAlJM", "Video")</f>
        <v/>
      </c>
      <c r="B3579" t="inlineStr">
        <is>
          <t>25:03</t>
        </is>
      </c>
      <c r="C3579" t="inlineStr">
        <is>
          <t>just stretch myself a little bit more I</t>
        </is>
      </c>
      <c r="D3579">
        <f>HYPERLINK("https://www.youtube.com/watch?v=i4hb1TnAlJM&amp;t=1503s", "Go to time")</f>
        <v/>
      </c>
    </row>
    <row r="3580">
      <c r="A3580">
        <f>HYPERLINK("https://www.youtube.com/watch?v=0RNmy2aE-cE", "Video")</f>
        <v/>
      </c>
      <c r="B3580" t="inlineStr">
        <is>
          <t>3:38</t>
        </is>
      </c>
      <c r="C3580" t="inlineStr">
        <is>
          <t>She also sounds a little
bit like the tormentor,</t>
        </is>
      </c>
      <c r="D3580">
        <f>HYPERLINK("https://www.youtube.com/watch?v=0RNmy2aE-cE&amp;t=218s", "Go to time")</f>
        <v/>
      </c>
    </row>
    <row r="3581">
      <c r="A3581">
        <f>HYPERLINK("https://www.youtube.com/watch?v=0RNmy2aE-cE", "Video")</f>
        <v/>
      </c>
      <c r="B3581" t="inlineStr">
        <is>
          <t>3:40</t>
        </is>
      </c>
      <c r="C3581" t="inlineStr">
        <is>
          <t>which I think we're going to
talk about a little bit later.</t>
        </is>
      </c>
      <c r="D3581">
        <f>HYPERLINK("https://www.youtube.com/watch?v=0RNmy2aE-cE&amp;t=220s", "Go to time")</f>
        <v/>
      </c>
    </row>
    <row r="3582">
      <c r="A3582">
        <f>HYPERLINK("https://www.youtube.com/watch?v=0RNmy2aE-cE", "Video")</f>
        <v/>
      </c>
      <c r="B3582" t="inlineStr">
        <is>
          <t>4:04</t>
        </is>
      </c>
      <c r="C3582" t="inlineStr">
        <is>
          <t>to call her out a little
bit on the behavior.</t>
        </is>
      </c>
      <c r="D3582">
        <f>HYPERLINK("https://www.youtube.com/watch?v=0RNmy2aE-cE&amp;t=244s", "Go to time")</f>
        <v/>
      </c>
    </row>
    <row r="3583">
      <c r="A3583">
        <f>HYPERLINK("https://www.youtube.com/watch?v=0RNmy2aE-cE", "Video")</f>
        <v/>
      </c>
      <c r="B3583" t="inlineStr">
        <is>
          <t>5:05</t>
        </is>
      </c>
      <c r="C3583" t="inlineStr">
        <is>
          <t>loosens a little bit of the
friction that often happens.</t>
        </is>
      </c>
      <c r="D3583">
        <f>HYPERLINK("https://www.youtube.com/watch?v=0RNmy2aE-cE&amp;t=305s", "Go to time")</f>
        <v/>
      </c>
    </row>
    <row r="3584">
      <c r="A3584">
        <f>HYPERLINK("https://www.youtube.com/watch?v=0RNmy2aE-cE", "Video")</f>
        <v/>
      </c>
      <c r="B3584" t="inlineStr">
        <is>
          <t>5:11</t>
        </is>
      </c>
      <c r="C3584" t="inlineStr">
        <is>
          <t>might have also found a way to
wield a little bit more power.</t>
        </is>
      </c>
      <c r="D3584">
        <f>HYPERLINK("https://www.youtube.com/watch?v=0RNmy2aE-cE&amp;t=311s", "Go to time")</f>
        <v/>
      </c>
    </row>
    <row r="3585">
      <c r="A3585">
        <f>HYPERLINK("https://www.youtube.com/watch?v=0RNmy2aE-cE", "Video")</f>
        <v/>
      </c>
      <c r="B3585" t="inlineStr">
        <is>
          <t>8:38</t>
        </is>
      </c>
      <c r="C3585" t="inlineStr">
        <is>
          <t>have exhibited these behaviors.</t>
        </is>
      </c>
      <c r="D3585">
        <f>HYPERLINK("https://www.youtube.com/watch?v=0RNmy2aE-cE&amp;t=518s", "Go to time")</f>
        <v/>
      </c>
    </row>
    <row r="3586">
      <c r="A3586">
        <f>HYPERLINK("https://www.youtube.com/watch?v=0RNmy2aE-cE", "Video")</f>
        <v/>
      </c>
      <c r="B3586" t="inlineStr">
        <is>
          <t>15:19</t>
        </is>
      </c>
      <c r="C3586" t="inlineStr">
        <is>
          <t>Could you give me a little bit
of advice about how to do that.</t>
        </is>
      </c>
      <c r="D3586">
        <f>HYPERLINK("https://www.youtube.com/watch?v=0RNmy2aE-cE&amp;t=919s", "Go to time")</f>
        <v/>
      </c>
    </row>
    <row r="3587">
      <c r="A3587">
        <f>HYPERLINK("https://www.youtube.com/watch?v=0RNmy2aE-cE", "Video")</f>
        <v/>
      </c>
      <c r="B3587" t="inlineStr">
        <is>
          <t>19:37</t>
        </is>
      </c>
      <c r="C3587" t="inlineStr">
        <is>
          <t>AMY GALLO: A little bit, yeah.</t>
        </is>
      </c>
      <c r="D3587">
        <f>HYPERLINK("https://www.youtube.com/watch?v=0RNmy2aE-cE&amp;t=1177s", "Go to time")</f>
        <v/>
      </c>
    </row>
    <row r="3588">
      <c r="A3588">
        <f>HYPERLINK("https://www.youtube.com/watch?v=0RNmy2aE-cE", "Video")</f>
        <v/>
      </c>
      <c r="B3588" t="inlineStr">
        <is>
          <t>21:34</t>
        </is>
      </c>
      <c r="C3588" t="inlineStr">
        <is>
          <t>I did wow a bit and
I may have guffawed.</t>
        </is>
      </c>
      <c r="D3588">
        <f>HYPERLINK("https://www.youtube.com/watch?v=0RNmy2aE-cE&amp;t=1294s", "Go to time")</f>
        <v/>
      </c>
    </row>
    <row r="3589">
      <c r="A3589">
        <f>HYPERLINK("https://www.youtube.com/watch?v=0RNmy2aE-cE", "Video")</f>
        <v/>
      </c>
      <c r="B3589" t="inlineStr">
        <is>
          <t>22:31</t>
        </is>
      </c>
      <c r="C3589" t="inlineStr">
        <is>
          <t>of person exhibiting
that type of behavior.</t>
        </is>
      </c>
      <c r="D3589">
        <f>HYPERLINK("https://www.youtube.com/watch?v=0RNmy2aE-cE&amp;t=1351s", "Go to time")</f>
        <v/>
      </c>
    </row>
    <row r="3590">
      <c r="A3590">
        <f>HYPERLINK("https://www.youtube.com/watch?v=0RNmy2aE-cE", "Video")</f>
        <v/>
      </c>
      <c r="B3590" t="inlineStr">
        <is>
          <t>24:22</t>
        </is>
      </c>
      <c r="C3590" t="inlineStr">
        <is>
          <t>so, Maureen, I'm a
little bit afraid</t>
        </is>
      </c>
      <c r="D3590">
        <f>HYPERLINK("https://www.youtube.com/watch?v=0RNmy2aE-cE&amp;t=1462s", "Go to time")</f>
        <v/>
      </c>
    </row>
    <row r="3591">
      <c r="A3591">
        <f>HYPERLINK("https://www.youtube.com/watch?v=0RNmy2aE-cE", "Video")</f>
        <v/>
      </c>
      <c r="B3591" t="inlineStr">
        <is>
          <t>27:22</t>
        </is>
      </c>
      <c r="C3591" t="inlineStr">
        <is>
          <t>That can calm that
down a little bit.</t>
        </is>
      </c>
      <c r="D3591">
        <f>HYPERLINK("https://www.youtube.com/watch?v=0RNmy2aE-cE&amp;t=1642s", "Go to time")</f>
        <v/>
      </c>
    </row>
    <row r="3592">
      <c r="A3592">
        <f>HYPERLINK("https://www.youtube.com/watch?v=0RNmy2aE-cE", "Video")</f>
        <v/>
      </c>
      <c r="B3592" t="inlineStr">
        <is>
          <t>29:11</t>
        </is>
      </c>
      <c r="C3592" t="inlineStr">
        <is>
          <t>where I'm a little bit anxious
about this and less patient.</t>
        </is>
      </c>
      <c r="D3592">
        <f>HYPERLINK("https://www.youtube.com/watch?v=0RNmy2aE-cE&amp;t=1751s", "Go to time")</f>
        <v/>
      </c>
    </row>
    <row r="3593">
      <c r="A3593">
        <f>HYPERLINK("https://www.youtube.com/watch?v=0RNmy2aE-cE", "Video")</f>
        <v/>
      </c>
      <c r="B3593" t="inlineStr">
        <is>
          <t>31:29</t>
        </is>
      </c>
      <c r="C3593" t="inlineStr">
        <is>
          <t>AUDIENCE: I'm hoping to
get a little bit of advice</t>
        </is>
      </c>
      <c r="D3593">
        <f>HYPERLINK("https://www.youtube.com/watch?v=0RNmy2aE-cE&amp;t=1889s", "Go to time")</f>
        <v/>
      </c>
    </row>
    <row r="3594">
      <c r="A3594">
        <f>HYPERLINK("https://www.youtube.com/watch?v=Rk1y7Yahtic", "Video")</f>
        <v/>
      </c>
      <c r="B3594" t="inlineStr">
        <is>
          <t>6:22</t>
        </is>
      </c>
      <c r="C3594" t="inlineStr">
        <is>
          <t>but can you talk a little bit more about</t>
        </is>
      </c>
      <c r="D3594">
        <f>HYPERLINK("https://www.youtube.com/watch?v=Rk1y7Yahtic&amp;t=382s", "Go to time")</f>
        <v/>
      </c>
    </row>
    <row r="3595">
      <c r="A3595">
        <f>HYPERLINK("https://www.youtube.com/watch?v=Rk1y7Yahtic", "Video")</f>
        <v/>
      </c>
      <c r="B3595" t="inlineStr">
        <is>
          <t>8:22</t>
        </is>
      </c>
      <c r="C3595" t="inlineStr">
        <is>
          <t>maybe share a little bit of that</t>
        </is>
      </c>
      <c r="D3595">
        <f>HYPERLINK("https://www.youtube.com/watch?v=Rk1y7Yahtic&amp;t=502s", "Go to time")</f>
        <v/>
      </c>
    </row>
    <row r="3596">
      <c r="A3596">
        <f>HYPERLINK("https://www.youtube.com/watch?v=Rk1y7Yahtic", "Video")</f>
        <v/>
      </c>
      <c r="B3596" t="inlineStr">
        <is>
          <t>24:27</t>
        </is>
      </c>
      <c r="C3596" t="inlineStr">
        <is>
          <t>quite a bit of work to say you're gonna</t>
        </is>
      </c>
      <c r="D3596">
        <f>HYPERLINK("https://www.youtube.com/watch?v=Rk1y7Yahtic&amp;t=1467s", "Go to time")</f>
        <v/>
      </c>
    </row>
    <row r="3597">
      <c r="A3597">
        <f>HYPERLINK("https://www.youtube.com/watch?v=bPBsnygQiXA", "Video")</f>
        <v/>
      </c>
      <c r="B3597" t="inlineStr">
        <is>
          <t>1:07</t>
        </is>
      </c>
      <c r="C3597" t="inlineStr">
        <is>
          <t>little bit more about Maura in addition</t>
        </is>
      </c>
      <c r="D3597">
        <f>HYPERLINK("https://www.youtube.com/watch?v=bPBsnygQiXA&amp;t=67s", "Go to time")</f>
        <v/>
      </c>
    </row>
    <row r="3598">
      <c r="A3598">
        <f>HYPERLINK("https://www.youtube.com/watch?v=bPBsnygQiXA", "Video")</f>
        <v/>
      </c>
      <c r="B3598" t="inlineStr">
        <is>
          <t>2:37</t>
        </is>
      </c>
      <c r="C3598" t="inlineStr">
        <is>
          <t>fluctuating a little bit like</t>
        </is>
      </c>
      <c r="D3598">
        <f>HYPERLINK("https://www.youtube.com/watch?v=bPBsnygQiXA&amp;t=157s", "Go to time")</f>
        <v/>
      </c>
    </row>
    <row r="3599">
      <c r="A3599">
        <f>HYPERLINK("https://www.youtube.com/watch?v=bPBsnygQiXA", "Video")</f>
        <v/>
      </c>
      <c r="B3599" t="inlineStr">
        <is>
          <t>5:01</t>
        </is>
      </c>
      <c r="C3599" t="inlineStr">
        <is>
          <t>me a little bit about what like what are</t>
        </is>
      </c>
      <c r="D3599">
        <f>HYPERLINK("https://www.youtube.com/watch?v=bPBsnygQiXA&amp;t=301s", "Go to time")</f>
        <v/>
      </c>
    </row>
    <row r="3600">
      <c r="A3600">
        <f>HYPERLINK("https://www.youtube.com/watch?v=bPBsnygQiXA", "Video")</f>
        <v/>
      </c>
      <c r="B3600" t="inlineStr">
        <is>
          <t>7:23</t>
        </is>
      </c>
      <c r="C3600" t="inlineStr">
        <is>
          <t>little bit about those those coping</t>
        </is>
      </c>
      <c r="D3600">
        <f>HYPERLINK("https://www.youtube.com/watch?v=bPBsnygQiXA&amp;t=443s", "Go to time")</f>
        <v/>
      </c>
    </row>
    <row r="3601">
      <c r="A3601">
        <f>HYPERLINK("https://www.youtube.com/watch?v=bPBsnygQiXA", "Video")</f>
        <v/>
      </c>
      <c r="B3601" t="inlineStr">
        <is>
          <t>8:56</t>
        </is>
      </c>
      <c r="C3601" t="inlineStr">
        <is>
          <t>the mindfulness mix with a little bit of</t>
        </is>
      </c>
      <c r="D3601">
        <f>HYPERLINK("https://www.youtube.com/watch?v=bPBsnygQiXA&amp;t=536s", "Go to time")</f>
        <v/>
      </c>
    </row>
    <row r="3602">
      <c r="A3602">
        <f>HYPERLINK("https://www.youtube.com/watch?v=bPBsnygQiXA", "Video")</f>
        <v/>
      </c>
      <c r="B3602" t="inlineStr">
        <is>
          <t>14:44</t>
        </is>
      </c>
      <c r="C3602" t="inlineStr">
        <is>
          <t>out of work for a little bit because of</t>
        </is>
      </c>
      <c r="D3602">
        <f>HYPERLINK("https://www.youtube.com/watch?v=bPBsnygQiXA&amp;t=884s", "Go to time")</f>
        <v/>
      </c>
    </row>
    <row r="3603">
      <c r="A3603">
        <f>HYPERLINK("https://www.youtube.com/watch?v=bPBsnygQiXA", "Video")</f>
        <v/>
      </c>
      <c r="B3603" t="inlineStr">
        <is>
          <t>15:41</t>
        </is>
      </c>
      <c r="C3603" t="inlineStr">
        <is>
          <t>spiral it opens up a little bit of space</t>
        </is>
      </c>
      <c r="D3603">
        <f>HYPERLINK("https://www.youtube.com/watch?v=bPBsnygQiXA&amp;t=941s", "Go to time")</f>
        <v/>
      </c>
    </row>
    <row r="3604">
      <c r="A3604">
        <f>HYPERLINK("https://www.youtube.com/watch?v=bPBsnygQiXA", "Video")</f>
        <v/>
      </c>
      <c r="B3604" t="inlineStr">
        <is>
          <t>17:09</t>
        </is>
      </c>
      <c r="C3604" t="inlineStr">
        <is>
          <t>a little bit about anxiety and work and</t>
        </is>
      </c>
      <c r="D3604">
        <f>HYPERLINK("https://www.youtube.com/watch?v=bPBsnygQiXA&amp;t=1029s", "Go to time")</f>
        <v/>
      </c>
    </row>
    <row r="3605">
      <c r="A3605">
        <f>HYPERLINK("https://www.youtube.com/watch?v=bPBsnygQiXA", "Video")</f>
        <v/>
      </c>
      <c r="B3605" t="inlineStr">
        <is>
          <t>24:51</t>
        </is>
      </c>
      <c r="C3605" t="inlineStr">
        <is>
          <t>you're a little bit the float you know</t>
        </is>
      </c>
      <c r="D3605">
        <f>HYPERLINK("https://www.youtube.com/watch?v=bPBsnygQiXA&amp;t=1491s", "Go to time")</f>
        <v/>
      </c>
    </row>
    <row r="3606">
      <c r="A3606">
        <f>HYPERLINK("https://www.youtube.com/watch?v=bPBsnygQiXA", "Video")</f>
        <v/>
      </c>
      <c r="B3606" t="inlineStr">
        <is>
          <t>25:10</t>
        </is>
      </c>
      <c r="C3606" t="inlineStr">
        <is>
          <t>I want to ask a little bit more about</t>
        </is>
      </c>
      <c r="D3606">
        <f>HYPERLINK("https://www.youtube.com/watch?v=bPBsnygQiXA&amp;t=1510s", "Go to time")</f>
        <v/>
      </c>
    </row>
    <row r="3607">
      <c r="A3607">
        <f>HYPERLINK("https://www.youtube.com/watch?v=bPBsnygQiXA", "Video")</f>
        <v/>
      </c>
      <c r="B3607" t="inlineStr">
        <is>
          <t>31:28</t>
        </is>
      </c>
      <c r="C3607" t="inlineStr">
        <is>
          <t>yeah I want to ask a little bit about</t>
        </is>
      </c>
      <c r="D3607">
        <f>HYPERLINK("https://www.youtube.com/watch?v=bPBsnygQiXA&amp;t=1888s", "Go to time")</f>
        <v/>
      </c>
    </row>
    <row r="3608">
      <c r="A3608">
        <f>HYPERLINK("https://www.youtube.com/watch?v=2vGLLhMhRsQ", "Video")</f>
        <v/>
      </c>
      <c r="B3608" t="inlineStr">
        <is>
          <t>6:57</t>
        </is>
      </c>
      <c r="C3608" t="inlineStr">
        <is>
          <t>At certain stages they were
like, OK, back off a bit.</t>
        </is>
      </c>
      <c r="D3608">
        <f>HYPERLINK("https://www.youtube.com/watch?v=2vGLLhMhRsQ&amp;t=417s", "Go to time")</f>
        <v/>
      </c>
    </row>
    <row r="3609">
      <c r="A3609">
        <f>HYPERLINK("https://www.youtube.com/watch?v=2vGLLhMhRsQ", "Video")</f>
        <v/>
      </c>
      <c r="B3609" t="inlineStr">
        <is>
          <t>8:31</t>
        </is>
      </c>
      <c r="C3609" t="inlineStr">
        <is>
          <t>ANITA ELBERSE: But still
a bit of a control freak?</t>
        </is>
      </c>
      <c r="D3609">
        <f>HYPERLINK("https://www.youtube.com/watch?v=2vGLLhMhRsQ&amp;t=511s", "Go to time")</f>
        <v/>
      </c>
    </row>
    <row r="3610">
      <c r="A3610">
        <f>HYPERLINK("https://www.youtube.com/watch?v=2vGLLhMhRsQ", "Video")</f>
        <v/>
      </c>
      <c r="B3610" t="inlineStr">
        <is>
          <t>8:41</t>
        </is>
      </c>
      <c r="C3610" t="inlineStr">
        <is>
          <t>I have to just dial myself
back a little bit and trust.</t>
        </is>
      </c>
      <c r="D3610">
        <f>HYPERLINK("https://www.youtube.com/watch?v=2vGLLhMhRsQ&amp;t=521s", "Go to time")</f>
        <v/>
      </c>
    </row>
    <row r="3611">
      <c r="A3611">
        <f>HYPERLINK("https://www.youtube.com/watch?v=BkpnimtcjaE", "Video")</f>
        <v/>
      </c>
      <c r="B3611" t="inlineStr">
        <is>
          <t>2:38</t>
        </is>
      </c>
      <c r="C3611" t="inlineStr">
        <is>
          <t>and just have a little
bit more fun with it.</t>
        </is>
      </c>
      <c r="D3611">
        <f>HYPERLINK("https://www.youtube.com/watch?v=BkpnimtcjaE&amp;t=158s", "Go to time")</f>
        <v/>
      </c>
    </row>
    <row r="3612">
      <c r="A3612">
        <f>HYPERLINK("https://www.youtube.com/watch?v=BkpnimtcjaE", "Video")</f>
        <v/>
      </c>
      <c r="B3612" t="inlineStr">
        <is>
          <t>3:04</t>
        </is>
      </c>
      <c r="C3612" t="inlineStr">
        <is>
          <t>to take my first bite right now.</t>
        </is>
      </c>
      <c r="D3612">
        <f>HYPERLINK("https://www.youtube.com/watch?v=BkpnimtcjaE&amp;t=184s", "Go to time")</f>
        <v/>
      </c>
    </row>
    <row r="3613">
      <c r="A3613">
        <f>HYPERLINK("https://www.youtube.com/watch?v=CvCiCfaUbRY", "Video")</f>
        <v/>
      </c>
      <c r="B3613" t="inlineStr">
        <is>
          <t>3:17</t>
        </is>
      </c>
      <c r="C3613" t="inlineStr">
        <is>
          <t>I think it's just a little bit too late</t>
        </is>
      </c>
      <c r="D3613">
        <f>HYPERLINK("https://www.youtube.com/watch?v=CvCiCfaUbRY&amp;t=197s", "Go to time")</f>
        <v/>
      </c>
    </row>
    <row r="3614">
      <c r="A3614">
        <f>HYPERLINK("https://www.youtube.com/watch?v=1cBoiDwRyi8", "Video")</f>
        <v/>
      </c>
      <c r="B3614" t="inlineStr">
        <is>
          <t>0:53</t>
        </is>
      </c>
      <c r="C3614" t="inlineStr">
        <is>
          <t>to talk a little bit about
where we are right now.</t>
        </is>
      </c>
      <c r="D3614">
        <f>HYPERLINK("https://www.youtube.com/watch?v=1cBoiDwRyi8&amp;t=53s", "Go to time")</f>
        <v/>
      </c>
    </row>
    <row r="3615">
      <c r="A3615">
        <f>HYPERLINK("https://www.youtube.com/watch?v=1cBoiDwRyi8", "Video")</f>
        <v/>
      </c>
      <c r="B3615" t="inlineStr">
        <is>
          <t>3:03</t>
        </is>
      </c>
      <c r="C3615" t="inlineStr">
        <is>
          <t>seem a little bit groundhog
day, a little bit repetitive.</t>
        </is>
      </c>
      <c r="D3615">
        <f>HYPERLINK("https://www.youtube.com/watch?v=1cBoiDwRyi8&amp;t=183s", "Go to time")</f>
        <v/>
      </c>
    </row>
    <row r="3616">
      <c r="A3616">
        <f>HYPERLINK("https://www.youtube.com/watch?v=1cBoiDwRyi8", "Video")</f>
        <v/>
      </c>
      <c r="B3616" t="inlineStr">
        <is>
          <t>4:58</t>
        </is>
      </c>
      <c r="C3616" t="inlineStr">
        <is>
          <t>Talk a little bit about how
are you handling the work life</t>
        </is>
      </c>
      <c r="D3616">
        <f>HYPERLINK("https://www.youtube.com/watch?v=1cBoiDwRyi8&amp;t=298s", "Go to time")</f>
        <v/>
      </c>
    </row>
    <row r="3617">
      <c r="A3617">
        <f>HYPERLINK("https://www.youtube.com/watch?v=1cBoiDwRyi8", "Video")</f>
        <v/>
      </c>
      <c r="B3617" t="inlineStr">
        <is>
          <t>9:29</t>
        </is>
      </c>
      <c r="C3617" t="inlineStr">
        <is>
          <t>process about cohabitating,
and being with other kids.</t>
        </is>
      </c>
      <c r="D3617">
        <f>HYPERLINK("https://www.youtube.com/watch?v=1cBoiDwRyi8&amp;t=569s", "Go to time")</f>
        <v/>
      </c>
    </row>
    <row r="3618">
      <c r="A3618">
        <f>HYPERLINK("https://www.youtube.com/watch?v=1cBoiDwRyi8", "Video")</f>
        <v/>
      </c>
      <c r="B3618" t="inlineStr">
        <is>
          <t>21:46</t>
        </is>
      </c>
      <c r="C3618" t="inlineStr">
        <is>
          <t>We'll try to get to
some in a little bit.</t>
        </is>
      </c>
      <c r="D3618">
        <f>HYPERLINK("https://www.youtube.com/watch?v=1cBoiDwRyi8&amp;t=1306s", "Go to time")</f>
        <v/>
      </c>
    </row>
    <row r="3619">
      <c r="A3619">
        <f>HYPERLINK("https://www.youtube.com/watch?v=1cBoiDwRyi8", "Video")</f>
        <v/>
      </c>
      <c r="B3619" t="inlineStr">
        <is>
          <t>34:59</t>
        </is>
      </c>
      <c r="C3619" t="inlineStr">
        <is>
          <t>we have a little bit of time.</t>
        </is>
      </c>
      <c r="D3619">
        <f>HYPERLINK("https://www.youtube.com/watch?v=1cBoiDwRyi8&amp;t=2099s", "Go to time")</f>
        <v/>
      </c>
    </row>
    <row r="3620">
      <c r="A3620">
        <f>HYPERLINK("https://www.youtube.com/watch?v=1cBoiDwRyi8", "Video")</f>
        <v/>
      </c>
      <c r="B3620" t="inlineStr">
        <is>
          <t>36:59</t>
        </is>
      </c>
      <c r="C3620" t="inlineStr">
        <is>
          <t>Because there are a lot of
habits in national security</t>
        </is>
      </c>
      <c r="D3620">
        <f>HYPERLINK("https://www.youtube.com/watch?v=1cBoiDwRyi8&amp;t=2219s", "Go to time")</f>
        <v/>
      </c>
    </row>
    <row r="3621">
      <c r="A3621">
        <f>HYPERLINK("https://www.youtube.com/watch?v=1cBoiDwRyi8", "Video")</f>
        <v/>
      </c>
      <c r="B3621" t="inlineStr">
        <is>
          <t>37:46</t>
        </is>
      </c>
      <c r="C3621" t="inlineStr">
        <is>
          <t>that something in the culture
was a little bit amiss,</t>
        </is>
      </c>
      <c r="D3621">
        <f>HYPERLINK("https://www.youtube.com/watch?v=1cBoiDwRyi8&amp;t=2266s", "Go to time")</f>
        <v/>
      </c>
    </row>
    <row r="3622">
      <c r="A3622">
        <f>HYPERLINK("https://www.youtube.com/watch?v=1cBoiDwRyi8", "Video")</f>
        <v/>
      </c>
      <c r="B3622" t="inlineStr">
        <is>
          <t>39:43</t>
        </is>
      </c>
      <c r="C3622" t="inlineStr">
        <is>
          <t>So The Last Dance has
been a little bit of a--</t>
        </is>
      </c>
      <c r="D3622">
        <f>HYPERLINK("https://www.youtube.com/watch?v=1cBoiDwRyi8&amp;t=2383s", "Go to time")</f>
        <v/>
      </c>
    </row>
    <row r="3623">
      <c r="A3623">
        <f>HYPERLINK("https://www.youtube.com/watch?v=1cBoiDwRyi8", "Video")</f>
        <v/>
      </c>
      <c r="B3623" t="inlineStr">
        <is>
          <t>40:10</t>
        </is>
      </c>
      <c r="C3623" t="inlineStr">
        <is>
          <t>He's a fanatic, but
he's a little bit</t>
        </is>
      </c>
      <c r="D3623">
        <f>HYPERLINK("https://www.youtube.com/watch?v=1cBoiDwRyi8&amp;t=2410s", "Go to time")</f>
        <v/>
      </c>
    </row>
    <row r="3624">
      <c r="A3624">
        <f>HYPERLINK("https://www.youtube.com/watch?v=1cBoiDwRyi8", "Video")</f>
        <v/>
      </c>
      <c r="B3624" t="inlineStr">
        <is>
          <t>41:48</t>
        </is>
      </c>
      <c r="C3624" t="inlineStr">
        <is>
          <t>a little bit better than sitting
through that long high school</t>
        </is>
      </c>
      <c r="D3624">
        <f>HYPERLINK("https://www.youtube.com/watch?v=1cBoiDwRyi8&amp;t=2508s", "Go to time")</f>
        <v/>
      </c>
    </row>
    <row r="3625">
      <c r="A3625">
        <f>HYPERLINK("https://www.youtube.com/watch?v=1cBoiDwRyi8", "Video")</f>
        <v/>
      </c>
      <c r="B3625" t="inlineStr">
        <is>
          <t>45:41</t>
        </is>
      </c>
      <c r="C3625" t="inlineStr">
        <is>
          <t>Adam will talk with us a little
bit about remote collaboration</t>
        </is>
      </c>
      <c r="D3625">
        <f>HYPERLINK("https://www.youtube.com/watch?v=1cBoiDwRyi8&amp;t=2741s", "Go to time")</f>
        <v/>
      </c>
    </row>
    <row r="3626">
      <c r="A3626">
        <f>HYPERLINK("https://www.youtube.com/watch?v=2Qc2ZEO5rjg", "Video")</f>
        <v/>
      </c>
      <c r="B3626" t="inlineStr">
        <is>
          <t>2:21</t>
        </is>
      </c>
      <c r="C3626" t="inlineStr">
        <is>
          <t>an ambitious sustainability
agenda at one of the world's</t>
        </is>
      </c>
      <c r="D3626">
        <f>HYPERLINK("https://www.youtube.com/watch?v=2Qc2ZEO5rjg&amp;t=141s", "Go to time")</f>
        <v/>
      </c>
    </row>
    <row r="3627">
      <c r="A3627">
        <f>HYPERLINK("https://www.youtube.com/watch?v=2Qc2ZEO5rjg", "Video")</f>
        <v/>
      </c>
      <c r="B3627" t="inlineStr">
        <is>
          <t>5:00</t>
        </is>
      </c>
      <c r="C3627" t="inlineStr">
        <is>
          <t>And I want to pressure
test that a little bit.</t>
        </is>
      </c>
      <c r="D3627">
        <f>HYPERLINK("https://www.youtube.com/watch?v=2Qc2ZEO5rjg&amp;t=300s", "Go to time")</f>
        <v/>
      </c>
    </row>
    <row r="3628">
      <c r="A3628">
        <f>HYPERLINK("https://www.youtube.com/watch?v=2Qc2ZEO5rjg", "Video")</f>
        <v/>
      </c>
      <c r="B3628" t="inlineStr">
        <is>
          <t>9:48</t>
        </is>
      </c>
      <c r="C3628" t="inlineStr">
        <is>
          <t>Talk a little bit--</t>
        </is>
      </c>
      <c r="D3628">
        <f>HYPERLINK("https://www.youtube.com/watch?v=2Qc2ZEO5rjg&amp;t=588s", "Go to time")</f>
        <v/>
      </c>
    </row>
    <row r="3629">
      <c r="A3629">
        <f>HYPERLINK("https://www.youtube.com/watch?v=2Qc2ZEO5rjg", "Video")</f>
        <v/>
      </c>
      <c r="B3629" t="inlineStr">
        <is>
          <t>10:14</t>
        </is>
      </c>
      <c r="C3629" t="inlineStr">
        <is>
          <t>So can you talk a
little bit about how</t>
        </is>
      </c>
      <c r="D3629">
        <f>HYPERLINK("https://www.youtube.com/watch?v=2Qc2ZEO5rjg&amp;t=614s", "Go to time")</f>
        <v/>
      </c>
    </row>
    <row r="3630">
      <c r="A3630">
        <f>HYPERLINK("https://www.youtube.com/watch?v=2Qc2ZEO5rjg", "Video")</f>
        <v/>
      </c>
      <c r="B3630" t="inlineStr">
        <is>
          <t>28:17</t>
        </is>
      </c>
      <c r="C3630" t="inlineStr">
        <is>
          <t>you a little bit about
the Brisbane Olympics.</t>
        </is>
      </c>
      <c r="D3630">
        <f>HYPERLINK("https://www.youtube.com/watch?v=2Qc2ZEO5rjg&amp;t=1697s", "Go to time")</f>
        <v/>
      </c>
    </row>
    <row r="3631">
      <c r="A3631">
        <f>HYPERLINK("https://www.youtube.com/watch?v=sXqDSekuNiY", "Video")</f>
        <v/>
      </c>
      <c r="B3631" t="inlineStr">
        <is>
          <t>7:06</t>
        </is>
      </c>
      <c r="C3631" t="inlineStr">
        <is>
          <t>Can you talk a little
bit what you mean by that</t>
        </is>
      </c>
      <c r="D3631">
        <f>HYPERLINK("https://www.youtube.com/watch?v=sXqDSekuNiY&amp;t=426s", "Go to time")</f>
        <v/>
      </c>
    </row>
    <row r="3632">
      <c r="A3632">
        <f>HYPERLINK("https://www.youtube.com/watch?v=sXqDSekuNiY", "Video")</f>
        <v/>
      </c>
      <c r="B3632" t="inlineStr">
        <is>
          <t>13:52</t>
        </is>
      </c>
      <c r="C3632" t="inlineStr">
        <is>
          <t>do as fast and as
ambitiously-- and they had</t>
        </is>
      </c>
      <c r="D3632">
        <f>HYPERLINK("https://www.youtube.com/watch?v=sXqDSekuNiY&amp;t=832s", "Go to time")</f>
        <v/>
      </c>
    </row>
    <row r="3633">
      <c r="A3633">
        <f>HYPERLINK("https://www.youtube.com/watch?v=ST8h_qR29qo", "Video")</f>
        <v/>
      </c>
      <c r="B3633" t="inlineStr">
        <is>
          <t>9:08</t>
        </is>
      </c>
      <c r="C3633" t="inlineStr">
        <is>
          <t>it's a little bit different
than this person is my manager.</t>
        </is>
      </c>
      <c r="D3633">
        <f>HYPERLINK("https://www.youtube.com/watch?v=ST8h_qR29qo&amp;t=548s", "Go to time")</f>
        <v/>
      </c>
    </row>
    <row r="3634">
      <c r="A3634">
        <f>HYPERLINK("https://www.youtube.com/watch?v=ST8h_qR29qo", "Video")</f>
        <v/>
      </c>
      <c r="B3634" t="inlineStr">
        <is>
          <t>13:27</t>
        </is>
      </c>
      <c r="C3634" t="inlineStr">
        <is>
          <t>And it might be ambiguous
for a little bit,</t>
        </is>
      </c>
      <c r="D3634">
        <f>HYPERLINK("https://www.youtube.com/watch?v=ST8h_qR29qo&amp;t=807s", "Go to time")</f>
        <v/>
      </c>
    </row>
    <row r="3635">
      <c r="A3635">
        <f>HYPERLINK("https://www.youtube.com/watch?v=ST8h_qR29qo", "Video")</f>
        <v/>
      </c>
      <c r="B3635" t="inlineStr">
        <is>
          <t>16:54</t>
        </is>
      </c>
      <c r="C3635" t="inlineStr">
        <is>
          <t>not performing, but
it's going a bit deeper.</t>
        </is>
      </c>
      <c r="D3635">
        <f>HYPERLINK("https://www.youtube.com/watch?v=ST8h_qR29qo&amp;t=1014s", "Go to time")</f>
        <v/>
      </c>
    </row>
    <row r="3636">
      <c r="A3636">
        <f>HYPERLINK("https://www.youtube.com/watch?v=ST8h_qR29qo", "Video")</f>
        <v/>
      </c>
      <c r="B3636" t="inlineStr">
        <is>
          <t>18:33</t>
        </is>
      </c>
      <c r="C3636" t="inlineStr">
        <is>
          <t>I certainly have my ambition.</t>
        </is>
      </c>
      <c r="D3636">
        <f>HYPERLINK("https://www.youtube.com/watch?v=ST8h_qR29qo&amp;t=1113s", "Go to time")</f>
        <v/>
      </c>
    </row>
    <row r="3637">
      <c r="A3637">
        <f>HYPERLINK("https://www.youtube.com/watch?v=ST8h_qR29qo", "Video")</f>
        <v/>
      </c>
      <c r="B3637" t="inlineStr">
        <is>
          <t>18:42</t>
        </is>
      </c>
      <c r="C3637" t="inlineStr">
        <is>
          <t>in this current moment,
my ambition is C-suite.</t>
        </is>
      </c>
      <c r="D3637">
        <f>HYPERLINK("https://www.youtube.com/watch?v=ST8h_qR29qo&amp;t=1122s", "Go to time")</f>
        <v/>
      </c>
    </row>
    <row r="3638">
      <c r="A3638">
        <f>HYPERLINK("https://www.youtube.com/watch?v=ST8h_qR29qo", "Video")</f>
        <v/>
      </c>
      <c r="B3638" t="inlineStr">
        <is>
          <t>19:24</t>
        </is>
      </c>
      <c r="C3638" t="inlineStr">
        <is>
          <t>As far as you know, it really
is a stepping stone or a bit</t>
        </is>
      </c>
      <c r="D3638">
        <f>HYPERLINK("https://www.youtube.com/watch?v=ST8h_qR29qo&amp;t=1164s", "Go to time")</f>
        <v/>
      </c>
    </row>
    <row r="3639">
      <c r="A3639">
        <f>HYPERLINK("https://www.youtube.com/watch?v=ST8h_qR29qo", "Video")</f>
        <v/>
      </c>
      <c r="B3639" t="inlineStr">
        <is>
          <t>46:26</t>
        </is>
      </c>
      <c r="C3639" t="inlineStr">
        <is>
          <t>That's a little bit
more sustainable to do.</t>
        </is>
      </c>
      <c r="D3639">
        <f>HYPERLINK("https://www.youtube.com/watch?v=ST8h_qR29qo&amp;t=2786s", "Go to time")</f>
        <v/>
      </c>
    </row>
    <row r="3640">
      <c r="A3640">
        <f>HYPERLINK("https://www.youtube.com/watch?v=ST8h_qR29qo", "Video")</f>
        <v/>
      </c>
      <c r="B3640" t="inlineStr">
        <is>
          <t>47:41</t>
        </is>
      </c>
      <c r="C3640" t="inlineStr">
        <is>
          <t>I've done this for
a little bit now.</t>
        </is>
      </c>
      <c r="D3640">
        <f>HYPERLINK("https://www.youtube.com/watch?v=ST8h_qR29qo&amp;t=2861s", "Go to time")</f>
        <v/>
      </c>
    </row>
    <row r="3641">
      <c r="A3641">
        <f>HYPERLINK("https://www.youtube.com/watch?v=ST8h_qR29qo", "Video")</f>
        <v/>
      </c>
      <c r="B3641" t="inlineStr">
        <is>
          <t>48:00</t>
        </is>
      </c>
      <c r="C3641" t="inlineStr">
        <is>
          <t>I do think I need to give
it a little bit more time.</t>
        </is>
      </c>
      <c r="D3641">
        <f>HYPERLINK("https://www.youtube.com/watch?v=ST8h_qR29qo&amp;t=2880s", "Go to time")</f>
        <v/>
      </c>
    </row>
    <row r="3642">
      <c r="A3642">
        <f>HYPERLINK("https://www.youtube.com/watch?v=ST8h_qR29qo", "Video")</f>
        <v/>
      </c>
      <c r="B3642" t="inlineStr">
        <is>
          <t>52:46</t>
        </is>
      </c>
      <c r="C3642" t="inlineStr">
        <is>
          <t>run a bit of a race.</t>
        </is>
      </c>
      <c r="D3642">
        <f>HYPERLINK("https://www.youtube.com/watch?v=ST8h_qR29qo&amp;t=3166s", "Go to time")</f>
        <v/>
      </c>
    </row>
    <row r="3643">
      <c r="A3643">
        <f>HYPERLINK("https://www.youtube.com/watch?v=d4dk5lr0B5A", "Video")</f>
        <v/>
      </c>
      <c r="B3643" t="inlineStr">
        <is>
          <t>1:33</t>
        </is>
      </c>
      <c r="C3643" t="inlineStr">
        <is>
          <t>projects that have a little bit more</t>
        </is>
      </c>
      <c r="D3643">
        <f>HYPERLINK("https://www.youtube.com/watch?v=d4dk5lr0B5A&amp;t=93s", "Go to time")</f>
        <v/>
      </c>
    </row>
    <row r="3644">
      <c r="A3644">
        <f>HYPERLINK("https://www.youtube.com/watch?v=d4dk5lr0B5A", "Video")</f>
        <v/>
      </c>
      <c r="B3644" t="inlineStr">
        <is>
          <t>4:59</t>
        </is>
      </c>
      <c r="C3644" t="inlineStr">
        <is>
          <t>had and you just said it a little bit</t>
        </is>
      </c>
      <c r="D3644">
        <f>HYPERLINK("https://www.youtube.com/watch?v=d4dk5lr0B5A&amp;t=299s", "Go to time")</f>
        <v/>
      </c>
    </row>
    <row r="3645">
      <c r="A3645">
        <f>HYPERLINK("https://www.youtube.com/watch?v=d4dk5lr0B5A", "Video")</f>
        <v/>
      </c>
      <c r="B3645" t="inlineStr">
        <is>
          <t>5:13</t>
        </is>
      </c>
      <c r="C3645" t="inlineStr">
        <is>
          <t>definitely a little bit uncomfortable</t>
        </is>
      </c>
      <c r="D3645">
        <f>HYPERLINK("https://www.youtube.com/watch?v=d4dk5lr0B5A&amp;t=313s", "Go to time")</f>
        <v/>
      </c>
    </row>
    <row r="3646">
      <c r="A3646">
        <f>HYPERLINK("https://www.youtube.com/watch?v=d4dk5lr0B5A", "Video")</f>
        <v/>
      </c>
      <c r="B3646" t="inlineStr">
        <is>
          <t>6:23</t>
        </is>
      </c>
      <c r="C3646" t="inlineStr">
        <is>
          <t>share your wins just a teeny tiny bit</t>
        </is>
      </c>
      <c r="D3646">
        <f>HYPERLINK("https://www.youtube.com/watch?v=d4dk5lr0B5A&amp;t=383s", "Go to time")</f>
        <v/>
      </c>
    </row>
    <row r="3647">
      <c r="A3647">
        <f>HYPERLINK("https://www.youtube.com/watch?v=Bnrf-al2ZVU", "Video")</f>
        <v/>
      </c>
      <c r="B3647" t="inlineStr">
        <is>
          <t>5:28</t>
        </is>
      </c>
      <c r="C3647" t="inlineStr">
        <is>
          <t>I wonder if you could maybe talk
a little bit about that flight,</t>
        </is>
      </c>
      <c r="D3647">
        <f>HYPERLINK("https://www.youtube.com/watch?v=Bnrf-al2ZVU&amp;t=328s", "Go to time")</f>
        <v/>
      </c>
    </row>
    <row r="3648">
      <c r="A3648">
        <f>HYPERLINK("https://www.youtube.com/watch?v=Bnrf-al2ZVU", "Video")</f>
        <v/>
      </c>
      <c r="B3648" t="inlineStr">
        <is>
          <t>6:51</t>
        </is>
      </c>
      <c r="C3648" t="inlineStr">
        <is>
          <t>Talk a little bit about
the origins of Boeing</t>
        </is>
      </c>
      <c r="D3648">
        <f>HYPERLINK("https://www.youtube.com/watch?v=Bnrf-al2ZVU&amp;t=411s", "Go to time")</f>
        <v/>
      </c>
    </row>
    <row r="3649">
      <c r="A3649">
        <f>HYPERLINK("https://www.youtube.com/watch?v=Bnrf-al2ZVU", "Video")</f>
        <v/>
      </c>
      <c r="B3649" t="inlineStr">
        <is>
          <t>10:48</t>
        </is>
      </c>
      <c r="C3649" t="inlineStr">
        <is>
          <t>You got there a little
bit faster, Brian.</t>
        </is>
      </c>
      <c r="D3649">
        <f>HYPERLINK("https://www.youtube.com/watch?v=Bnrf-al2ZVU&amp;t=648s", "Go to time")</f>
        <v/>
      </c>
    </row>
    <row r="3650">
      <c r="A3650">
        <f>HYPERLINK("https://www.youtube.com/watch?v=Bnrf-al2ZVU", "Video")</f>
        <v/>
      </c>
      <c r="B3650" t="inlineStr">
        <is>
          <t>18:36</t>
        </is>
      </c>
      <c r="C3650" t="inlineStr">
        <is>
          <t>and this is something you've
written quite a bit about.</t>
        </is>
      </c>
      <c r="D3650">
        <f>HYPERLINK("https://www.youtube.com/watch?v=Bnrf-al2ZVU&amp;t=1116s", "Go to time")</f>
        <v/>
      </c>
    </row>
    <row r="3651">
      <c r="A3651">
        <f>HYPERLINK("https://www.youtube.com/watch?v=FFzUt9xGEKE", "Video")</f>
        <v/>
      </c>
      <c r="B3651" t="inlineStr">
        <is>
          <t>1:54</t>
        </is>
      </c>
      <c r="C3651" t="inlineStr">
        <is>
          <t>tell me a little bit about
your own lives and career</t>
        </is>
      </c>
      <c r="D3651">
        <f>HYPERLINK("https://www.youtube.com/watch?v=FFzUt9xGEKE&amp;t=114s", "Go to time")</f>
        <v/>
      </c>
    </row>
    <row r="3652">
      <c r="A3652">
        <f>HYPERLINK("https://www.youtube.com/watch?v=FFzUt9xGEKE", "Video")</f>
        <v/>
      </c>
      <c r="B3652" t="inlineStr">
        <is>
          <t>23:13</t>
        </is>
      </c>
      <c r="C3652" t="inlineStr">
        <is>
          <t>think we see a bit of this
play out in Europe, as</t>
        </is>
      </c>
      <c r="D3652">
        <f>HYPERLINK("https://www.youtube.com/watch?v=FFzUt9xGEKE&amp;t=1393s", "Go to time")</f>
        <v/>
      </c>
    </row>
    <row r="3653">
      <c r="A3653">
        <f>HYPERLINK("https://www.youtube.com/watch?v=LoZ5zBxo1OE", "Video")</f>
        <v/>
      </c>
      <c r="B3653" t="inlineStr">
        <is>
          <t>1:06</t>
        </is>
      </c>
      <c r="C3653" t="inlineStr">
        <is>
          <t>as a little bit abrupt
and may make people</t>
        </is>
      </c>
      <c r="D3653">
        <f>HYPERLINK("https://www.youtube.com/watch?v=LoZ5zBxo1OE&amp;t=66s", "Go to time")</f>
        <v/>
      </c>
    </row>
    <row r="3654">
      <c r="A3654">
        <f>HYPERLINK("https://www.youtube.com/watch?v=LoZ5zBxo1OE", "Video")</f>
        <v/>
      </c>
      <c r="B3654" t="inlineStr">
        <is>
          <t>2:31</t>
        </is>
      </c>
      <c r="C3654" t="inlineStr">
        <is>
          <t>to be able to respond with
a little bit more clarity</t>
        </is>
      </c>
      <c r="D3654">
        <f>HYPERLINK("https://www.youtube.com/watch?v=LoZ5zBxo1OE&amp;t=151s", "Go to time")</f>
        <v/>
      </c>
    </row>
    <row r="3655">
      <c r="A3655">
        <f>HYPERLINK("https://www.youtube.com/watch?v=1kqZiBKwWa4", "Video")</f>
        <v/>
      </c>
      <c r="B3655" t="inlineStr">
        <is>
          <t>1:37</t>
        </is>
      </c>
      <c r="C3655" t="inlineStr">
        <is>
          <t>CHRISTINE LIU: If you just want
to, like, adopt better habits</t>
        </is>
      </c>
      <c r="D3655">
        <f>HYPERLINK("https://www.youtube.com/watch?v=1kqZiBKwWa4&amp;t=97s", "Go to time")</f>
        <v/>
      </c>
    </row>
    <row r="3656">
      <c r="A3656">
        <f>HYPERLINK("https://www.youtube.com/watch?v=1kqZiBKwWa4", "Video")</f>
        <v/>
      </c>
      <c r="B3656" t="inlineStr">
        <is>
          <t>2:39</t>
        </is>
      </c>
      <c r="C3656" t="inlineStr">
        <is>
          <t>goals and slashing
them into micro habits.</t>
        </is>
      </c>
      <c r="D3656">
        <f>HYPERLINK("https://www.youtube.com/watch?v=1kqZiBKwWa4&amp;t=159s", "Go to time")</f>
        <v/>
      </c>
    </row>
    <row r="3657">
      <c r="A3657">
        <f>HYPERLINK("https://www.youtube.com/watch?v=1kqZiBKwWa4", "Video")</f>
        <v/>
      </c>
      <c r="B3657" t="inlineStr">
        <is>
          <t>3:00</t>
        </is>
      </c>
      <c r="C3657" t="inlineStr">
        <is>
          <t>So to break it down
into a micro habit,</t>
        </is>
      </c>
      <c r="D3657">
        <f>HYPERLINK("https://www.youtube.com/watch?v=1kqZiBKwWa4&amp;t=180s", "Go to time")</f>
        <v/>
      </c>
    </row>
    <row r="3658">
      <c r="A3658">
        <f>HYPERLINK("https://www.youtube.com/watch?v=1kqZiBKwWa4", "Video")</f>
        <v/>
      </c>
      <c r="B3658" t="inlineStr">
        <is>
          <t>3:19</t>
        </is>
      </c>
      <c r="C3658" t="inlineStr">
        <is>
          <t>Now, that is a micro habit.</t>
        </is>
      </c>
      <c r="D3658">
        <f>HYPERLINK("https://www.youtube.com/watch?v=1kqZiBKwWa4&amp;t=199s", "Go to time")</f>
        <v/>
      </c>
    </row>
    <row r="3659">
      <c r="A3659">
        <f>HYPERLINK("https://www.youtube.com/watch?v=1kqZiBKwWa4", "Video")</f>
        <v/>
      </c>
      <c r="B3659" t="inlineStr">
        <is>
          <t>3:24</t>
        </is>
      </c>
      <c r="C3659" t="inlineStr">
        <is>
          <t>a micro habit for a reason.</t>
        </is>
      </c>
      <c r="D3659">
        <f>HYPERLINK("https://www.youtube.com/watch?v=1kqZiBKwWa4&amp;t=204s", "Go to time")</f>
        <v/>
      </c>
    </row>
    <row r="3660">
      <c r="A3660">
        <f>HYPERLINK("https://www.youtube.com/watch?v=1kqZiBKwWa4", "Video")</f>
        <v/>
      </c>
      <c r="B3660" t="inlineStr">
        <is>
          <t>4:56</t>
        </is>
      </c>
      <c r="C3660" t="inlineStr">
        <is>
          <t>are too narrow or
too ambitious, like,</t>
        </is>
      </c>
      <c r="D3660">
        <f>HYPERLINK("https://www.youtube.com/watch?v=1kqZiBKwWa4&amp;t=296s", "Go to time")</f>
        <v/>
      </c>
    </row>
    <row r="3661">
      <c r="A3661">
        <f>HYPERLINK("https://www.youtube.com/watch?v=AXI9Ni5uy4w", "Video")</f>
        <v/>
      </c>
      <c r="B3661" t="inlineStr">
        <is>
          <t>7:52</t>
        </is>
      </c>
      <c r="C3661" t="inlineStr">
        <is>
          <t>you talk about there's a second bite of</t>
        </is>
      </c>
      <c r="D3661">
        <f>HYPERLINK("https://www.youtube.com/watch?v=AXI9Ni5uy4w&amp;t=472s", "Go to time")</f>
        <v/>
      </c>
    </row>
    <row r="3662">
      <c r="A3662">
        <f>HYPERLINK("https://www.youtube.com/watch?v=AXI9Ni5uy4w", "Video")</f>
        <v/>
      </c>
      <c r="B3662" t="inlineStr">
        <is>
          <t>17:20</t>
        </is>
      </c>
      <c r="C3662" t="inlineStr">
        <is>
          <t>a little bit on the public private</t>
        </is>
      </c>
      <c r="D3662">
        <f>HYPERLINK("https://www.youtube.com/watch?v=AXI9Ni5uy4w&amp;t=1040s", "Go to time")</f>
        <v/>
      </c>
    </row>
    <row r="3663">
      <c r="A3663">
        <f>HYPERLINK("https://www.youtube.com/watch?v=AXI9Ni5uy4w", "Video")</f>
        <v/>
      </c>
      <c r="B3663" t="inlineStr">
        <is>
          <t>31:07</t>
        </is>
      </c>
      <c r="C3663" t="inlineStr">
        <is>
          <t>ambitious</t>
        </is>
      </c>
      <c r="D3663">
        <f>HYPERLINK("https://www.youtube.com/watch?v=AXI9Ni5uy4w&amp;t=1867s", "Go to time")</f>
        <v/>
      </c>
    </row>
    <row r="3664">
      <c r="A3664">
        <f>HYPERLINK("https://www.youtube.com/watch?v=AXI9Ni5uy4w", "Video")</f>
        <v/>
      </c>
      <c r="B3664" t="inlineStr">
        <is>
          <t>38:44</t>
        </is>
      </c>
      <c r="C3664" t="inlineStr">
        <is>
          <t>and then allowed these really ambitious</t>
        </is>
      </c>
      <c r="D3664">
        <f>HYPERLINK("https://www.youtube.com/watch?v=AXI9Ni5uy4w&amp;t=2324s", "Go to time")</f>
        <v/>
      </c>
    </row>
    <row r="3665">
      <c r="A3665">
        <f>HYPERLINK("https://www.youtube.com/watch?v=AXI9Ni5uy4w", "Video")</f>
        <v/>
      </c>
      <c r="B3665" t="inlineStr">
        <is>
          <t>51:17</t>
        </is>
      </c>
      <c r="C3665" t="inlineStr">
        <is>
          <t>little bit off topic from some of the</t>
        </is>
      </c>
      <c r="D3665">
        <f>HYPERLINK("https://www.youtube.com/watch?v=AXI9Ni5uy4w&amp;t=3077s", "Go to time")</f>
        <v/>
      </c>
    </row>
    <row r="3666">
      <c r="A3666">
        <f>HYPERLINK("https://www.youtube.com/watch?v=KeihgDkaB-Y", "Video")</f>
        <v/>
      </c>
      <c r="B3666" t="inlineStr">
        <is>
          <t>14:31</t>
        </is>
      </c>
      <c r="C3666" t="inlineStr">
        <is>
          <t>is I have a little bit of an
identity crisis right now.</t>
        </is>
      </c>
      <c r="D3666">
        <f>HYPERLINK("https://www.youtube.com/watch?v=KeihgDkaB-Y&amp;t=871s", "Go to time")</f>
        <v/>
      </c>
    </row>
    <row r="3667">
      <c r="A3667">
        <f>HYPERLINK("https://www.youtube.com/watch?v=KeihgDkaB-Y", "Video")</f>
        <v/>
      </c>
      <c r="B3667" t="inlineStr">
        <is>
          <t>15:54</t>
        </is>
      </c>
      <c r="C3667" t="inlineStr">
        <is>
          <t>for that little bit of--
it's maybe an empty feeling.</t>
        </is>
      </c>
      <c r="D3667">
        <f>HYPERLINK("https://www.youtube.com/watch?v=KeihgDkaB-Y&amp;t=954s", "Go to time")</f>
        <v/>
      </c>
    </row>
    <row r="3668">
      <c r="A3668">
        <f>HYPERLINK("https://www.youtube.com/watch?v=KeihgDkaB-Y", "Video")</f>
        <v/>
      </c>
      <c r="B3668" t="inlineStr">
        <is>
          <t>16:19</t>
        </is>
      </c>
      <c r="C3668" t="inlineStr">
        <is>
          <t>And right now I am struggling
with that a little bit.</t>
        </is>
      </c>
      <c r="D3668">
        <f>HYPERLINK("https://www.youtube.com/watch?v=KeihgDkaB-Y&amp;t=979s", "Go to time")</f>
        <v/>
      </c>
    </row>
    <row r="3669">
      <c r="A3669">
        <f>HYPERLINK("https://www.youtube.com/watch?v=KeihgDkaB-Y", "Video")</f>
        <v/>
      </c>
      <c r="B3669" t="inlineStr">
        <is>
          <t>19:18</t>
        </is>
      </c>
      <c r="C3669" t="inlineStr">
        <is>
          <t>And you start by a little bit
here and a little bit there.</t>
        </is>
      </c>
      <c r="D3669">
        <f>HYPERLINK("https://www.youtube.com/watch?v=KeihgDkaB-Y&amp;t=1158s", "Go to time")</f>
        <v/>
      </c>
    </row>
    <row r="3670">
      <c r="A3670">
        <f>HYPERLINK("https://www.youtube.com/watch?v=KeihgDkaB-Y", "Video")</f>
        <v/>
      </c>
      <c r="B3670" t="inlineStr">
        <is>
          <t>26:42</t>
        </is>
      </c>
      <c r="C3670" t="inlineStr">
        <is>
          <t>and maybe they're feeling
a little bit obsolete.</t>
        </is>
      </c>
      <c r="D3670">
        <f>HYPERLINK("https://www.youtube.com/watch?v=KeihgDkaB-Y&amp;t=1602s", "Go to time")</f>
        <v/>
      </c>
    </row>
    <row r="3671">
      <c r="A3671">
        <f>HYPERLINK("https://www.youtube.com/watch?v=KeihgDkaB-Y", "Video")</f>
        <v/>
      </c>
      <c r="B3671" t="inlineStr">
        <is>
          <t>33:34</t>
        </is>
      </c>
      <c r="C3671" t="inlineStr">
        <is>
          <t>where you're squeezed
out a little bit early</t>
        </is>
      </c>
      <c r="D3671">
        <f>HYPERLINK("https://www.youtube.com/watch?v=KeihgDkaB-Y&amp;t=2014s", "Go to time")</f>
        <v/>
      </c>
    </row>
    <row r="3672">
      <c r="A3672">
        <f>HYPERLINK("https://www.youtube.com/watch?v=KeihgDkaB-Y", "Video")</f>
        <v/>
      </c>
      <c r="B3672" t="inlineStr">
        <is>
          <t>33:41</t>
        </is>
      </c>
      <c r="C3672" t="inlineStr">
        <is>
          <t>So I think it's a little
bit of a delicate dance.</t>
        </is>
      </c>
      <c r="D3672">
        <f>HYPERLINK("https://www.youtube.com/watch?v=KeihgDkaB-Y&amp;t=2021s", "Go to time")</f>
        <v/>
      </c>
    </row>
    <row r="3673">
      <c r="A3673">
        <f>HYPERLINK("https://www.youtube.com/watch?v=KeihgDkaB-Y", "Video")</f>
        <v/>
      </c>
      <c r="B3673" t="inlineStr">
        <is>
          <t>42:46</t>
        </is>
      </c>
      <c r="C3673" t="inlineStr">
        <is>
          <t>I do feel like my life
feels a little bit</t>
        </is>
      </c>
      <c r="D3673">
        <f>HYPERLINK("https://www.youtube.com/watch?v=KeihgDkaB-Y&amp;t=2566s", "Go to time")</f>
        <v/>
      </c>
    </row>
    <row r="3674">
      <c r="A3674">
        <f>HYPERLINK("https://www.youtube.com/watch?v=rDvMWrjG0CY", "Video")</f>
        <v/>
      </c>
      <c r="B3674" t="inlineStr">
        <is>
          <t>3:55</t>
        </is>
      </c>
      <c r="C3674" t="inlineStr">
        <is>
          <t>And I think that was our first
sort of little bit of aha</t>
        </is>
      </c>
      <c r="D3674">
        <f>HYPERLINK("https://www.youtube.com/watch?v=rDvMWrjG0CY&amp;t=235s", "Go to time")</f>
        <v/>
      </c>
    </row>
    <row r="3675">
      <c r="A3675">
        <f>HYPERLINK("https://www.youtube.com/watch?v=JeNqF4aTB0E", "Video")</f>
        <v/>
      </c>
      <c r="B3675" t="inlineStr">
        <is>
          <t>4:19</t>
        </is>
      </c>
      <c r="C3675" t="inlineStr">
        <is>
          <t>hand it feels a bit like trying to take</t>
        </is>
      </c>
      <c r="D3675">
        <f>HYPERLINK("https://www.youtube.com/watch?v=JeNqF4aTB0E&amp;t=259s", "Go to time")</f>
        <v/>
      </c>
    </row>
    <row r="3676">
      <c r="A3676">
        <f>HYPERLINK("https://www.youtube.com/watch?v=oAgMKap9Cv8", "Video")</f>
        <v/>
      </c>
      <c r="B3676" t="inlineStr">
        <is>
          <t>1:02</t>
        </is>
      </c>
      <c r="C3676" t="inlineStr">
        <is>
          <t>a little bit of a step back.</t>
        </is>
      </c>
      <c r="D3676">
        <f>HYPERLINK("https://www.youtube.com/watch?v=oAgMKap9Cv8&amp;t=62s", "Go to time")</f>
        <v/>
      </c>
    </row>
    <row r="3677">
      <c r="A3677">
        <f>HYPERLINK("https://www.youtube.com/watch?v=oAgMKap9Cv8", "Video")</f>
        <v/>
      </c>
      <c r="B3677" t="inlineStr">
        <is>
          <t>2:37</t>
        </is>
      </c>
      <c r="C3677" t="inlineStr">
        <is>
          <t>maybe you're a little bit
newer to the workforce</t>
        </is>
      </c>
      <c r="D3677">
        <f>HYPERLINK("https://www.youtube.com/watch?v=oAgMKap9Cv8&amp;t=157s", "Go to time")</f>
        <v/>
      </c>
    </row>
    <row r="3678">
      <c r="A3678">
        <f>HYPERLINK("https://www.youtube.com/watch?v=oAgMKap9Cv8", "Video")</f>
        <v/>
      </c>
      <c r="B3678" t="inlineStr">
        <is>
          <t>3:02</t>
        </is>
      </c>
      <c r="C3678" t="inlineStr">
        <is>
          <t>it makes more sense for me
to move out a little bit.</t>
        </is>
      </c>
      <c r="D3678">
        <f>HYPERLINK("https://www.youtube.com/watch?v=oAgMKap9Cv8&amp;t=182s", "Go to time")</f>
        <v/>
      </c>
    </row>
    <row r="3679">
      <c r="A3679">
        <f>HYPERLINK("https://www.youtube.com/watch?v=oAgMKap9Cv8", "Video")</f>
        <v/>
      </c>
      <c r="B3679" t="inlineStr">
        <is>
          <t>3:13</t>
        </is>
      </c>
      <c r="C3679" t="inlineStr">
        <is>
          <t>I'm a little bit weak here.</t>
        </is>
      </c>
      <c r="D3679">
        <f>HYPERLINK("https://www.youtube.com/watch?v=oAgMKap9Cv8&amp;t=193s", "Go to time")</f>
        <v/>
      </c>
    </row>
    <row r="3680">
      <c r="A3680">
        <f>HYPERLINK("https://www.youtube.com/watch?v=oAgMKap9Cv8", "Video")</f>
        <v/>
      </c>
      <c r="B3680" t="inlineStr">
        <is>
          <t>3:46</t>
        </is>
      </c>
      <c r="C3680" t="inlineStr">
        <is>
          <t>there are some sections where
I'm going a little bit faster.</t>
        </is>
      </c>
      <c r="D3680">
        <f>HYPERLINK("https://www.youtube.com/watch?v=oAgMKap9Cv8&amp;t=226s", "Go to time")</f>
        <v/>
      </c>
    </row>
    <row r="3681">
      <c r="A3681">
        <f>HYPERLINK("https://www.youtube.com/watch?v=oAgMKap9Cv8", "Video")</f>
        <v/>
      </c>
      <c r="B3681" t="inlineStr">
        <is>
          <t>3:52</t>
        </is>
      </c>
      <c r="C3681" t="inlineStr">
        <is>
          <t>And you backtrack a little bit.</t>
        </is>
      </c>
      <c r="D3681">
        <f>HYPERLINK("https://www.youtube.com/watch?v=oAgMKap9Cv8&amp;t=232s", "Go to time")</f>
        <v/>
      </c>
    </row>
    <row r="3682">
      <c r="A3682">
        <f>HYPERLINK("https://www.youtube.com/watch?v=oAgMKap9Cv8", "Video")</f>
        <v/>
      </c>
      <c r="B3682" t="inlineStr">
        <is>
          <t>4:57</t>
        </is>
      </c>
      <c r="C3682" t="inlineStr">
        <is>
          <t>to be able to get up that
wall and actually a bit back</t>
        </is>
      </c>
      <c r="D3682">
        <f>HYPERLINK("https://www.youtube.com/watch?v=oAgMKap9Cv8&amp;t=297s", "Go to time")</f>
        <v/>
      </c>
    </row>
    <row r="3683">
      <c r="A3683">
        <f>HYPERLINK("https://www.youtube.com/watch?v=oAgMKap9Cv8", "Video")</f>
        <v/>
      </c>
      <c r="B3683" t="inlineStr">
        <is>
          <t>6:42</t>
        </is>
      </c>
      <c r="C3683" t="inlineStr">
        <is>
          <t>And it allows us to get a little
bit more creative in thinking</t>
        </is>
      </c>
      <c r="D3683">
        <f>HYPERLINK("https://www.youtube.com/watch?v=oAgMKap9Cv8&amp;t=402s", "Go to time")</f>
        <v/>
      </c>
    </row>
    <row r="3684">
      <c r="A3684">
        <f>HYPERLINK("https://www.youtube.com/watch?v=5XikR_aN0Hk", "Video")</f>
        <v/>
      </c>
      <c r="B3684" t="inlineStr">
        <is>
          <t>2:15</t>
        </is>
      </c>
      <c r="C3684" t="inlineStr">
        <is>
          <t>because they seem
pathologically ambitious,</t>
        </is>
      </c>
      <c r="D3684">
        <f>HYPERLINK("https://www.youtube.com/watch?v=5XikR_aN0Hk&amp;t=135s", "Go to time")</f>
        <v/>
      </c>
    </row>
    <row r="3685">
      <c r="A3685">
        <f>HYPERLINK("https://www.youtube.com/watch?v=xuXw2GMnQFY", "Video")</f>
        <v/>
      </c>
      <c r="B3685" t="inlineStr">
        <is>
          <t>6:43</t>
        </is>
      </c>
      <c r="C3685" t="inlineStr">
        <is>
          <t>get to see a little bit i mean it's a</t>
        </is>
      </c>
      <c r="D3685">
        <f>HYPERLINK("https://www.youtube.com/watch?v=xuXw2GMnQFY&amp;t=403s", "Go to time")</f>
        <v/>
      </c>
    </row>
    <row r="3686">
      <c r="A3686">
        <f>HYPERLINK("https://www.youtube.com/watch?v=sQzD3st8mTk", "Video")</f>
        <v/>
      </c>
      <c r="B3686" t="inlineStr">
        <is>
          <t>1:25</t>
        </is>
      </c>
      <c r="C3686" t="inlineStr">
        <is>
          <t>in my seat a little bit.</t>
        </is>
      </c>
      <c r="D3686">
        <f>HYPERLINK("https://www.youtube.com/watch?v=sQzD3st8mTk&amp;t=85s", "Go to time")</f>
        <v/>
      </c>
    </row>
    <row r="3687">
      <c r="A3687">
        <f>HYPERLINK("https://www.youtube.com/watch?v=DTCQgXTaEyc", "Video")</f>
        <v/>
      </c>
      <c r="B3687" t="inlineStr">
        <is>
          <t>1:25</t>
        </is>
      </c>
      <c r="C3687" t="inlineStr">
        <is>
          <t>a little bit more time outside good</t>
        </is>
      </c>
      <c r="D3687">
        <f>HYPERLINK("https://www.youtube.com/watch?v=DTCQgXTaEyc&amp;t=85s", "Go to time")</f>
        <v/>
      </c>
    </row>
    <row r="3688">
      <c r="A3688">
        <f>HYPERLINK("https://www.youtube.com/watch?v=iJve-5wHrio", "Video")</f>
        <v/>
      </c>
      <c r="B3688" t="inlineStr">
        <is>
          <t>1:07</t>
        </is>
      </c>
      <c r="C3688" t="inlineStr">
        <is>
          <t>It's a little bit
of a tightrope walk,</t>
        </is>
      </c>
      <c r="D3688">
        <f>HYPERLINK("https://www.youtube.com/watch?v=iJve-5wHrio&amp;t=67s", "Go to time")</f>
        <v/>
      </c>
    </row>
    <row r="3689">
      <c r="A3689">
        <f>HYPERLINK("https://www.youtube.com/watch?v=iJve-5wHrio", "Video")</f>
        <v/>
      </c>
      <c r="B3689" t="inlineStr">
        <is>
          <t>13:51</t>
        </is>
      </c>
      <c r="C3689" t="inlineStr">
        <is>
          <t>You want to you want
to be a little bit</t>
        </is>
      </c>
      <c r="D3689">
        <f>HYPERLINK("https://www.youtube.com/watch?v=iJve-5wHrio&amp;t=831s", "Go to time")</f>
        <v/>
      </c>
    </row>
    <row r="3690">
      <c r="A3690">
        <f>HYPERLINK("https://www.youtube.com/watch?v=iJve-5wHrio", "Video")</f>
        <v/>
      </c>
      <c r="B3690" t="inlineStr">
        <is>
          <t>14:20</t>
        </is>
      </c>
      <c r="C3690" t="inlineStr">
        <is>
          <t>Maybe that analogy is
a little bit different,</t>
        </is>
      </c>
      <c r="D3690">
        <f>HYPERLINK("https://www.youtube.com/watch?v=iJve-5wHrio&amp;t=860s", "Go to time")</f>
        <v/>
      </c>
    </row>
    <row r="3691">
      <c r="A3691">
        <f>HYPERLINK("https://www.youtube.com/watch?v=iJve-5wHrio", "Video")</f>
        <v/>
      </c>
      <c r="B3691" t="inlineStr">
        <is>
          <t>16:21</t>
        </is>
      </c>
      <c r="C3691" t="inlineStr">
        <is>
          <t>ELAINY MATA: What if your
hiring manager isn't biting?</t>
        </is>
      </c>
      <c r="D3691">
        <f>HYPERLINK("https://www.youtube.com/watch?v=iJve-5wHrio&amp;t=981s", "Go to time")</f>
        <v/>
      </c>
    </row>
    <row r="3692">
      <c r="A3692">
        <f>HYPERLINK("https://www.youtube.com/watch?v=iJve-5wHrio", "Video")</f>
        <v/>
      </c>
      <c r="B3692" t="inlineStr">
        <is>
          <t>17:04</t>
        </is>
      </c>
      <c r="C3692" t="inlineStr">
        <is>
          <t>you can feel them kind of being
a little bit more reserved.</t>
        </is>
      </c>
      <c r="D3692">
        <f>HYPERLINK("https://www.youtube.com/watch?v=iJve-5wHrio&amp;t=1024s", "Go to time")</f>
        <v/>
      </c>
    </row>
    <row r="3693">
      <c r="A3693">
        <f>HYPERLINK("https://www.youtube.com/watch?v=iJve-5wHrio", "Video")</f>
        <v/>
      </c>
      <c r="B3693" t="inlineStr">
        <is>
          <t>17:57</t>
        </is>
      </c>
      <c r="C3693" t="inlineStr">
        <is>
          <t>I probably could have tailored
my answers a little bit more</t>
        </is>
      </c>
      <c r="D3693">
        <f>HYPERLINK("https://www.youtube.com/watch?v=iJve-5wHrio&amp;t=1077s", "Go to time")</f>
        <v/>
      </c>
    </row>
    <row r="3694">
      <c r="A3694">
        <f>HYPERLINK("https://www.youtube.com/watch?v=iJve-5wHrio", "Video")</f>
        <v/>
      </c>
      <c r="B3694" t="inlineStr">
        <is>
          <t>18:00</t>
        </is>
      </c>
      <c r="C3694" t="inlineStr">
        <is>
          <t>Maybe I could have built
a little bit more rapport.</t>
        </is>
      </c>
      <c r="D3694">
        <f>HYPERLINK("https://www.youtube.com/watch?v=iJve-5wHrio&amp;t=1080s", "Go to time")</f>
        <v/>
      </c>
    </row>
    <row r="3695">
      <c r="A3695">
        <f>HYPERLINK("https://www.youtube.com/watch?v=iJve-5wHrio", "Video")</f>
        <v/>
      </c>
      <c r="B3695" t="inlineStr">
        <is>
          <t>18:35</t>
        </is>
      </c>
      <c r="C3695" t="inlineStr">
        <is>
          <t>SHO DEWAN: The Zoom interviews
is a little bit lower stakes.</t>
        </is>
      </c>
      <c r="D3695">
        <f>HYPERLINK("https://www.youtube.com/watch?v=iJve-5wHrio&amp;t=1115s", "Go to time")</f>
        <v/>
      </c>
    </row>
    <row r="3696">
      <c r="A3696">
        <f>HYPERLINK("https://www.youtube.com/watch?v=oJmaxqUqIPE", "Video")</f>
        <v/>
      </c>
      <c r="B3696" t="inlineStr">
        <is>
          <t>5:57</t>
        </is>
      </c>
      <c r="C3696" t="inlineStr">
        <is>
          <t>a little bit of background on
the difference in my last very</t>
        </is>
      </c>
      <c r="D3696">
        <f>HYPERLINK("https://www.youtube.com/watch?v=oJmaxqUqIPE&amp;t=357s", "Go to time")</f>
        <v/>
      </c>
    </row>
    <row r="3697">
      <c r="A3697">
        <f>HYPERLINK("https://www.youtube.com/watch?v=oJmaxqUqIPE", "Video")</f>
        <v/>
      </c>
      <c r="B3697" t="inlineStr">
        <is>
          <t>8:52</t>
        </is>
      </c>
      <c r="C3697" t="inlineStr">
        <is>
          <t>but even physically,
it's a little bit more</t>
        </is>
      </c>
      <c r="D3697">
        <f>HYPERLINK("https://www.youtube.com/watch?v=oJmaxqUqIPE&amp;t=532s", "Go to time")</f>
        <v/>
      </c>
    </row>
    <row r="3698">
      <c r="A3698">
        <f>HYPERLINK("https://www.youtube.com/watch?v=oJmaxqUqIPE", "Video")</f>
        <v/>
      </c>
      <c r="B3698" t="inlineStr">
        <is>
          <t>19:55</t>
        </is>
      </c>
      <c r="C3698" t="inlineStr">
        <is>
          <t>Is it a little bit later?</t>
        </is>
      </c>
      <c r="D3698">
        <f>HYPERLINK("https://www.youtube.com/watch?v=oJmaxqUqIPE&amp;t=1195s", "Go to time")</f>
        <v/>
      </c>
    </row>
    <row r="3699">
      <c r="A3699">
        <f>HYPERLINK("https://www.youtube.com/watch?v=oJmaxqUqIPE", "Video")</f>
        <v/>
      </c>
      <c r="B3699" t="inlineStr">
        <is>
          <t>20:36</t>
        </is>
      </c>
      <c r="C3699" t="inlineStr">
        <is>
          <t>I realized that teaching
Alex a little bit</t>
        </is>
      </c>
      <c r="D3699">
        <f>HYPERLINK("https://www.youtube.com/watch?v=oJmaxqUqIPE&amp;t=1236s", "Go to time")</f>
        <v/>
      </c>
    </row>
    <row r="3700">
      <c r="A3700">
        <f>HYPERLINK("https://www.youtube.com/watch?v=oJmaxqUqIPE", "Video")</f>
        <v/>
      </c>
      <c r="B3700" t="inlineStr">
        <is>
          <t>26:26</t>
        </is>
      </c>
      <c r="C3700" t="inlineStr">
        <is>
          <t>but do I do a little
bit of it with them?</t>
        </is>
      </c>
      <c r="D3700">
        <f>HYPERLINK("https://www.youtube.com/watch?v=oJmaxqUqIPE&amp;t=1586s", "Go to time")</f>
        <v/>
      </c>
    </row>
    <row r="3701">
      <c r="A3701">
        <f>HYPERLINK("https://www.youtube.com/watch?v=oJmaxqUqIPE", "Video")</f>
        <v/>
      </c>
      <c r="B3701" t="inlineStr">
        <is>
          <t>27:18</t>
        </is>
      </c>
      <c r="C3701" t="inlineStr">
        <is>
          <t>you can back off a little bit.</t>
        </is>
      </c>
      <c r="D3701">
        <f>HYPERLINK("https://www.youtube.com/watch?v=oJmaxqUqIPE&amp;t=1638s", "Go to time")</f>
        <v/>
      </c>
    </row>
    <row r="3702">
      <c r="A3702">
        <f>HYPERLINK("https://www.youtube.com/watch?v=oJmaxqUqIPE", "Video")</f>
        <v/>
      </c>
      <c r="B3702" t="inlineStr">
        <is>
          <t>27:27</t>
        </is>
      </c>
      <c r="C3702" t="inlineStr">
        <is>
          <t>where if things go wrong, yeah,
it might hurt a little bit,</t>
        </is>
      </c>
      <c r="D3702">
        <f>HYPERLINK("https://www.youtube.com/watch?v=oJmaxqUqIPE&amp;t=1647s", "Go to time")</f>
        <v/>
      </c>
    </row>
    <row r="3703">
      <c r="A3703">
        <f>HYPERLINK("https://www.youtube.com/watch?v=oJmaxqUqIPE", "Video")</f>
        <v/>
      </c>
      <c r="B3703" t="inlineStr">
        <is>
          <t>37:41</t>
        </is>
      </c>
      <c r="C3703" t="inlineStr">
        <is>
          <t>of prodding someone he
manages a bit deeper</t>
        </is>
      </c>
      <c r="D3703">
        <f>HYPERLINK("https://www.youtube.com/watch?v=oJmaxqUqIPE&amp;t=2261s", "Go to time")</f>
        <v/>
      </c>
    </row>
    <row r="3704">
      <c r="A3704">
        <f>HYPERLINK("https://www.youtube.com/watch?v=oJmaxqUqIPE", "Video")</f>
        <v/>
      </c>
      <c r="B3704" t="inlineStr">
        <is>
          <t>45:58</t>
        </is>
      </c>
      <c r="C3704" t="inlineStr">
        <is>
          <t>with a little bit
of grace and then</t>
        </is>
      </c>
      <c r="D3704">
        <f>HYPERLINK("https://www.youtube.com/watch?v=oJmaxqUqIPE&amp;t=2758s", "Go to time")</f>
        <v/>
      </c>
    </row>
    <row r="3705">
      <c r="A3705">
        <f>HYPERLINK("https://www.youtube.com/watch?v=oJmaxqUqIPE", "Video")</f>
        <v/>
      </c>
      <c r="B3705" t="inlineStr">
        <is>
          <t>46:31</t>
        </is>
      </c>
      <c r="C3705" t="inlineStr">
        <is>
          <t>some slack, extending
them a little bit of grace</t>
        </is>
      </c>
      <c r="D3705">
        <f>HYPERLINK("https://www.youtube.com/watch?v=oJmaxqUqIPE&amp;t=2791s", "Go to time")</f>
        <v/>
      </c>
    </row>
    <row r="3706">
      <c r="A3706">
        <f>HYPERLINK("https://www.youtube.com/watch?v=rxDjTyWRqDA", "Video")</f>
        <v/>
      </c>
      <c r="B3706" t="inlineStr">
        <is>
          <t>2:39</t>
        </is>
      </c>
      <c r="C3706" t="inlineStr">
        <is>
          <t>that I could do that
would be a little bit</t>
        </is>
      </c>
      <c r="D3706">
        <f>HYPERLINK("https://www.youtube.com/watch?v=rxDjTyWRqDA&amp;t=159s", "Go to time")</f>
        <v/>
      </c>
    </row>
    <row r="3707">
      <c r="A3707">
        <f>HYPERLINK("https://www.youtube.com/watch?v=3hJsnUKah54", "Video")</f>
        <v/>
      </c>
      <c r="B3707" t="inlineStr">
        <is>
          <t>1:34</t>
        </is>
      </c>
      <c r="C3707" t="inlineStr">
        <is>
          <t>like, I think my standards have
been slipping a little bit.</t>
        </is>
      </c>
      <c r="D3707">
        <f>HYPERLINK("https://www.youtube.com/watch?v=3hJsnUKah54&amp;t=94s", "Go to time")</f>
        <v/>
      </c>
    </row>
    <row r="3708">
      <c r="A3708">
        <f>HYPERLINK("https://www.youtube.com/watch?v=3hJsnUKah54", "Video")</f>
        <v/>
      </c>
      <c r="B3708" t="inlineStr">
        <is>
          <t>4:17</t>
        </is>
      </c>
      <c r="C3708" t="inlineStr">
        <is>
          <t>Right now we're getting a
little bit more negative space</t>
        </is>
      </c>
      <c r="D3708">
        <f>HYPERLINK("https://www.youtube.com/watch?v=3hJsnUKah54&amp;t=257s", "Go to time")</f>
        <v/>
      </c>
    </row>
    <row r="3709">
      <c r="A3709">
        <f>HYPERLINK("https://www.youtube.com/watch?v=SsaYA6biO6Q", "Video")</f>
        <v/>
      </c>
      <c r="B3709" t="inlineStr">
        <is>
          <t>9:43</t>
        </is>
      </c>
      <c r="C3709" t="inlineStr">
        <is>
          <t>a little bit?</t>
        </is>
      </c>
      <c r="D3709">
        <f>HYPERLINK("https://www.youtube.com/watch?v=SsaYA6biO6Q&amp;t=583s", "Go to time")</f>
        <v/>
      </c>
    </row>
    <row r="3710">
      <c r="A3710">
        <f>HYPERLINK("https://www.youtube.com/watch?v=SsaYA6biO6Q", "Video")</f>
        <v/>
      </c>
      <c r="B3710" t="inlineStr">
        <is>
          <t>10:10</t>
        </is>
      </c>
      <c r="C3710" t="inlineStr">
        <is>
          <t>CHRISTINE LIU: I have my two
bits of feedback-- usable</t>
        </is>
      </c>
      <c r="D3710">
        <f>HYPERLINK("https://www.youtube.com/watch?v=SsaYA6biO6Q&amp;t=610s", "Go to time")</f>
        <v/>
      </c>
    </row>
    <row r="3711">
      <c r="A3711">
        <f>HYPERLINK("https://www.youtube.com/watch?v=KMYsEwdZEj0", "Video")</f>
        <v/>
      </c>
      <c r="B3711" t="inlineStr">
        <is>
          <t>6:29</t>
        </is>
      </c>
      <c r="C3711" t="inlineStr">
        <is>
          <t>Like, you talked a little
bit about how it's not just</t>
        </is>
      </c>
      <c r="D3711">
        <f>HYPERLINK("https://www.youtube.com/watch?v=KMYsEwdZEj0&amp;t=389s", "Go to time")</f>
        <v/>
      </c>
    </row>
    <row r="3712">
      <c r="A3712">
        <f>HYPERLINK("https://www.youtube.com/watch?v=VPdccj5YPt8", "Video")</f>
        <v/>
      </c>
      <c r="B3712" t="inlineStr">
        <is>
          <t>0:15</t>
        </is>
      </c>
      <c r="C3712" t="inlineStr">
        <is>
          <t>Maybe a bit of both--</t>
        </is>
      </c>
      <c r="D3712">
        <f>HYPERLINK("https://www.youtube.com/watch?v=VPdccj5YPt8&amp;t=15s", "Go to time")</f>
        <v/>
      </c>
    </row>
    <row r="3713">
      <c r="A3713">
        <f>HYPERLINK("https://www.youtube.com/watch?v=s0dsKPjrlcw", "Video")</f>
        <v/>
      </c>
      <c r="B3713" t="inlineStr">
        <is>
          <t>11:23</t>
        </is>
      </c>
      <c r="C3713" t="inlineStr">
        <is>
          <t>bittersweet about</t>
        </is>
      </c>
      <c r="D3713">
        <f>HYPERLINK("https://www.youtube.com/watch?v=s0dsKPjrlcw&amp;t=683s", "Go to time")</f>
        <v/>
      </c>
    </row>
    <row r="3714">
      <c r="A3714">
        <f>HYPERLINK("https://www.youtube.com/watch?v=3rn9srkAtbY", "Video")</f>
        <v/>
      </c>
      <c r="B3714" t="inlineStr">
        <is>
          <t>23:30</t>
        </is>
      </c>
      <c r="C3714" t="inlineStr">
        <is>
          <t>you just explain a little bit more about</t>
        </is>
      </c>
      <c r="D3714">
        <f>HYPERLINK("https://www.youtube.com/watch?v=3rn9srkAtbY&amp;t=1410s", "Go to time")</f>
        <v/>
      </c>
    </row>
    <row r="3715">
      <c r="A3715">
        <f>HYPERLINK("https://www.youtube.com/watch?v=3rn9srkAtbY", "Video")</f>
        <v/>
      </c>
      <c r="B3715" t="inlineStr">
        <is>
          <t>23:31</t>
        </is>
      </c>
      <c r="C3715" t="inlineStr">
        <is>
          <t>the concept A bit</t>
        </is>
      </c>
      <c r="D3715">
        <f>HYPERLINK("https://www.youtube.com/watch?v=3rn9srkAtbY&amp;t=1411s", "Go to time")</f>
        <v/>
      </c>
    </row>
    <row r="3716">
      <c r="A3716">
        <f>HYPERLINK("https://www.youtube.com/watch?v=3rn9srkAtbY", "Video")</f>
        <v/>
      </c>
      <c r="B3716" t="inlineStr">
        <is>
          <t>23:33</t>
        </is>
      </c>
      <c r="C3716" t="inlineStr">
        <is>
          <t>yeah we're quiet firing is a bit like</t>
        </is>
      </c>
      <c r="D3716">
        <f>HYPERLINK("https://www.youtube.com/watch?v=3rn9srkAtbY&amp;t=1413s", "Go to time")</f>
        <v/>
      </c>
    </row>
    <row r="3717">
      <c r="A3717">
        <f>HYPERLINK("https://www.youtube.com/watch?v=3rn9srkAtbY", "Video")</f>
        <v/>
      </c>
      <c r="B3717" t="inlineStr">
        <is>
          <t>26:47</t>
        </is>
      </c>
      <c r="C3717" t="inlineStr">
        <is>
          <t>if we had a little bit of a language for</t>
        </is>
      </c>
      <c r="D3717">
        <f>HYPERLINK("https://www.youtube.com/watch?v=3rn9srkAtbY&amp;t=1607s", "Go to time")</f>
        <v/>
      </c>
    </row>
    <row r="3718">
      <c r="A3718">
        <f>HYPERLINK("https://www.youtube.com/watch?v=3rn9srkAtbY", "Video")</f>
        <v/>
      </c>
      <c r="B3718" t="inlineStr">
        <is>
          <t>28:22</t>
        </is>
      </c>
      <c r="C3718" t="inlineStr">
        <is>
          <t>sometimes that can get a bit lost yeah I</t>
        </is>
      </c>
      <c r="D3718">
        <f>HYPERLINK("https://www.youtube.com/watch?v=3rn9srkAtbY&amp;t=1702s", "Go to time")</f>
        <v/>
      </c>
    </row>
    <row r="3719">
      <c r="A3719">
        <f>HYPERLINK("https://www.youtube.com/watch?v=3rn9srkAtbY", "Video")</f>
        <v/>
      </c>
      <c r="B3719" t="inlineStr">
        <is>
          <t>28:51</t>
        </is>
      </c>
      <c r="C3719" t="inlineStr">
        <is>
          <t>little bit of a Manifesto for rethinking</t>
        </is>
      </c>
      <c r="D3719">
        <f>HYPERLINK("https://www.youtube.com/watch?v=3rn9srkAtbY&amp;t=1731s", "Go to time")</f>
        <v/>
      </c>
    </row>
    <row r="3720">
      <c r="A3720">
        <f>HYPERLINK("https://www.youtube.com/watch?v=3rn9srkAtbY", "Video")</f>
        <v/>
      </c>
      <c r="B3720" t="inlineStr">
        <is>
          <t>30:06</t>
        </is>
      </c>
      <c r="C3720" t="inlineStr">
        <is>
          <t>like they got a little bit more insight</t>
        </is>
      </c>
      <c r="D3720">
        <f>HYPERLINK("https://www.youtube.com/watch?v=3rn9srkAtbY&amp;t=1806s", "Go to time")</f>
        <v/>
      </c>
    </row>
    <row r="3721">
      <c r="A3721">
        <f>HYPERLINK("https://www.youtube.com/watch?v=TYKkRzsrlls", "Video")</f>
        <v/>
      </c>
      <c r="B3721" t="inlineStr">
        <is>
          <t>8:54</t>
        </is>
      </c>
      <c r="C3721" t="inlineStr">
        <is>
          <t>So can you talk a
little bit about how</t>
        </is>
      </c>
      <c r="D3721">
        <f>HYPERLINK("https://www.youtube.com/watch?v=TYKkRzsrlls&amp;t=534s", "Go to time")</f>
        <v/>
      </c>
    </row>
    <row r="3722">
      <c r="A3722">
        <f>HYPERLINK("https://www.youtube.com/watch?v=TYKkRzsrlls", "Video")</f>
        <v/>
      </c>
      <c r="B3722" t="inlineStr">
        <is>
          <t>9:06</t>
        </is>
      </c>
      <c r="C3722" t="inlineStr">
        <is>
          <t>Could you talk a
little bit about that?</t>
        </is>
      </c>
      <c r="D3722">
        <f>HYPERLINK("https://www.youtube.com/watch?v=TYKkRzsrlls&amp;t=546s", "Go to time")</f>
        <v/>
      </c>
    </row>
    <row r="3723">
      <c r="A3723">
        <f>HYPERLINK("https://www.youtube.com/watch?v=zs5cQ6b_ZeY", "Video")</f>
        <v/>
      </c>
      <c r="B3723" t="inlineStr">
        <is>
          <t>2:10</t>
        </is>
      </c>
      <c r="C3723" t="inlineStr">
        <is>
          <t>Because this is a
little bit of both.</t>
        </is>
      </c>
      <c r="D3723">
        <f>HYPERLINK("https://www.youtube.com/watch?v=zs5cQ6b_ZeY&amp;t=130s", "Go to time")</f>
        <v/>
      </c>
    </row>
    <row r="3724">
      <c r="A3724">
        <f>HYPERLINK("https://www.youtube.com/watch?v=zs5cQ6b_ZeY", "Video")</f>
        <v/>
      </c>
      <c r="B3724" t="inlineStr">
        <is>
          <t>5:43</t>
        </is>
      </c>
      <c r="C3724" t="inlineStr">
        <is>
          <t>So let's talk a
little bit about Doug.</t>
        </is>
      </c>
      <c r="D3724">
        <f>HYPERLINK("https://www.youtube.com/watch?v=zs5cQ6b_ZeY&amp;t=343s", "Go to time")</f>
        <v/>
      </c>
    </row>
    <row r="3725">
      <c r="A3725">
        <f>HYPERLINK("https://www.youtube.com/watch?v=zs5cQ6b_ZeY", "Video")</f>
        <v/>
      </c>
      <c r="B3725" t="inlineStr">
        <is>
          <t>7:40</t>
        </is>
      </c>
      <c r="C3725" t="inlineStr">
        <is>
          <t>a little bit further
on in our conversation,</t>
        </is>
      </c>
      <c r="D3725">
        <f>HYPERLINK("https://www.youtube.com/watch?v=zs5cQ6b_ZeY&amp;t=460s", "Go to time")</f>
        <v/>
      </c>
    </row>
    <row r="3726">
      <c r="A3726">
        <f>HYPERLINK("https://www.youtube.com/watch?v=zs5cQ6b_ZeY", "Video")</f>
        <v/>
      </c>
      <c r="B3726" t="inlineStr">
        <is>
          <t>14:17</t>
        </is>
      </c>
      <c r="C3726" t="inlineStr">
        <is>
          <t>That's a little bit first
role that we tend to play,</t>
        </is>
      </c>
      <c r="D3726">
        <f>HYPERLINK("https://www.youtube.com/watch?v=zs5cQ6b_ZeY&amp;t=857s", "Go to time")</f>
        <v/>
      </c>
    </row>
    <row r="3727">
      <c r="A3727">
        <f>HYPERLINK("https://www.youtube.com/watch?v=zs5cQ6b_ZeY", "Video")</f>
        <v/>
      </c>
      <c r="B3727" t="inlineStr">
        <is>
          <t>19:27</t>
        </is>
      </c>
      <c r="C3727" t="inlineStr">
        <is>
          <t>US Airways as a little
bit of a vacation airline</t>
        </is>
      </c>
      <c r="D3727">
        <f>HYPERLINK("https://www.youtube.com/watch?v=zs5cQ6b_ZeY&amp;t=1167s", "Go to time")</f>
        <v/>
      </c>
    </row>
    <row r="3728">
      <c r="A3728">
        <f>HYPERLINK("https://www.youtube.com/watch?v=zs5cQ6b_ZeY", "Video")</f>
        <v/>
      </c>
      <c r="B3728" t="inlineStr">
        <is>
          <t>22:07</t>
        </is>
      </c>
      <c r="C3728" t="inlineStr">
        <is>
          <t>there is a little bit of
some Machiavellian elements</t>
        </is>
      </c>
      <c r="D3728">
        <f>HYPERLINK("https://www.youtube.com/watch?v=zs5cQ6b_ZeY&amp;t=1327s", "Go to time")</f>
        <v/>
      </c>
    </row>
    <row r="3729">
      <c r="A3729">
        <f>HYPERLINK("https://www.youtube.com/watch?v=Yv1j7WBjQpQ", "Video")</f>
        <v/>
      </c>
      <c r="B3729" t="inlineStr">
        <is>
          <t>1:54</t>
        </is>
      </c>
      <c r="C3729" t="inlineStr">
        <is>
          <t>- A little bit too much fires,
UFOs, and police brutality.</t>
        </is>
      </c>
      <c r="D3729">
        <f>HYPERLINK("https://www.youtube.com/watch?v=Yv1j7WBjQpQ&amp;t=114s", "Go to time")</f>
        <v/>
      </c>
    </row>
    <row r="3730">
      <c r="A3730">
        <f>HYPERLINK("https://www.youtube.com/watch?v=Yv1j7WBjQpQ", "Video")</f>
        <v/>
      </c>
      <c r="B3730" t="inlineStr">
        <is>
          <t>2:39</t>
        </is>
      </c>
      <c r="C3730" t="inlineStr">
        <is>
          <t>you can talk a little
bit about yourself</t>
        </is>
      </c>
      <c r="D3730">
        <f>HYPERLINK("https://www.youtube.com/watch?v=Yv1j7WBjQpQ&amp;t=159s", "Go to time")</f>
        <v/>
      </c>
    </row>
    <row r="3731">
      <c r="A3731">
        <f>HYPERLINK("https://www.youtube.com/watch?v=Yv1j7WBjQpQ", "Video")</f>
        <v/>
      </c>
      <c r="B3731" t="inlineStr">
        <is>
          <t>8:44</t>
        </is>
      </c>
      <c r="C3731" t="inlineStr">
        <is>
          <t>of very bitter attacks
on people like Jay Robert</t>
        </is>
      </c>
      <c r="D3731">
        <f>HYPERLINK("https://www.youtube.com/watch?v=Yv1j7WBjQpQ&amp;t=524s", "Go to time")</f>
        <v/>
      </c>
    </row>
    <row r="3732">
      <c r="A3732">
        <f>HYPERLINK("https://www.youtube.com/watch?v=Yv1j7WBjQpQ", "Video")</f>
        <v/>
      </c>
      <c r="B3732" t="inlineStr">
        <is>
          <t>12:49</t>
        </is>
      </c>
      <c r="C3732" t="inlineStr">
        <is>
          <t>Can you talk a little
bit about Bezos?</t>
        </is>
      </c>
      <c r="D3732">
        <f>HYPERLINK("https://www.youtube.com/watch?v=Yv1j7WBjQpQ&amp;t=769s", "Go to time")</f>
        <v/>
      </c>
    </row>
    <row r="3733">
      <c r="A3733">
        <f>HYPERLINK("https://www.youtube.com/watch?v=Yv1j7WBjQpQ", "Video")</f>
        <v/>
      </c>
      <c r="B3733" t="inlineStr">
        <is>
          <t>21:54</t>
        </is>
      </c>
      <c r="C3733" t="inlineStr">
        <is>
          <t>And I'm curious if you
could talk a little bit</t>
        </is>
      </c>
      <c r="D3733">
        <f>HYPERLINK("https://www.youtube.com/watch?v=Yv1j7WBjQpQ&amp;t=1314s", "Go to time")</f>
        <v/>
      </c>
    </row>
    <row r="3734">
      <c r="A3734">
        <f>HYPERLINK("https://www.youtube.com/watch?v=Yv1j7WBjQpQ", "Video")</f>
        <v/>
      </c>
      <c r="B3734" t="inlineStr">
        <is>
          <t>23:12</t>
        </is>
      </c>
      <c r="C3734" t="inlineStr">
        <is>
          <t>to bring them down
rabbit holes, to get them</t>
        </is>
      </c>
      <c r="D3734">
        <f>HYPERLINK("https://www.youtube.com/watch?v=Yv1j7WBjQpQ&amp;t=1392s", "Go to time")</f>
        <v/>
      </c>
    </row>
    <row r="3735">
      <c r="A3735">
        <f>HYPERLINK("https://www.youtube.com/watch?v=Yv1j7WBjQpQ", "Video")</f>
        <v/>
      </c>
      <c r="B3735" t="inlineStr">
        <is>
          <t>32:21</t>
        </is>
      </c>
      <c r="C3735" t="inlineStr">
        <is>
          <t>That should give you
a bit of humility.</t>
        </is>
      </c>
      <c r="D3735">
        <f>HYPERLINK("https://www.youtube.com/watch?v=Yv1j7WBjQpQ&amp;t=1941s", "Go to time")</f>
        <v/>
      </c>
    </row>
    <row r="3736">
      <c r="A3736">
        <f>HYPERLINK("https://www.youtube.com/watch?v=Yv1j7WBjQpQ", "Video")</f>
        <v/>
      </c>
      <c r="B3736" t="inlineStr">
        <is>
          <t>34:14</t>
        </is>
      </c>
      <c r="C3736" t="inlineStr">
        <is>
          <t>I do feel it's turned
around a bit, even down</t>
        </is>
      </c>
      <c r="D3736">
        <f>HYPERLINK("https://www.youtube.com/watch?v=Yv1j7WBjQpQ&amp;t=2054s", "Go to time")</f>
        <v/>
      </c>
    </row>
    <row r="3737">
      <c r="A3737">
        <f>HYPERLINK("https://www.youtube.com/watch?v=Yv1j7WBjQpQ", "Video")</f>
        <v/>
      </c>
      <c r="B3737" t="inlineStr">
        <is>
          <t>42:25</t>
        </is>
      </c>
      <c r="C3737" t="inlineStr">
        <is>
          <t>ADI IGNATIUS: So, talk a little
bit how the process works.</t>
        </is>
      </c>
      <c r="D3737">
        <f>HYPERLINK("https://www.youtube.com/watch?v=Yv1j7WBjQpQ&amp;t=2545s", "Go to time")</f>
        <v/>
      </c>
    </row>
    <row r="3738">
      <c r="A3738">
        <f>HYPERLINK("https://www.youtube.com/watch?v=tgqwv8Pk0qE", "Video")</f>
        <v/>
      </c>
      <c r="B3738" t="inlineStr">
        <is>
          <t>17:21</t>
        </is>
      </c>
      <c r="C3738" t="inlineStr">
        <is>
          <t>a little bit of stockpiling,
some diversification, and then</t>
        </is>
      </c>
      <c r="D3738">
        <f>HYPERLINK("https://www.youtube.com/watch?v=tgqwv8Pk0qE&amp;t=1041s", "Go to time")</f>
        <v/>
      </c>
    </row>
    <row r="3739">
      <c r="A3739">
        <f>HYPERLINK("https://www.youtube.com/watch?v=BS4-3IHJbG8", "Video")</f>
        <v/>
      </c>
      <c r="B3739" t="inlineStr">
        <is>
          <t>6:58</t>
        </is>
      </c>
      <c r="C3739" t="inlineStr">
        <is>
          <t>quite a bit you don't necessarily have</t>
        </is>
      </c>
      <c r="D3739">
        <f>HYPERLINK("https://www.youtube.com/watch?v=BS4-3IHJbG8&amp;t=418s", "Go to time")</f>
        <v/>
      </c>
    </row>
    <row r="3740">
      <c r="A3740">
        <f>HYPERLINK("https://www.youtube.com/watch?v=BS4-3IHJbG8", "Video")</f>
        <v/>
      </c>
      <c r="B3740" t="inlineStr">
        <is>
          <t>11:12</t>
        </is>
      </c>
      <c r="C3740" t="inlineStr">
        <is>
          <t>we talked a little bit about skills how</t>
        </is>
      </c>
      <c r="D3740">
        <f>HYPERLINK("https://www.youtube.com/watch?v=BS4-3IHJbG8&amp;t=672s", "Go to time")</f>
        <v/>
      </c>
    </row>
    <row r="3741">
      <c r="A3741">
        <f>HYPERLINK("https://www.youtube.com/watch?v=dbiNhAZlXZk", "Video")</f>
        <v/>
      </c>
      <c r="B3741" t="inlineStr">
        <is>
          <t>7:53</t>
        </is>
      </c>
      <c r="C3741" t="inlineStr">
        <is>
          <t>Importance might stay a little
bit longer on the same level.</t>
        </is>
      </c>
      <c r="D3741">
        <f>HYPERLINK("https://www.youtube.com/watch?v=dbiNhAZlXZk&amp;t=473s", "Go to time")</f>
        <v/>
      </c>
    </row>
    <row r="3742">
      <c r="A3742">
        <f>HYPERLINK("https://www.youtube.com/watch?v=-W4_I4nX2uI", "Video")</f>
        <v/>
      </c>
      <c r="B3742" t="inlineStr">
        <is>
          <t>0:25</t>
        </is>
      </c>
      <c r="C3742" t="inlineStr">
        <is>
          <t>And if you can
understand a little bit</t>
        </is>
      </c>
      <c r="D3742">
        <f>HYPERLINK("https://www.youtube.com/watch?v=-W4_I4nX2uI&amp;t=25s", "Go to time")</f>
        <v/>
      </c>
    </row>
    <row r="3743">
      <c r="A3743">
        <f>HYPERLINK("https://www.youtube.com/watch?v=YEt2DVQnzLM", "Video")</f>
        <v/>
      </c>
      <c r="B3743" t="inlineStr">
        <is>
          <t>2:50</t>
        </is>
      </c>
      <c r="C3743" t="inlineStr">
        <is>
          <t>but not like that, and
maybe a little bit of this,</t>
        </is>
      </c>
      <c r="D3743">
        <f>HYPERLINK("https://www.youtube.com/watch?v=YEt2DVQnzLM&amp;t=170s", "Go to time")</f>
        <v/>
      </c>
    </row>
    <row r="3744">
      <c r="A3744">
        <f>HYPERLINK("https://www.youtube.com/watch?v=YEt2DVQnzLM", "Video")</f>
        <v/>
      </c>
      <c r="B3744" t="inlineStr">
        <is>
          <t>4:09</t>
        </is>
      </c>
      <c r="C3744" t="inlineStr">
        <is>
          <t>BOSS: So tell me a little
bit about yourself.</t>
        </is>
      </c>
      <c r="D3744">
        <f>HYPERLINK("https://www.youtube.com/watch?v=YEt2DVQnzLM&amp;t=249s", "Go to time")</f>
        <v/>
      </c>
    </row>
    <row r="3745">
      <c r="A3745">
        <f>HYPERLINK("https://www.youtube.com/watch?v=YEt2DVQnzLM", "Video")</f>
        <v/>
      </c>
      <c r="B3745" t="inlineStr">
        <is>
          <t>4:58</t>
        </is>
      </c>
      <c r="C3745" t="inlineStr">
        <is>
          <t>a little bit about yourself?</t>
        </is>
      </c>
      <c r="D3745">
        <f>HYPERLINK("https://www.youtube.com/watch?v=YEt2DVQnzLM&amp;t=298s", "Go to time")</f>
        <v/>
      </c>
    </row>
    <row r="3746">
      <c r="A3746">
        <f>HYPERLINK("https://www.youtube.com/watch?v=5m4hzh5jFMw", "Video")</f>
        <v/>
      </c>
      <c r="B3746" t="inlineStr">
        <is>
          <t>0:50</t>
        </is>
      </c>
      <c r="C3746" t="inlineStr">
        <is>
          <t>and habits.</t>
        </is>
      </c>
      <c r="D3746">
        <f>HYPERLINK("https://www.youtube.com/watch?v=5m4hzh5jFMw&amp;t=50s", "Go to time")</f>
        <v/>
      </c>
    </row>
    <row r="3747">
      <c r="A3747">
        <f>HYPERLINK("https://www.youtube.com/watch?v=5m4hzh5jFMw", "Video")</f>
        <v/>
      </c>
      <c r="B3747" t="inlineStr">
        <is>
          <t>2:34</t>
        </is>
      </c>
      <c r="C3747" t="inlineStr">
        <is>
          <t>We push a little
bit on the chair</t>
        </is>
      </c>
      <c r="D3747">
        <f>HYPERLINK("https://www.youtube.com/watch?v=5m4hzh5jFMw&amp;t=154s", "Go to time")</f>
        <v/>
      </c>
    </row>
    <row r="3748">
      <c r="A3748">
        <f>HYPERLINK("https://www.youtube.com/watch?v=5m4hzh5jFMw", "Video")</f>
        <v/>
      </c>
      <c r="B3748" t="inlineStr">
        <is>
          <t>12:32</t>
        </is>
      </c>
      <c r="C3748" t="inlineStr">
        <is>
          <t>they are already, and get them
to move just a little bit.</t>
        </is>
      </c>
      <c r="D3748">
        <f>HYPERLINK("https://www.youtube.com/watch?v=5m4hzh5jFMw&amp;t=752s", "Go to time")</f>
        <v/>
      </c>
    </row>
    <row r="3749">
      <c r="A3749">
        <f>HYPERLINK("https://www.youtube.com/watch?v=5m4hzh5jFMw", "Video")</f>
        <v/>
      </c>
      <c r="B3749" t="inlineStr">
        <is>
          <t>12:37</t>
        </is>
      </c>
      <c r="C3749" t="inlineStr">
        <is>
          <t>One it gets them to move a
little bit in your direction,</t>
        </is>
      </c>
      <c r="D3749">
        <f>HYPERLINK("https://www.youtube.com/watch?v=5m4hzh5jFMw&amp;t=757s", "Go to time")</f>
        <v/>
      </c>
    </row>
    <row r="3750">
      <c r="A3750">
        <f>HYPERLINK("https://www.youtube.com/watch?v=5m4hzh5jFMw", "Video")</f>
        <v/>
      </c>
      <c r="B3750" t="inlineStr">
        <is>
          <t>13:54</t>
        </is>
      </c>
      <c r="C3750" t="inlineStr">
        <is>
          <t>goes back to providing the menu
that we talked a little bit</t>
        </is>
      </c>
      <c r="D3750">
        <f>HYPERLINK("https://www.youtube.com/watch?v=5m4hzh5jFMw&amp;t=834s", "Go to time")</f>
        <v/>
      </c>
    </row>
    <row r="3751">
      <c r="A3751">
        <f>HYPERLINK("https://www.youtube.com/watch?v=KPNbp3_4nQ0", "Video")</f>
        <v/>
      </c>
      <c r="B3751" t="inlineStr">
        <is>
          <t>3:52</t>
        </is>
      </c>
      <c r="C3751" t="inlineStr">
        <is>
          <t>and I'll share a
bit of a back story.</t>
        </is>
      </c>
      <c r="D3751">
        <f>HYPERLINK("https://www.youtube.com/watch?v=KPNbp3_4nQ0&amp;t=232s", "Go to time")</f>
        <v/>
      </c>
    </row>
    <row r="3752">
      <c r="A3752">
        <f>HYPERLINK("https://www.youtube.com/watch?v=KPNbp3_4nQ0", "Video")</f>
        <v/>
      </c>
      <c r="B3752" t="inlineStr">
        <is>
          <t>4:33</t>
        </is>
      </c>
      <c r="C3752" t="inlineStr">
        <is>
          <t>A bit of the backstory
on that paragraph--</t>
        </is>
      </c>
      <c r="D3752">
        <f>HYPERLINK("https://www.youtube.com/watch?v=KPNbp3_4nQ0&amp;t=273s", "Go to time")</f>
        <v/>
      </c>
    </row>
    <row r="3753">
      <c r="A3753">
        <f>HYPERLINK("https://www.youtube.com/watch?v=KPNbp3_4nQ0", "Video")</f>
        <v/>
      </c>
      <c r="B3753" t="inlineStr">
        <is>
          <t>21:16</t>
        </is>
      </c>
      <c r="C3753" t="inlineStr">
        <is>
          <t>been having and make a bit
of a difference in the world.</t>
        </is>
      </c>
      <c r="D3753">
        <f>HYPERLINK("https://www.youtube.com/watch?v=KPNbp3_4nQ0&amp;t=1276s", "Go to time")</f>
        <v/>
      </c>
    </row>
    <row r="3754">
      <c r="A3754">
        <f>HYPERLINK("https://www.youtube.com/watch?v=KPNbp3_4nQ0", "Video")</f>
        <v/>
      </c>
      <c r="B3754" t="inlineStr">
        <is>
          <t>22:30</t>
        </is>
      </c>
      <c r="C3754" t="inlineStr">
        <is>
          <t>Talk a little bit about
what the company looked</t>
        </is>
      </c>
      <c r="D3754">
        <f>HYPERLINK("https://www.youtube.com/watch?v=KPNbp3_4nQ0&amp;t=1350s", "Go to time")</f>
        <v/>
      </c>
    </row>
    <row r="3755">
      <c r="A3755">
        <f>HYPERLINK("https://www.youtube.com/watch?v=KPNbp3_4nQ0", "Video")</f>
        <v/>
      </c>
      <c r="B3755" t="inlineStr">
        <is>
          <t>26:06</t>
        </is>
      </c>
      <c r="C3755" t="inlineStr">
        <is>
          <t>who actually passed a little
bit earlier this year,</t>
        </is>
      </c>
      <c r="D3755">
        <f>HYPERLINK("https://www.youtube.com/watch?v=KPNbp3_4nQ0&amp;t=1566s", "Go to time")</f>
        <v/>
      </c>
    </row>
    <row r="3756">
      <c r="A3756">
        <f>HYPERLINK("https://www.youtube.com/watch?v=FExp9YuTzbY", "Video")</f>
        <v/>
      </c>
      <c r="B3756" t="inlineStr">
        <is>
          <t>1:20</t>
        </is>
      </c>
      <c r="C3756" t="inlineStr">
        <is>
          <t>including bitcoin ether and tether there</t>
        </is>
      </c>
      <c r="D3756">
        <f>HYPERLINK("https://www.youtube.com/watch?v=FExp9YuTzbY&amp;t=80s", "Go to time")</f>
        <v/>
      </c>
    </row>
    <row r="3757">
      <c r="A3757">
        <f>HYPERLINK("https://www.youtube.com/watch?v=tXB2f6vk-q4", "Video")</f>
        <v/>
      </c>
      <c r="B3757" t="inlineStr">
        <is>
          <t>6:36</t>
        </is>
      </c>
      <c r="C3757" t="inlineStr">
        <is>
          <t>upcoming I want to share with you a bit</t>
        </is>
      </c>
      <c r="D3757">
        <f>HYPERLINK("https://www.youtube.com/watch?v=tXB2f6vk-q4&amp;t=396s", "Go to time")</f>
        <v/>
      </c>
    </row>
    <row r="3758">
      <c r="A3758">
        <f>HYPERLINK("https://www.youtube.com/watch?v=tXB2f6vk-q4", "Video")</f>
        <v/>
      </c>
      <c r="B3758" t="inlineStr">
        <is>
          <t>12:23</t>
        </is>
      </c>
      <c r="C3758" t="inlineStr">
        <is>
          <t>bit simplistic as I say it but for most</t>
        </is>
      </c>
      <c r="D3758">
        <f>HYPERLINK("https://www.youtube.com/watch?v=tXB2f6vk-q4&amp;t=743s", "Go to time")</f>
        <v/>
      </c>
    </row>
    <row r="3759">
      <c r="A3759">
        <f>HYPERLINK("https://www.youtube.com/watch?v=tXB2f6vk-q4", "Video")</f>
        <v/>
      </c>
      <c r="B3759" t="inlineStr">
        <is>
          <t>17:13</t>
        </is>
      </c>
      <c r="C3759" t="inlineStr">
        <is>
          <t>try to shift a little bit but the real</t>
        </is>
      </c>
      <c r="D3759">
        <f>HYPERLINK("https://www.youtube.com/watch?v=tXB2f6vk-q4&amp;t=1033s", "Go to time")</f>
        <v/>
      </c>
    </row>
    <row r="3760">
      <c r="A3760">
        <f>HYPERLINK("https://www.youtube.com/watch?v=7mCnr6TBIKE", "Video")</f>
        <v/>
      </c>
      <c r="B3760" t="inlineStr">
        <is>
          <t>6:46</t>
        </is>
      </c>
      <c r="C3760" t="inlineStr">
        <is>
          <t>GRETA: So a little
bit like Maddie,</t>
        </is>
      </c>
      <c r="D3760">
        <f>HYPERLINK("https://www.youtube.com/watch?v=7mCnr6TBIKE&amp;t=406s", "Go to time")</f>
        <v/>
      </c>
    </row>
    <row r="3761">
      <c r="A3761">
        <f>HYPERLINK("https://www.youtube.com/watch?v=7mCnr6TBIKE", "Video")</f>
        <v/>
      </c>
      <c r="B3761" t="inlineStr">
        <is>
          <t>6:59</t>
        </is>
      </c>
      <c r="C3761" t="inlineStr">
        <is>
          <t>to inquire a little
bit what it meant to be</t>
        </is>
      </c>
      <c r="D3761">
        <f>HYPERLINK("https://www.youtube.com/watch?v=7mCnr6TBIKE&amp;t=419s", "Go to time")</f>
        <v/>
      </c>
    </row>
    <row r="3762">
      <c r="A3762">
        <f>HYPERLINK("https://www.youtube.com/watch?v=7mCnr6TBIKE", "Video")</f>
        <v/>
      </c>
      <c r="B3762" t="inlineStr">
        <is>
          <t>7:09</t>
        </is>
      </c>
      <c r="C3762" t="inlineStr">
        <is>
          <t>With a little bit of hindsight,
before working at the startup,</t>
        </is>
      </c>
      <c r="D3762">
        <f>HYPERLINK("https://www.youtube.com/watch?v=7mCnr6TBIKE&amp;t=429s", "Go to time")</f>
        <v/>
      </c>
    </row>
    <row r="3763">
      <c r="A3763">
        <f>HYPERLINK("https://www.youtube.com/watch?v=7mCnr6TBIKE", "Video")</f>
        <v/>
      </c>
      <c r="B3763" t="inlineStr">
        <is>
          <t>8:37</t>
        </is>
      </c>
      <c r="C3763" t="inlineStr">
        <is>
          <t>quite a bit younger
than some of my team,</t>
        </is>
      </c>
      <c r="D3763">
        <f>HYPERLINK("https://www.youtube.com/watch?v=7mCnr6TBIKE&amp;t=517s", "Go to time")</f>
        <v/>
      </c>
    </row>
    <row r="3764">
      <c r="A3764">
        <f>HYPERLINK("https://www.youtube.com/watch?v=7mCnr6TBIKE", "Video")</f>
        <v/>
      </c>
      <c r="B3764" t="inlineStr">
        <is>
          <t>12:18</t>
        </is>
      </c>
      <c r="C3764" t="inlineStr">
        <is>
          <t>I'm a bit of a control freak.</t>
        </is>
      </c>
      <c r="D3764">
        <f>HYPERLINK("https://www.youtube.com/watch?v=7mCnr6TBIKE&amp;t=738s", "Go to time")</f>
        <v/>
      </c>
    </row>
    <row r="3765">
      <c r="A3765">
        <f>HYPERLINK("https://www.youtube.com/watch?v=7mCnr6TBIKE", "Video")</f>
        <v/>
      </c>
      <c r="B3765" t="inlineStr">
        <is>
          <t>12:42</t>
        </is>
      </c>
      <c r="C3765" t="inlineStr">
        <is>
          <t>I had to kind of ease off a
bit and focus on the high level</t>
        </is>
      </c>
      <c r="D3765">
        <f>HYPERLINK("https://www.youtube.com/watch?v=7mCnr6TBIKE&amp;t=762s", "Go to time")</f>
        <v/>
      </c>
    </row>
    <row r="3766">
      <c r="A3766">
        <f>HYPERLINK("https://www.youtube.com/watch?v=7mCnr6TBIKE", "Video")</f>
        <v/>
      </c>
      <c r="B3766" t="inlineStr">
        <is>
          <t>13:58</t>
        </is>
      </c>
      <c r="C3766" t="inlineStr">
        <is>
          <t>So I took everything a little
bit of like a discovery.</t>
        </is>
      </c>
      <c r="D3766">
        <f>HYPERLINK("https://www.youtube.com/watch?v=7mCnr6TBIKE&amp;t=838s", "Go to time")</f>
        <v/>
      </c>
    </row>
    <row r="3767">
      <c r="A3767">
        <f>HYPERLINK("https://www.youtube.com/watch?v=7mCnr6TBIKE", "Video")</f>
        <v/>
      </c>
      <c r="B3767" t="inlineStr">
        <is>
          <t>14:48</t>
        </is>
      </c>
      <c r="C3767" t="inlineStr">
        <is>
          <t>has to be a little
bit like continuous.</t>
        </is>
      </c>
      <c r="D3767">
        <f>HYPERLINK("https://www.youtube.com/watch?v=7mCnr6TBIKE&amp;t=888s", "Go to time")</f>
        <v/>
      </c>
    </row>
    <row r="3768">
      <c r="A3768">
        <f>HYPERLINK("https://www.youtube.com/watch?v=7mCnr6TBIKE", "Video")</f>
        <v/>
      </c>
      <c r="B3768" t="inlineStr">
        <is>
          <t>15:28</t>
        </is>
      </c>
      <c r="C3768" t="inlineStr">
        <is>
          <t>so it feels a little bit
like tricky to evaluate</t>
        </is>
      </c>
      <c r="D3768">
        <f>HYPERLINK("https://www.youtube.com/watch?v=7mCnr6TBIKE&amp;t=928s", "Go to time")</f>
        <v/>
      </c>
    </row>
    <row r="3769">
      <c r="A3769">
        <f>HYPERLINK("https://www.youtube.com/watch?v=7mCnr6TBIKE", "Video")</f>
        <v/>
      </c>
      <c r="B3769" t="inlineStr">
        <is>
          <t>15:43</t>
        </is>
      </c>
      <c r="C3769" t="inlineStr">
        <is>
          <t>So I think that's a
little bit of a blocking,</t>
        </is>
      </c>
      <c r="D3769">
        <f>HYPERLINK("https://www.youtube.com/watch?v=7mCnr6TBIKE&amp;t=943s", "Go to time")</f>
        <v/>
      </c>
    </row>
    <row r="3770">
      <c r="A3770">
        <f>HYPERLINK("https://www.youtube.com/watch?v=7mCnr6TBIKE", "Video")</f>
        <v/>
      </c>
      <c r="B3770" t="inlineStr">
        <is>
          <t>16:49</t>
        </is>
      </c>
      <c r="C3770" t="inlineStr">
        <is>
          <t>So they might feel a bit
happier about being open</t>
        </is>
      </c>
      <c r="D3770">
        <f>HYPERLINK("https://www.youtube.com/watch?v=7mCnr6TBIKE&amp;t=1009s", "Go to time")</f>
        <v/>
      </c>
    </row>
    <row r="3771">
      <c r="A3771">
        <f>HYPERLINK("https://www.youtube.com/watch?v=7mCnr6TBIKE", "Video")</f>
        <v/>
      </c>
      <c r="B3771" t="inlineStr">
        <is>
          <t>26:38</t>
        </is>
      </c>
      <c r="C3771" t="inlineStr">
        <is>
          <t>It's a little bit of
like being by their side,</t>
        </is>
      </c>
      <c r="D3771">
        <f>HYPERLINK("https://www.youtube.com/watch?v=7mCnr6TBIKE&amp;t=1598s", "Go to time")</f>
        <v/>
      </c>
    </row>
    <row r="3772">
      <c r="A3772">
        <f>HYPERLINK("https://www.youtube.com/watch?v=7mCnr6TBIKE", "Video")</f>
        <v/>
      </c>
      <c r="B3772" t="inlineStr">
        <is>
          <t>26:40</t>
        </is>
      </c>
      <c r="C3772" t="inlineStr">
        <is>
          <t>and yeah, I see a little bit
of like a journey companion</t>
        </is>
      </c>
      <c r="D3772">
        <f>HYPERLINK("https://www.youtube.com/watch?v=7mCnr6TBIKE&amp;t=1600s", "Go to time")</f>
        <v/>
      </c>
    </row>
    <row r="3773">
      <c r="A3773">
        <f>HYPERLINK("https://www.youtube.com/watch?v=7mCnr6TBIKE", "Video")</f>
        <v/>
      </c>
      <c r="B3773" t="inlineStr">
        <is>
          <t>27:31</t>
        </is>
      </c>
      <c r="C3773" t="inlineStr">
        <is>
          <t>of time what your ambition is.</t>
        </is>
      </c>
      <c r="D3773">
        <f>HYPERLINK("https://www.youtube.com/watch?v=7mCnr6TBIKE&amp;t=1651s", "Go to time")</f>
        <v/>
      </c>
    </row>
    <row r="3774">
      <c r="A3774">
        <f>HYPERLINK("https://www.youtube.com/watch?v=7mCnr6TBIKE", "Video")</f>
        <v/>
      </c>
      <c r="B3774" t="inlineStr">
        <is>
          <t>30:18</t>
        </is>
      </c>
      <c r="C3774" t="inlineStr">
        <is>
          <t>If I do this my own way, is it
going to come back and bite me?</t>
        </is>
      </c>
      <c r="D3774">
        <f>HYPERLINK("https://www.youtube.com/watch?v=7mCnr6TBIKE&amp;t=1818s", "Go to time")</f>
        <v/>
      </c>
    </row>
    <row r="3775">
      <c r="A3775">
        <f>HYPERLINK("https://www.youtube.com/watch?v=7mCnr6TBIKE", "Video")</f>
        <v/>
      </c>
      <c r="B3775" t="inlineStr">
        <is>
          <t>33:44</t>
        </is>
      </c>
      <c r="C3775" t="inlineStr">
        <is>
          <t>It's not data-based, and maybe
I'm a bit of a data junkie.</t>
        </is>
      </c>
      <c r="D3775">
        <f>HYPERLINK("https://www.youtube.com/watch?v=7mCnr6TBIKE&amp;t=2024s", "Go to time")</f>
        <v/>
      </c>
    </row>
    <row r="3776">
      <c r="A3776">
        <f>HYPERLINK("https://www.youtube.com/watch?v=7mCnr6TBIKE", "Video")</f>
        <v/>
      </c>
      <c r="B3776" t="inlineStr">
        <is>
          <t>42:00</t>
        </is>
      </c>
      <c r="C3776" t="inlineStr">
        <is>
          <t>AMY BERNSTEIN: I was a
little bit surprised by that.</t>
        </is>
      </c>
      <c r="D3776">
        <f>HYPERLINK("https://www.youtube.com/watch?v=7mCnr6TBIKE&amp;t=2520s", "Go to time")</f>
        <v/>
      </c>
    </row>
    <row r="3777">
      <c r="A3777">
        <f>HYPERLINK("https://www.youtube.com/watch?v=gziUmTOFyr8", "Video")</f>
        <v/>
      </c>
      <c r="B3777" t="inlineStr">
        <is>
          <t>2:38</t>
        </is>
      </c>
      <c r="C3777" t="inlineStr">
        <is>
          <t>And when we dug
in a bit, we found</t>
        </is>
      </c>
      <c r="D3777">
        <f>HYPERLINK("https://www.youtube.com/watch?v=gziUmTOFyr8&amp;t=158s", "Go to time")</f>
        <v/>
      </c>
    </row>
    <row r="3778">
      <c r="A3778">
        <f>HYPERLINK("https://www.youtube.com/watch?v=gziUmTOFyr8", "Video")</f>
        <v/>
      </c>
      <c r="B3778" t="inlineStr">
        <is>
          <t>4:20</t>
        </is>
      </c>
      <c r="C3778" t="inlineStr">
        <is>
          <t>just tell us a little bit
about the footwear industry</t>
        </is>
      </c>
      <c r="D3778">
        <f>HYPERLINK("https://www.youtube.com/watch?v=gziUmTOFyr8&amp;t=260s", "Go to time")</f>
        <v/>
      </c>
    </row>
    <row r="3779">
      <c r="A3779">
        <f>HYPERLINK("https://www.youtube.com/watch?v=gziUmTOFyr8", "Video")</f>
        <v/>
      </c>
      <c r="B3779" t="inlineStr">
        <is>
          <t>5:33</t>
        </is>
      </c>
      <c r="C3779" t="inlineStr">
        <is>
          <t>have come down quite a bit
since you started buying shoes,</t>
        </is>
      </c>
      <c r="D3779">
        <f>HYPERLINK("https://www.youtube.com/watch?v=gziUmTOFyr8&amp;t=333s", "Go to time")</f>
        <v/>
      </c>
    </row>
    <row r="3780">
      <c r="A3780">
        <f>HYPERLINK("https://www.youtube.com/watch?v=gziUmTOFyr8", "Video")</f>
        <v/>
      </c>
      <c r="B3780" t="inlineStr">
        <is>
          <t>5:50</t>
        </is>
      </c>
      <c r="C3780" t="inlineStr">
        <is>
          <t>and a little bit about what your
goal is for the business, you</t>
        </is>
      </c>
      <c r="D3780">
        <f>HYPERLINK("https://www.youtube.com/watch?v=gziUmTOFyr8&amp;t=350s", "Go to time")</f>
        <v/>
      </c>
    </row>
    <row r="3781">
      <c r="A3781">
        <f>HYPERLINK("https://www.youtube.com/watch?v=gziUmTOFyr8", "Video")</f>
        <v/>
      </c>
      <c r="B3781" t="inlineStr">
        <is>
          <t>6:26</t>
        </is>
      </c>
      <c r="C3781" t="inlineStr">
        <is>
          <t>I want to just expand that a
little bit to say naturally</t>
        </is>
      </c>
      <c r="D3781">
        <f>HYPERLINK("https://www.youtube.com/watch?v=gziUmTOFyr8&amp;t=386s", "Go to time")</f>
        <v/>
      </c>
    </row>
    <row r="3782">
      <c r="A3782">
        <f>HYPERLINK("https://www.youtube.com/watch?v=gziUmTOFyr8", "Video")</f>
        <v/>
      </c>
      <c r="B3782" t="inlineStr">
        <is>
          <t>8:07</t>
        </is>
      </c>
      <c r="C3782" t="inlineStr">
        <is>
          <t>I hear a little bit of
that in what you're saying.</t>
        </is>
      </c>
      <c r="D3782">
        <f>HYPERLINK("https://www.youtube.com/watch?v=gziUmTOFyr8&amp;t=487s", "Go to time")</f>
        <v/>
      </c>
    </row>
    <row r="3783">
      <c r="A3783">
        <f>HYPERLINK("https://www.youtube.com/watch?v=gziUmTOFyr8", "Video")</f>
        <v/>
      </c>
      <c r="B3783" t="inlineStr">
        <is>
          <t>8:08</t>
        </is>
      </c>
      <c r="C3783" t="inlineStr">
        <is>
          <t>Tell us a little bit about the
origins of the company and Tim</t>
        </is>
      </c>
      <c r="D3783">
        <f>HYPERLINK("https://www.youtube.com/watch?v=gziUmTOFyr8&amp;t=488s", "Go to time")</f>
        <v/>
      </c>
    </row>
    <row r="3784">
      <c r="A3784">
        <f>HYPERLINK("https://www.youtube.com/watch?v=gziUmTOFyr8", "Video")</f>
        <v/>
      </c>
      <c r="B3784" t="inlineStr">
        <is>
          <t>14:19</t>
        </is>
      </c>
      <c r="C3784" t="inlineStr">
        <is>
          <t>It's still a bit
nichey in some ways.</t>
        </is>
      </c>
      <c r="D3784">
        <f>HYPERLINK("https://www.youtube.com/watch?v=gziUmTOFyr8&amp;t=859s", "Go to time")</f>
        <v/>
      </c>
    </row>
    <row r="3785">
      <c r="A3785">
        <f>HYPERLINK("https://www.youtube.com/watch?v=gziUmTOFyr8", "Video")</f>
        <v/>
      </c>
      <c r="B3785" t="inlineStr">
        <is>
          <t>27:40</t>
        </is>
      </c>
      <c r="C3785" t="inlineStr">
        <is>
          <t>Can you talk a little bit about
what that process has been like</t>
        </is>
      </c>
      <c r="D3785">
        <f>HYPERLINK("https://www.youtube.com/watch?v=gziUmTOFyr8&amp;t=1660s", "Go to time")</f>
        <v/>
      </c>
    </row>
    <row r="3786">
      <c r="A3786">
        <f>HYPERLINK("https://www.youtube.com/watch?v=w9AhH0xnb3M", "Video")</f>
        <v/>
      </c>
      <c r="B3786" t="inlineStr">
        <is>
          <t>6:38</t>
        </is>
      </c>
      <c r="C3786" t="inlineStr">
        <is>
          <t>and tried to slow
it down a bit?"</t>
        </is>
      </c>
      <c r="D3786">
        <f>HYPERLINK("https://www.youtube.com/watch?v=w9AhH0xnb3M&amp;t=398s", "Go to time")</f>
        <v/>
      </c>
    </row>
    <row r="3787">
      <c r="A3787">
        <f>HYPERLINK("https://www.youtube.com/watch?v=NcD3nufvA7Y", "Video")</f>
        <v/>
      </c>
      <c r="B3787" t="inlineStr">
        <is>
          <t>2:10</t>
        </is>
      </c>
      <c r="C3787" t="inlineStr">
        <is>
          <t>experienced thoughtful ambitious person</t>
        </is>
      </c>
      <c r="D3787">
        <f>HYPERLINK("https://www.youtube.com/watch?v=NcD3nufvA7Y&amp;t=130s", "Go to time")</f>
        <v/>
      </c>
    </row>
    <row r="3788">
      <c r="A3788">
        <f>HYPERLINK("https://www.youtube.com/watch?v=NcD3nufvA7Y", "Video")</f>
        <v/>
      </c>
      <c r="B3788" t="inlineStr">
        <is>
          <t>2:56</t>
        </is>
      </c>
      <c r="C3788" t="inlineStr">
        <is>
          <t>that is ticked one last bit of context</t>
        </is>
      </c>
      <c r="D3788">
        <f>HYPERLINK("https://www.youtube.com/watch?v=NcD3nufvA7Y&amp;t=176s", "Go to time")</f>
        <v/>
      </c>
    </row>
    <row r="3789">
      <c r="A3789">
        <f>HYPERLINK("https://www.youtube.com/watch?v=NcD3nufvA7Y", "Video")</f>
        <v/>
      </c>
      <c r="B3789" t="inlineStr">
        <is>
          <t>5:01</t>
        </is>
      </c>
      <c r="C3789" t="inlineStr">
        <is>
          <t>bit more complicated but if you're</t>
        </is>
      </c>
      <c r="D3789">
        <f>HYPERLINK("https://www.youtube.com/watch?v=NcD3nufvA7Y&amp;t=301s", "Go to time")</f>
        <v/>
      </c>
    </row>
    <row r="3790">
      <c r="A3790">
        <f>HYPERLINK("https://www.youtube.com/watch?v=P562K-K5t94", "Video")</f>
        <v/>
      </c>
      <c r="B3790" t="inlineStr">
        <is>
          <t>0:00</t>
        </is>
      </c>
      <c r="C3790" t="inlineStr">
        <is>
          <t>AMY JEN SU: Think
about a bad habit</t>
        </is>
      </c>
      <c r="D3790">
        <f>HYPERLINK("https://www.youtube.com/watch?v=P562K-K5t94&amp;t=0s", "Go to time")</f>
        <v/>
      </c>
    </row>
    <row r="3791">
      <c r="A3791">
        <f>HYPERLINK("https://www.youtube.com/watch?v=P562K-K5t94", "Video")</f>
        <v/>
      </c>
      <c r="B3791" t="inlineStr">
        <is>
          <t>1:27</t>
        </is>
      </c>
      <c r="C3791" t="inlineStr">
        <is>
          <t>called rabbit that I picked
up from a child's book called</t>
        </is>
      </c>
      <c r="D3791">
        <f>HYPERLINK("https://www.youtube.com/watch?v=P562K-K5t94&amp;t=87s", "Go to time")</f>
        <v/>
      </c>
    </row>
    <row r="3792">
      <c r="A3792">
        <f>HYPERLINK("https://www.youtube.com/watch?v=P562K-K5t94", "Video")</f>
        <v/>
      </c>
      <c r="B3792" t="inlineStr">
        <is>
          <t>1:30</t>
        </is>
      </c>
      <c r="C3792" t="inlineStr">
        <is>
          <t>The Rabbit Listened.</t>
        </is>
      </c>
      <c r="D3792">
        <f>HYPERLINK("https://www.youtube.com/watch?v=P562K-K5t94&amp;t=90s", "Go to time")</f>
        <v/>
      </c>
    </row>
    <row r="3793">
      <c r="A3793">
        <f>HYPERLINK("https://www.youtube.com/watch?v=P562K-K5t94", "Video")</f>
        <v/>
      </c>
      <c r="B3793" t="inlineStr">
        <is>
          <t>1:35</t>
        </is>
      </c>
      <c r="C3793" t="inlineStr">
        <is>
          <t>with a colleague, I simply
say to myself the word rabbit,</t>
        </is>
      </c>
      <c r="D3793">
        <f>HYPERLINK("https://www.youtube.com/watch?v=P562K-K5t94&amp;t=95s", "Go to time")</f>
        <v/>
      </c>
    </row>
    <row r="3794">
      <c r="A3794">
        <f>HYPERLINK("https://www.youtube.com/watch?v=P562K-K5t94", "Video")</f>
        <v/>
      </c>
      <c r="B3794" t="inlineStr">
        <is>
          <t>3:38</t>
        </is>
      </c>
      <c r="C3794" t="inlineStr">
        <is>
          <t>into our bad habits or
knee-jerk reactions.</t>
        </is>
      </c>
      <c r="D3794">
        <f>HYPERLINK("https://www.youtube.com/watch?v=P562K-K5t94&amp;t=218s", "Go to time")</f>
        <v/>
      </c>
    </row>
    <row r="3795">
      <c r="A3795">
        <f>HYPERLINK("https://www.youtube.com/watch?v=udnLC9WtV08", "Video")</f>
        <v/>
      </c>
      <c r="B3795" t="inlineStr">
        <is>
          <t>5:24</t>
        </is>
      </c>
      <c r="C3795" t="inlineStr">
        <is>
          <t>flatter them a little bit.</t>
        </is>
      </c>
      <c r="D3795">
        <f>HYPERLINK("https://www.youtube.com/watch?v=udnLC9WtV08&amp;t=324s", "Go to time")</f>
        <v/>
      </c>
    </row>
    <row r="3796">
      <c r="A3796">
        <f>HYPERLINK("https://www.youtube.com/watch?v=1IHBIijdxY8", "Video")</f>
        <v/>
      </c>
      <c r="B3796" t="inlineStr">
        <is>
          <t>4:50</t>
        </is>
      </c>
      <c r="C3796" t="inlineStr">
        <is>
          <t>Even if I don't use a
single bit of the text here,</t>
        </is>
      </c>
      <c r="D3796">
        <f>HYPERLINK("https://www.youtube.com/watch?v=1IHBIijdxY8&amp;t=290s", "Go to time")</f>
        <v/>
      </c>
    </row>
    <row r="3797">
      <c r="A3797">
        <f>HYPERLINK("https://www.youtube.com/watch?v=1IHBIijdxY8", "Video")</f>
        <v/>
      </c>
      <c r="B3797" t="inlineStr">
        <is>
          <t>9:28</t>
        </is>
      </c>
      <c r="C3797" t="inlineStr">
        <is>
          <t>takes a little bit of space, and
so it's not as good for coding.</t>
        </is>
      </c>
      <c r="D3797">
        <f>HYPERLINK("https://www.youtube.com/watch?v=1IHBIijdxY8&amp;t=568s", "Go to time")</f>
        <v/>
      </c>
    </row>
    <row r="3798">
      <c r="A3798">
        <f>HYPERLINK("https://www.youtube.com/watch?v=PbpVliJEwkE", "Video")</f>
        <v/>
      </c>
      <c r="B3798" t="inlineStr">
        <is>
          <t>9:00</t>
        </is>
      </c>
      <c r="C3798" t="inlineStr">
        <is>
          <t>of the firm a little bit.</t>
        </is>
      </c>
      <c r="D3798">
        <f>HYPERLINK("https://www.youtube.com/watch?v=PbpVliJEwkE&amp;t=540s", "Go to time")</f>
        <v/>
      </c>
    </row>
    <row r="3799">
      <c r="A3799">
        <f>HYPERLINK("https://www.youtube.com/watch?v=PbpVliJEwkE", "Video")</f>
        <v/>
      </c>
      <c r="B3799" t="inlineStr">
        <is>
          <t>9:04</t>
        </is>
      </c>
      <c r="C3799" t="inlineStr">
        <is>
          <t>But tell us a little bit
about what the inspiration was</t>
        </is>
      </c>
      <c r="D3799">
        <f>HYPERLINK("https://www.youtube.com/watch?v=PbpVliJEwkE&amp;t=544s", "Go to time")</f>
        <v/>
      </c>
    </row>
    <row r="3800">
      <c r="A3800">
        <f>HYPERLINK("https://www.youtube.com/watch?v=PbpVliJEwkE", "Video")</f>
        <v/>
      </c>
      <c r="B3800" t="inlineStr">
        <is>
          <t>14:13</t>
        </is>
      </c>
      <c r="C3800" t="inlineStr">
        <is>
          <t>So can you talk a
little bit about that?</t>
        </is>
      </c>
      <c r="D3800">
        <f>HYPERLINK("https://www.youtube.com/watch?v=PbpVliJEwkE&amp;t=853s", "Go to time")</f>
        <v/>
      </c>
    </row>
    <row r="3801">
      <c r="A3801">
        <f>HYPERLINK("https://www.youtube.com/watch?v=PbpVliJEwkE", "Video")</f>
        <v/>
      </c>
      <c r="B3801" t="inlineStr">
        <is>
          <t>17:02</t>
        </is>
      </c>
      <c r="C3801" t="inlineStr">
        <is>
          <t>and we have a lovely exhibit
with visualizations of these.</t>
        </is>
      </c>
      <c r="D3801">
        <f>HYPERLINK("https://www.youtube.com/watch?v=PbpVliJEwkE&amp;t=1022s", "Go to time")</f>
        <v/>
      </c>
    </row>
    <row r="3802">
      <c r="A3802">
        <f>HYPERLINK("https://www.youtube.com/watch?v=nw3Y-aKwTTA", "Video")</f>
        <v/>
      </c>
      <c r="B3802" t="inlineStr">
        <is>
          <t>2:17</t>
        </is>
      </c>
      <c r="C3802" t="inlineStr">
        <is>
          <t>So I'd love to hear you
talk a little bit about how</t>
        </is>
      </c>
      <c r="D3802">
        <f>HYPERLINK("https://www.youtube.com/watch?v=nw3Y-aKwTTA&amp;t=137s", "Go to time")</f>
        <v/>
      </c>
    </row>
    <row r="3803">
      <c r="A3803">
        <f>HYPERLINK("https://www.youtube.com/watch?v=nw3Y-aKwTTA", "Video")</f>
        <v/>
      </c>
      <c r="B3803" t="inlineStr">
        <is>
          <t>4:50</t>
        </is>
      </c>
      <c r="C3803" t="inlineStr">
        <is>
          <t>I bit the insides of my mouth.</t>
        </is>
      </c>
      <c r="D3803">
        <f>HYPERLINK("https://www.youtube.com/watch?v=nw3Y-aKwTTA&amp;t=290s", "Go to time")</f>
        <v/>
      </c>
    </row>
    <row r="3804">
      <c r="A3804">
        <f>HYPERLINK("https://www.youtube.com/watch?v=nw3Y-aKwTTA", "Video")</f>
        <v/>
      </c>
      <c r="B3804" t="inlineStr">
        <is>
          <t>6:17</t>
        </is>
      </c>
      <c r="C3804" t="inlineStr">
        <is>
          <t>Let's talk a little
bit more about that.</t>
        </is>
      </c>
      <c r="D3804">
        <f>HYPERLINK("https://www.youtube.com/watch?v=nw3Y-aKwTTA&amp;t=377s", "Go to time")</f>
        <v/>
      </c>
    </row>
    <row r="3805">
      <c r="A3805">
        <f>HYPERLINK("https://www.youtube.com/watch?v=nw3Y-aKwTTA", "Video")</f>
        <v/>
      </c>
      <c r="B3805" t="inlineStr">
        <is>
          <t>6:39</t>
        </is>
      </c>
      <c r="C3805" t="inlineStr">
        <is>
          <t>So I'd love to hear you
talk a little bit more</t>
        </is>
      </c>
      <c r="D3805">
        <f>HYPERLINK("https://www.youtube.com/watch?v=nw3Y-aKwTTA&amp;t=399s", "Go to time")</f>
        <v/>
      </c>
    </row>
    <row r="3806">
      <c r="A3806">
        <f>HYPERLINK("https://www.youtube.com/watch?v=nw3Y-aKwTTA", "Video")</f>
        <v/>
      </c>
      <c r="B3806" t="inlineStr">
        <is>
          <t>10:41</t>
        </is>
      </c>
      <c r="C3806" t="inlineStr">
        <is>
          <t>you started to talk a little
bit about this moment.</t>
        </is>
      </c>
      <c r="D3806">
        <f>HYPERLINK("https://www.youtube.com/watch?v=nw3Y-aKwTTA&amp;t=641s", "Go to time")</f>
        <v/>
      </c>
    </row>
    <row r="3807">
      <c r="A3807">
        <f>HYPERLINK("https://www.youtube.com/watch?v=nw3Y-aKwTTA", "Video")</f>
        <v/>
      </c>
      <c r="B3807" t="inlineStr">
        <is>
          <t>10:45</t>
        </is>
      </c>
      <c r="C3807" t="inlineStr">
        <is>
          <t>And I want to go a little
bit deeper with that.</t>
        </is>
      </c>
      <c r="D3807">
        <f>HYPERLINK("https://www.youtube.com/watch?v=nw3Y-aKwTTA&amp;t=645s", "Go to time")</f>
        <v/>
      </c>
    </row>
    <row r="3808">
      <c r="A3808">
        <f>HYPERLINK("https://www.youtube.com/watch?v=nw3Y-aKwTTA", "Video")</f>
        <v/>
      </c>
      <c r="B3808" t="inlineStr">
        <is>
          <t>11:35</t>
        </is>
      </c>
      <c r="C3808" t="inlineStr">
        <is>
          <t>let's go back a little bit.</t>
        </is>
      </c>
      <c r="D3808">
        <f>HYPERLINK("https://www.youtube.com/watch?v=nw3Y-aKwTTA&amp;t=695s", "Go to time")</f>
        <v/>
      </c>
    </row>
    <row r="3809">
      <c r="A3809">
        <f>HYPERLINK("https://www.youtube.com/watch?v=nw3Y-aKwTTA", "Video")</f>
        <v/>
      </c>
      <c r="B3809" t="inlineStr">
        <is>
          <t>12:19</t>
        </is>
      </c>
      <c r="C3809" t="inlineStr">
        <is>
          <t>There's a bit of both.</t>
        </is>
      </c>
      <c r="D3809">
        <f>HYPERLINK("https://www.youtube.com/watch?v=nw3Y-aKwTTA&amp;t=739s", "Go to time")</f>
        <v/>
      </c>
    </row>
    <row r="3810">
      <c r="A3810">
        <f>HYPERLINK("https://www.youtube.com/watch?v=nw3Y-aKwTTA", "Video")</f>
        <v/>
      </c>
      <c r="B3810" t="inlineStr">
        <is>
          <t>16:29</t>
        </is>
      </c>
      <c r="C3810" t="inlineStr">
        <is>
          <t>that I needed to quiet
down a little bit,</t>
        </is>
      </c>
      <c r="D3810">
        <f>HYPERLINK("https://www.youtube.com/watch?v=nw3Y-aKwTTA&amp;t=989s", "Go to time")</f>
        <v/>
      </c>
    </row>
    <row r="3811">
      <c r="A3811">
        <f>HYPERLINK("https://www.youtube.com/watch?v=nw3Y-aKwTTA", "Video")</f>
        <v/>
      </c>
      <c r="B3811" t="inlineStr">
        <is>
          <t>17:44</t>
        </is>
      </c>
      <c r="C3811" t="inlineStr">
        <is>
          <t>I want to shift
gears a little bit.</t>
        </is>
      </c>
      <c r="D3811">
        <f>HYPERLINK("https://www.youtube.com/watch?v=nw3Y-aKwTTA&amp;t=1064s", "Go to time")</f>
        <v/>
      </c>
    </row>
    <row r="3812">
      <c r="A3812">
        <f>HYPERLINK("https://www.youtube.com/watch?v=nw3Y-aKwTTA", "Video")</f>
        <v/>
      </c>
      <c r="B3812" t="inlineStr">
        <is>
          <t>35:31</t>
        </is>
      </c>
      <c r="C3812" t="inlineStr">
        <is>
          <t>We're a little bit over time.</t>
        </is>
      </c>
      <c r="D3812">
        <f>HYPERLINK("https://www.youtube.com/watch?v=nw3Y-aKwTTA&amp;t=2131s", "Go to time")</f>
        <v/>
      </c>
    </row>
    <row r="3813">
      <c r="A3813">
        <f>HYPERLINK("https://www.youtube.com/watch?v=MizKfYe-oko", "Video")</f>
        <v/>
      </c>
      <c r="B3813" t="inlineStr">
        <is>
          <t>3:18</t>
        </is>
      </c>
      <c r="C3813" t="inlineStr">
        <is>
          <t>or the midlife malaise is
a little bit misleading.</t>
        </is>
      </c>
      <c r="D3813">
        <f>HYPERLINK("https://www.youtube.com/watch?v=MizKfYe-oko&amp;t=198s", "Go to time")</f>
        <v/>
      </c>
    </row>
    <row r="3814">
      <c r="A3814">
        <f>HYPERLINK("https://www.youtube.com/watch?v=MizKfYe-oko", "Video")</f>
        <v/>
      </c>
      <c r="B3814" t="inlineStr">
        <is>
          <t>5:22</t>
        </is>
      </c>
      <c r="C3814" t="inlineStr">
        <is>
          <t>Tell me a little
bit more about what</t>
        </is>
      </c>
      <c r="D3814">
        <f>HYPERLINK("https://www.youtube.com/watch?v=MizKfYe-oko&amp;t=322s", "Go to time")</f>
        <v/>
      </c>
    </row>
    <row r="3815">
      <c r="A3815">
        <f>HYPERLINK("https://www.youtube.com/watch?v=MizKfYe-oko", "Video")</f>
        <v/>
      </c>
      <c r="B3815" t="inlineStr">
        <is>
          <t>12:30</t>
        </is>
      </c>
      <c r="C3815" t="inlineStr">
        <is>
          <t>Talk to me a little
bit about the advice</t>
        </is>
      </c>
      <c r="D3815">
        <f>HYPERLINK("https://www.youtube.com/watch?v=MizKfYe-oko&amp;t=750s", "Go to time")</f>
        <v/>
      </c>
    </row>
    <row r="3816">
      <c r="A3816">
        <f>HYPERLINK("https://www.youtube.com/watch?v=MizKfYe-oko", "Video")</f>
        <v/>
      </c>
      <c r="B3816" t="inlineStr">
        <is>
          <t>16:18</t>
        </is>
      </c>
      <c r="C3816" t="inlineStr">
        <is>
          <t>to feel a little bit empty.</t>
        </is>
      </c>
      <c r="D3816">
        <f>HYPERLINK("https://www.youtube.com/watch?v=MizKfYe-oko&amp;t=978s", "Go to time")</f>
        <v/>
      </c>
    </row>
    <row r="3817">
      <c r="A3817">
        <f>HYPERLINK("https://www.youtube.com/watch?v=MizKfYe-oko", "Video")</f>
        <v/>
      </c>
      <c r="B3817" t="inlineStr">
        <is>
          <t>19:55</t>
        </is>
      </c>
      <c r="C3817" t="inlineStr">
        <is>
          <t>ALISON BEARD: So I do want
to push back a little bit</t>
        </is>
      </c>
      <c r="D3817">
        <f>HYPERLINK("https://www.youtube.com/watch?v=MizKfYe-oko&amp;t=1195s", "Go to time")</f>
        <v/>
      </c>
    </row>
    <row r="3818">
      <c r="A3818">
        <f>HYPERLINK("https://www.youtube.com/watch?v=MizKfYe-oko", "Video")</f>
        <v/>
      </c>
      <c r="B3818" t="inlineStr">
        <is>
          <t>20:51</t>
        </is>
      </c>
      <c r="C3818" t="inlineStr">
        <is>
          <t>And if they don't, well,
that's a bit of evidence</t>
        </is>
      </c>
      <c r="D3818">
        <f>HYPERLINK("https://www.youtube.com/watch?v=MizKfYe-oko&amp;t=1251s", "Go to time")</f>
        <v/>
      </c>
    </row>
    <row r="3819">
      <c r="A3819">
        <f>HYPERLINK("https://www.youtube.com/watch?v=hD4KUkkPAT4", "Video")</f>
        <v/>
      </c>
      <c r="B3819" t="inlineStr">
        <is>
          <t>5:32</t>
        </is>
      </c>
      <c r="C3819" t="inlineStr">
        <is>
          <t>Talk a little bit about your
past and your life and career</t>
        </is>
      </c>
      <c r="D3819">
        <f>HYPERLINK("https://www.youtube.com/watch?v=hD4KUkkPAT4&amp;t=332s", "Go to time")</f>
        <v/>
      </c>
    </row>
    <row r="3820">
      <c r="A3820">
        <f>HYPERLINK("https://www.youtube.com/watch?v=hD4KUkkPAT4", "Video")</f>
        <v/>
      </c>
      <c r="B3820" t="inlineStr">
        <is>
          <t>7:49</t>
        </is>
      </c>
      <c r="C3820" t="inlineStr">
        <is>
          <t>Can you talk about
that a little bit?</t>
        </is>
      </c>
      <c r="D3820">
        <f>HYPERLINK("https://www.youtube.com/watch?v=hD4KUkkPAT4&amp;t=469s", "Go to time")</f>
        <v/>
      </c>
    </row>
    <row r="3821">
      <c r="A3821">
        <f>HYPERLINK("https://www.youtube.com/watch?v=hD4KUkkPAT4", "Video")</f>
        <v/>
      </c>
      <c r="B3821" t="inlineStr">
        <is>
          <t>11:55</t>
        </is>
      </c>
      <c r="C3821" t="inlineStr">
        <is>
          <t>can you talk a little
bit about what that means</t>
        </is>
      </c>
      <c r="D3821">
        <f>HYPERLINK("https://www.youtube.com/watch?v=hD4KUkkPAT4&amp;t=715s", "Go to time")</f>
        <v/>
      </c>
    </row>
    <row r="3822">
      <c r="A3822">
        <f>HYPERLINK("https://www.youtube.com/watch?v=hD4KUkkPAT4", "Video")</f>
        <v/>
      </c>
      <c r="B3822" t="inlineStr">
        <is>
          <t>17:38</t>
        </is>
      </c>
      <c r="C3822" t="inlineStr">
        <is>
          <t>ADI IGNATIUS: So let's
shift gears a little bit.</t>
        </is>
      </c>
      <c r="D3822">
        <f>HYPERLINK("https://www.youtube.com/watch?v=hD4KUkkPAT4&amp;t=1058s", "Go to time")</f>
        <v/>
      </c>
    </row>
    <row r="3823">
      <c r="A3823">
        <f>HYPERLINK("https://www.youtube.com/watch?v=hD4KUkkPAT4", "Video")</f>
        <v/>
      </c>
      <c r="B3823" t="inlineStr">
        <is>
          <t>27:18</t>
        </is>
      </c>
      <c r="C3823" t="inlineStr">
        <is>
          <t>I mentioned a
little bit earlier,</t>
        </is>
      </c>
      <c r="D3823">
        <f>HYPERLINK("https://www.youtube.com/watch?v=hD4KUkkPAT4&amp;t=1638s", "Go to time")</f>
        <v/>
      </c>
    </row>
    <row r="3824">
      <c r="A3824">
        <f>HYPERLINK("https://www.youtube.com/watch?v=hD4KUkkPAT4", "Video")</f>
        <v/>
      </c>
      <c r="B3824" t="inlineStr">
        <is>
          <t>28:11</t>
        </is>
      </c>
      <c r="C3824" t="inlineStr">
        <is>
          <t>I mentioned, a little bit
earlier, the career development</t>
        </is>
      </c>
      <c r="D3824">
        <f>HYPERLINK("https://www.youtube.com/watch?v=hD4KUkkPAT4&amp;t=1691s", "Go to time")</f>
        <v/>
      </c>
    </row>
    <row r="3825">
      <c r="A3825">
        <f>HYPERLINK("https://www.youtube.com/watch?v=hD4KUkkPAT4", "Video")</f>
        <v/>
      </c>
      <c r="B3825" t="inlineStr">
        <is>
          <t>29:42</t>
        </is>
      </c>
      <c r="C3825" t="inlineStr">
        <is>
          <t>JASON BUECHEL: Well, every
shop is a little bit different,</t>
        </is>
      </c>
      <c r="D3825">
        <f>HYPERLINK("https://www.youtube.com/watch?v=hD4KUkkPAT4&amp;t=1782s", "Go to time")</f>
        <v/>
      </c>
    </row>
    <row r="3826">
      <c r="A3826">
        <f>HYPERLINK("https://www.youtube.com/watch?v=tnZpBQQv3dg", "Video")</f>
        <v/>
      </c>
      <c r="B3826" t="inlineStr">
        <is>
          <t>0:49</t>
        </is>
      </c>
      <c r="C3826" t="inlineStr">
        <is>
          <t>and I started to get
a little bit bored,</t>
        </is>
      </c>
      <c r="D3826">
        <f>HYPERLINK("https://www.youtube.com/watch?v=tnZpBQQv3dg&amp;t=49s", "Go to time")</f>
        <v/>
      </c>
    </row>
    <row r="3827">
      <c r="A3827">
        <f>HYPERLINK("https://www.youtube.com/watch?v=Nl-PpoKtxc4", "Video")</f>
        <v/>
      </c>
      <c r="B3827" t="inlineStr">
        <is>
          <t>6:36</t>
        </is>
      </c>
      <c r="C3827" t="inlineStr">
        <is>
          <t>Amazon has hired really
smart, really ambitious,</t>
        </is>
      </c>
      <c r="D3827">
        <f>HYPERLINK("https://www.youtube.com/watch?v=Nl-PpoKtxc4&amp;t=396s", "Go to time")</f>
        <v/>
      </c>
    </row>
    <row r="3828">
      <c r="A3828">
        <f>HYPERLINK("https://www.youtube.com/watch?v=Nl-PpoKtxc4", "Video")</f>
        <v/>
      </c>
      <c r="B3828" t="inlineStr">
        <is>
          <t>10:27</t>
        </is>
      </c>
      <c r="C3828" t="inlineStr">
        <is>
          <t>Or are you saying this is a
little bit more intangible,</t>
        </is>
      </c>
      <c r="D3828">
        <f>HYPERLINK("https://www.youtube.com/watch?v=Nl-PpoKtxc4&amp;t=627s", "Go to time")</f>
        <v/>
      </c>
    </row>
    <row r="3829">
      <c r="A3829">
        <f>HYPERLINK("https://www.youtube.com/watch?v=Nl-PpoKtxc4", "Video")</f>
        <v/>
      </c>
      <c r="B3829" t="inlineStr">
        <is>
          <t>17:57</t>
        </is>
      </c>
      <c r="C3829" t="inlineStr">
        <is>
          <t>I think people have
slept a little bit</t>
        </is>
      </c>
      <c r="D3829">
        <f>HYPERLINK("https://www.youtube.com/watch?v=Nl-PpoKtxc4&amp;t=1077s", "Go to time")</f>
        <v/>
      </c>
    </row>
    <row r="3830">
      <c r="A3830">
        <f>HYPERLINK("https://www.youtube.com/watch?v=Nl-PpoKtxc4", "Video")</f>
        <v/>
      </c>
      <c r="B3830" t="inlineStr">
        <is>
          <t>22:20</t>
        </is>
      </c>
      <c r="C3830" t="inlineStr">
        <is>
          <t>ADI IGNATIUS: So I want to talk
a little bit about leadership</t>
        </is>
      </c>
      <c r="D3830">
        <f>HYPERLINK("https://www.youtube.com/watch?v=Nl-PpoKtxc4&amp;t=1340s", "Go to time")</f>
        <v/>
      </c>
    </row>
    <row r="3831">
      <c r="A3831">
        <f>HYPERLINK("https://www.youtube.com/watch?v=Nl-PpoKtxc4", "Video")</f>
        <v/>
      </c>
      <c r="B3831" t="inlineStr">
        <is>
          <t>24:34</t>
        </is>
      </c>
      <c r="C3831" t="inlineStr">
        <is>
          <t>rather than having to do
all the-- every little bit</t>
        </is>
      </c>
      <c r="D3831">
        <f>HYPERLINK("https://www.youtube.com/watch?v=Nl-PpoKtxc4&amp;t=1474s", "Go to time")</f>
        <v/>
      </c>
    </row>
    <row r="3832">
      <c r="A3832">
        <f>HYPERLINK("https://www.youtube.com/watch?v=M1KFg6edqro", "Video")</f>
        <v/>
      </c>
      <c r="B3832" t="inlineStr">
        <is>
          <t>10:20</t>
        </is>
      </c>
      <c r="C3832" t="inlineStr">
        <is>
          <t>will get to those uh in a little bit um</t>
        </is>
      </c>
      <c r="D3832">
        <f>HYPERLINK("https://www.youtube.com/watch?v=M1KFg6edqro&amp;t=620s", "Go to time")</f>
        <v/>
      </c>
    </row>
    <row r="3833">
      <c r="A3833">
        <f>HYPERLINK("https://www.youtube.com/watch?v=M1KFg6edqro", "Video")</f>
        <v/>
      </c>
      <c r="B3833" t="inlineStr">
        <is>
          <t>16:31</t>
        </is>
      </c>
      <c r="C3833" t="inlineStr">
        <is>
          <t>can you talk a little bit about about</t>
        </is>
      </c>
      <c r="D3833">
        <f>HYPERLINK("https://www.youtube.com/watch?v=M1KFg6edqro&amp;t=991s", "Go to time")</f>
        <v/>
      </c>
    </row>
    <row r="3834">
      <c r="A3834">
        <f>HYPERLINK("https://www.youtube.com/watch?v=M1KFg6edqro", "Video")</f>
        <v/>
      </c>
      <c r="B3834" t="inlineStr">
        <is>
          <t>30:32</t>
        </is>
      </c>
      <c r="C3834" t="inlineStr">
        <is>
          <t>to dash or sure a little bit over time</t>
        </is>
      </c>
      <c r="D3834">
        <f>HYPERLINK("https://www.youtube.com/watch?v=M1KFg6edqro&amp;t=1832s", "Go to time")</f>
        <v/>
      </c>
    </row>
    <row r="3835">
      <c r="A3835">
        <f>HYPERLINK("https://www.youtube.com/watch?v=r5O0yKixfjI", "Video")</f>
        <v/>
      </c>
      <c r="B3835" t="inlineStr">
        <is>
          <t>1:00</t>
        </is>
      </c>
      <c r="C3835" t="inlineStr">
        <is>
          <t>and a bit of luck.</t>
        </is>
      </c>
      <c r="D3835">
        <f>HYPERLINK("https://www.youtube.com/watch?v=r5O0yKixfjI&amp;t=60s", "Go to time")</f>
        <v/>
      </c>
    </row>
    <row r="3836">
      <c r="A3836">
        <f>HYPERLINK("https://www.youtube.com/watch?v=r5O0yKixfjI", "Video")</f>
        <v/>
      </c>
      <c r="B3836" t="inlineStr">
        <is>
          <t>5:40</t>
        </is>
      </c>
      <c r="C3836" t="inlineStr">
        <is>
          <t>we'll talk a little
bit about that,</t>
        </is>
      </c>
      <c r="D3836">
        <f>HYPERLINK("https://www.youtube.com/watch?v=r5O0yKixfjI&amp;t=340s", "Go to time")</f>
        <v/>
      </c>
    </row>
    <row r="3837">
      <c r="A3837">
        <f>HYPERLINK("https://www.youtube.com/watch?v=r5O0yKixfjI", "Video")</f>
        <v/>
      </c>
      <c r="B3837" t="inlineStr">
        <is>
          <t>8:21</t>
        </is>
      </c>
      <c r="C3837" t="inlineStr">
        <is>
          <t>looking for is I want
to go a little bit less</t>
        </is>
      </c>
      <c r="D3837">
        <f>HYPERLINK("https://www.youtube.com/watch?v=r5O0yKixfjI&amp;t=501s", "Go to time")</f>
        <v/>
      </c>
    </row>
    <row r="3838">
      <c r="A3838">
        <f>HYPERLINK("https://www.youtube.com/watch?v=r5O0yKixfjI", "Video")</f>
        <v/>
      </c>
      <c r="B3838" t="inlineStr">
        <is>
          <t>8:29</t>
        </is>
      </c>
      <c r="C3838" t="inlineStr">
        <is>
          <t>doing a little bit
more guiding just</t>
        </is>
      </c>
      <c r="D3838">
        <f>HYPERLINK("https://www.youtube.com/watch?v=r5O0yKixfjI&amp;t=509s", "Go to time")</f>
        <v/>
      </c>
    </row>
    <row r="3839">
      <c r="A3839">
        <f>HYPERLINK("https://www.youtube.com/watch?v=r5O0yKixfjI", "Video")</f>
        <v/>
      </c>
      <c r="B3839" t="inlineStr">
        <is>
          <t>9:38</t>
        </is>
      </c>
      <c r="C3839" t="inlineStr">
        <is>
          <t>is when there's a
little bit of distance.</t>
        </is>
      </c>
      <c r="D3839">
        <f>HYPERLINK("https://www.youtube.com/watch?v=r5O0yKixfjI&amp;t=578s", "Go to time")</f>
        <v/>
      </c>
    </row>
    <row r="3840">
      <c r="A3840">
        <f>HYPERLINK("https://www.youtube.com/watch?v=r5O0yKixfjI", "Video")</f>
        <v/>
      </c>
      <c r="B3840" t="inlineStr">
        <is>
          <t>9:40</t>
        </is>
      </c>
      <c r="C3840" t="inlineStr">
        <is>
          <t>So there's a little
bit of room to observe</t>
        </is>
      </c>
      <c r="D3840">
        <f>HYPERLINK("https://www.youtube.com/watch?v=r5O0yKixfjI&amp;t=580s", "Go to time")</f>
        <v/>
      </c>
    </row>
    <row r="3841">
      <c r="A3841">
        <f>HYPERLINK("https://www.youtube.com/watch?v=r5O0yKixfjI", "Video")</f>
        <v/>
      </c>
      <c r="B3841" t="inlineStr">
        <is>
          <t>9:43</t>
        </is>
      </c>
      <c r="C3841" t="inlineStr">
        <is>
          <t>or there's a little bit of
an angle for breathing space.</t>
        </is>
      </c>
      <c r="D3841">
        <f>HYPERLINK("https://www.youtube.com/watch?v=r5O0yKixfjI&amp;t=583s", "Go to time")</f>
        <v/>
      </c>
    </row>
    <row r="3842">
      <c r="A3842">
        <f>HYPERLINK("https://www.youtube.com/watch?v=r5O0yKixfjI", "Video")</f>
        <v/>
      </c>
      <c r="B3842" t="inlineStr">
        <is>
          <t>15:39</t>
        </is>
      </c>
      <c r="C3842" t="inlineStr">
        <is>
          <t>SABINE: My habit.</t>
        </is>
      </c>
      <c r="D3842">
        <f>HYPERLINK("https://www.youtube.com/watch?v=r5O0yKixfjI&amp;t=939s", "Go to time")</f>
        <v/>
      </c>
    </row>
    <row r="3843">
      <c r="A3843">
        <f>HYPERLINK("https://www.youtube.com/watch?v=r5O0yKixfjI", "Video")</f>
        <v/>
      </c>
      <c r="B3843" t="inlineStr">
        <is>
          <t>15:41</t>
        </is>
      </c>
      <c r="C3843" t="inlineStr">
        <is>
          <t>MURIEL WILKINS:
The habit, exactly.</t>
        </is>
      </c>
      <c r="D3843">
        <f>HYPERLINK("https://www.youtube.com/watch?v=r5O0yKixfjI&amp;t=941s", "Go to time")</f>
        <v/>
      </c>
    </row>
    <row r="3844">
      <c r="A3844">
        <f>HYPERLINK("https://www.youtube.com/watch?v=r5O0yKixfjI", "Video")</f>
        <v/>
      </c>
      <c r="B3844" t="inlineStr">
        <is>
          <t>19:39</t>
        </is>
      </c>
      <c r="C3844" t="inlineStr">
        <is>
          <t>There's a bit of I
understand and want</t>
        </is>
      </c>
      <c r="D3844">
        <f>HYPERLINK("https://www.youtube.com/watch?v=r5O0yKixfjI&amp;t=1179s", "Go to time")</f>
        <v/>
      </c>
    </row>
    <row r="3845">
      <c r="A3845">
        <f>HYPERLINK("https://www.youtube.com/watch?v=r5O0yKixfjI", "Video")</f>
        <v/>
      </c>
      <c r="B3845" t="inlineStr">
        <is>
          <t>20:51</t>
        </is>
      </c>
      <c r="C3845" t="inlineStr">
        <is>
          <t>feeling almost like
a little bit of guilt</t>
        </is>
      </c>
      <c r="D3845">
        <f>HYPERLINK("https://www.youtube.com/watch?v=r5O0yKixfjI&amp;t=1251s", "Go to time")</f>
        <v/>
      </c>
    </row>
    <row r="3846">
      <c r="A3846">
        <f>HYPERLINK("https://www.youtube.com/watch?v=r5O0yKixfjI", "Video")</f>
        <v/>
      </c>
      <c r="B3846" t="inlineStr">
        <is>
          <t>21:30</t>
        </is>
      </c>
      <c r="C3846" t="inlineStr">
        <is>
          <t>give a little bit of pause and
just kind of give that space</t>
        </is>
      </c>
      <c r="D3846">
        <f>HYPERLINK("https://www.youtube.com/watch?v=r5O0yKixfjI&amp;t=1290s", "Go to time")</f>
        <v/>
      </c>
    </row>
    <row r="3847">
      <c r="A3847">
        <f>HYPERLINK("https://www.youtube.com/watch?v=r5O0yKixfjI", "Video")</f>
        <v/>
      </c>
      <c r="B3847" t="inlineStr">
        <is>
          <t>22:26</t>
        </is>
      </c>
      <c r="C3847" t="inlineStr">
        <is>
          <t>It felt a little
bit self-inflicted.</t>
        </is>
      </c>
      <c r="D3847">
        <f>HYPERLINK("https://www.youtube.com/watch?v=r5O0yKixfjI&amp;t=1346s", "Go to time")</f>
        <v/>
      </c>
    </row>
    <row r="3848">
      <c r="A3848">
        <f>HYPERLINK("https://www.youtube.com/watch?v=r5O0yKixfjI", "Video")</f>
        <v/>
      </c>
      <c r="B3848" t="inlineStr">
        <is>
          <t>42:17</t>
        </is>
      </c>
      <c r="C3848" t="inlineStr">
        <is>
          <t>with framing it a
little bit higher</t>
        </is>
      </c>
      <c r="D3848">
        <f>HYPERLINK("https://www.youtube.com/watch?v=r5O0yKixfjI&amp;t=2537s", "Go to time")</f>
        <v/>
      </c>
    </row>
    <row r="3849">
      <c r="A3849">
        <f>HYPERLINK("https://www.youtube.com/watch?v=r5O0yKixfjI", "Video")</f>
        <v/>
      </c>
      <c r="B3849" t="inlineStr">
        <is>
          <t>42:59</t>
        </is>
      </c>
      <c r="C3849" t="inlineStr">
        <is>
          <t>So you caveat it a little bit.</t>
        </is>
      </c>
      <c r="D3849">
        <f>HYPERLINK("https://www.youtube.com/watch?v=r5O0yKixfjI&amp;t=2579s", "Go to time")</f>
        <v/>
      </c>
    </row>
    <row r="3850">
      <c r="A3850">
        <f>HYPERLINK("https://www.youtube.com/watch?v=r5O0yKixfjI", "Video")</f>
        <v/>
      </c>
      <c r="B3850" t="inlineStr">
        <is>
          <t>43:14</t>
        </is>
      </c>
      <c r="C3850" t="inlineStr">
        <is>
          <t>need to kind of scenario plan
or scenario plan a little bit.</t>
        </is>
      </c>
      <c r="D3850">
        <f>HYPERLINK("https://www.youtube.com/watch?v=r5O0yKixfjI&amp;t=2594s", "Go to time")</f>
        <v/>
      </c>
    </row>
    <row r="3851">
      <c r="A3851">
        <f>HYPERLINK("https://www.youtube.com/watch?v=r5O0yKixfjI", "Video")</f>
        <v/>
      </c>
      <c r="B3851" t="inlineStr">
        <is>
          <t>43:30</t>
        </is>
      </c>
      <c r="C3851" t="inlineStr">
        <is>
          <t>And then almost make
like a little bit</t>
        </is>
      </c>
      <c r="D3851">
        <f>HYPERLINK("https://www.youtube.com/watch?v=r5O0yKixfjI&amp;t=2610s", "Go to time")</f>
        <v/>
      </c>
    </row>
    <row r="3852">
      <c r="A3852">
        <f>HYPERLINK("https://www.youtube.com/watch?v=r5O0yKixfjI", "Video")</f>
        <v/>
      </c>
      <c r="B3852" t="inlineStr">
        <is>
          <t>43:37</t>
        </is>
      </c>
      <c r="C3852" t="inlineStr">
        <is>
          <t>with that person just so I
have a little bit of a roadmap</t>
        </is>
      </c>
      <c r="D3852">
        <f>HYPERLINK("https://www.youtube.com/watch?v=r5O0yKixfjI&amp;t=2617s", "Go to time")</f>
        <v/>
      </c>
    </row>
    <row r="3853">
      <c r="A3853">
        <f>HYPERLINK("https://www.youtube.com/watch?v=r5O0yKixfjI", "Video")</f>
        <v/>
      </c>
      <c r="B3853" t="inlineStr">
        <is>
          <t>49:34</t>
        </is>
      </c>
      <c r="C3853" t="inlineStr">
        <is>
          <t>a little bit of a cap on
terms of exponentially</t>
        </is>
      </c>
      <c r="D3853">
        <f>HYPERLINK("https://www.youtube.com/watch?v=r5O0yKixfjI&amp;t=2974s", "Go to time")</f>
        <v/>
      </c>
    </row>
    <row r="3854">
      <c r="A3854">
        <f>HYPERLINK("https://www.youtube.com/watch?v=r5O0yKixfjI", "Video")</f>
        <v/>
      </c>
      <c r="B3854" t="inlineStr">
        <is>
          <t>52:25</t>
        </is>
      </c>
      <c r="C3854" t="inlineStr">
        <is>
          <t>when those kind
of personal habits</t>
        </is>
      </c>
      <c r="D3854">
        <f>HYPERLINK("https://www.youtube.com/watch?v=r5O0yKixfjI&amp;t=3145s", "Go to time")</f>
        <v/>
      </c>
    </row>
    <row r="3855">
      <c r="A3855">
        <f>HYPERLINK("https://www.youtube.com/watch?v=muX-EKjs28g", "Video")</f>
        <v/>
      </c>
      <c r="B3855" t="inlineStr">
        <is>
          <t>11:01</t>
        </is>
      </c>
      <c r="C3855" t="inlineStr">
        <is>
          <t>Can you talk a little
bit about that?</t>
        </is>
      </c>
      <c r="D3855">
        <f>HYPERLINK("https://www.youtube.com/watch?v=muX-EKjs28g&amp;t=661s", "Go to time")</f>
        <v/>
      </c>
    </row>
    <row r="3856">
      <c r="A3856">
        <f>HYPERLINK("https://www.youtube.com/watch?v=muX-EKjs28g", "Video")</f>
        <v/>
      </c>
      <c r="B3856" t="inlineStr">
        <is>
          <t>15:05</t>
        </is>
      </c>
      <c r="C3856" t="inlineStr">
        <is>
          <t>Can you talk a little
bit about that?</t>
        </is>
      </c>
      <c r="D3856">
        <f>HYPERLINK("https://www.youtube.com/watch?v=muX-EKjs28g&amp;t=905s", "Go to time")</f>
        <v/>
      </c>
    </row>
    <row r="3857">
      <c r="A3857">
        <f>HYPERLINK("https://www.youtube.com/watch?v=muX-EKjs28g", "Video")</f>
        <v/>
      </c>
      <c r="B3857" t="inlineStr">
        <is>
          <t>16:57</t>
        </is>
      </c>
      <c r="C3857" t="inlineStr">
        <is>
          <t>If everyone takes a little
bit of a risk in speaking out,</t>
        </is>
      </c>
      <c r="D3857">
        <f>HYPERLINK("https://www.youtube.com/watch?v=muX-EKjs28g&amp;t=1017s", "Go to time")</f>
        <v/>
      </c>
    </row>
    <row r="3858">
      <c r="A3858">
        <f>HYPERLINK("https://www.youtube.com/watch?v=muX-EKjs28g", "Video")</f>
        <v/>
      </c>
      <c r="B3858" t="inlineStr">
        <is>
          <t>17:14</t>
        </is>
      </c>
      <c r="C3858" t="inlineStr">
        <is>
          <t>take a little bit of
a risk and speak out,</t>
        </is>
      </c>
      <c r="D3858">
        <f>HYPERLINK("https://www.youtube.com/watch?v=muX-EKjs28g&amp;t=1034s", "Go to time")</f>
        <v/>
      </c>
    </row>
    <row r="3859">
      <c r="A3859">
        <f>HYPERLINK("https://www.youtube.com/watch?v=oJAc9-huRWs", "Video")</f>
        <v/>
      </c>
      <c r="B3859" t="inlineStr">
        <is>
          <t>1:17</t>
        </is>
      </c>
      <c r="C3859" t="inlineStr">
        <is>
          <t>to deliver on ambitious sustainability</t>
        </is>
      </c>
      <c r="D3859">
        <f>HYPERLINK("https://www.youtube.com/watch?v=oJAc9-huRWs&amp;t=77s", "Go to time")</f>
        <v/>
      </c>
    </row>
    <row r="3860">
      <c r="A3860">
        <f>HYPERLINK("https://www.youtube.com/watch?v=oJAc9-huRWs", "Video")</f>
        <v/>
      </c>
      <c r="B3860" t="inlineStr">
        <is>
          <t>19:28</t>
        </is>
      </c>
      <c r="C3860" t="inlineStr">
        <is>
          <t>a little bit more to move but you know</t>
        </is>
      </c>
      <c r="D3860">
        <f>HYPERLINK("https://www.youtube.com/watch?v=oJAc9-huRWs&amp;t=1168s", "Go to time")</f>
        <v/>
      </c>
    </row>
    <row r="3861">
      <c r="A3861">
        <f>HYPERLINK("https://www.youtube.com/watch?v=oJAc9-huRWs", "Video")</f>
        <v/>
      </c>
      <c r="B3861" t="inlineStr">
        <is>
          <t>25:39</t>
        </is>
      </c>
      <c r="C3861" t="inlineStr">
        <is>
          <t>bit to a different level i think it is a</t>
        </is>
      </c>
      <c r="D3861">
        <f>HYPERLINK("https://www.youtube.com/watch?v=oJAc9-huRWs&amp;t=1539s", "Go to time")</f>
        <v/>
      </c>
    </row>
    <row r="3862">
      <c r="A3862">
        <f>HYPERLINK("https://www.youtube.com/watch?v=oJAc9-huRWs", "Video")</f>
        <v/>
      </c>
      <c r="B3862" t="inlineStr">
        <is>
          <t>28:01</t>
        </is>
      </c>
      <c r="C3862" t="inlineStr">
        <is>
          <t>little bit more than another or stays</t>
        </is>
      </c>
      <c r="D3862">
        <f>HYPERLINK("https://www.youtube.com/watch?v=oJAc9-huRWs&amp;t=1681s", "Go to time")</f>
        <v/>
      </c>
    </row>
    <row r="3863">
      <c r="A3863">
        <f>HYPERLINK("https://www.youtube.com/watch?v=oJAc9-huRWs", "Video")</f>
        <v/>
      </c>
      <c r="B3863" t="inlineStr">
        <is>
          <t>28:03</t>
        </is>
      </c>
      <c r="C3863" t="inlineStr">
        <is>
          <t>home a little bit more often than others</t>
        </is>
      </c>
      <c r="D3863">
        <f>HYPERLINK("https://www.youtube.com/watch?v=oJAc9-huRWs&amp;t=1683s", "Go to time")</f>
        <v/>
      </c>
    </row>
    <row r="3864">
      <c r="A3864">
        <f>HYPERLINK("https://www.youtube.com/watch?v=Lm-EMZf4yzc", "Video")</f>
        <v/>
      </c>
      <c r="B3864" t="inlineStr">
        <is>
          <t>2:01</t>
        </is>
      </c>
      <c r="C3864" t="inlineStr">
        <is>
          <t>It's almost like you're trying
to shake people a little bit</t>
        </is>
      </c>
      <c r="D3864">
        <f>HYPERLINK("https://www.youtube.com/watch?v=Lm-EMZf4yzc&amp;t=121s", "Go to time")</f>
        <v/>
      </c>
    </row>
    <row r="3865">
      <c r="A3865">
        <f>HYPERLINK("https://www.youtube.com/watch?v=5LQQthGf8g8", "Video")</f>
        <v/>
      </c>
      <c r="B3865" t="inlineStr">
        <is>
          <t>1:17</t>
        </is>
      </c>
      <c r="C3865" t="inlineStr">
        <is>
          <t>want to talk a little bit
about this phenomenon.</t>
        </is>
      </c>
      <c r="D3865">
        <f>HYPERLINK("https://www.youtube.com/watch?v=5LQQthGf8g8&amp;t=77s", "Go to time")</f>
        <v/>
      </c>
    </row>
    <row r="3866">
      <c r="A3866">
        <f>HYPERLINK("https://www.youtube.com/watch?v=5LQQthGf8g8", "Video")</f>
        <v/>
      </c>
      <c r="B3866" t="inlineStr">
        <is>
          <t>7:44</t>
        </is>
      </c>
      <c r="C3866" t="inlineStr">
        <is>
          <t>changed a bit over 10 weeks.</t>
        </is>
      </c>
      <c r="D3866">
        <f>HYPERLINK("https://www.youtube.com/watch?v=5LQQthGf8g8&amp;t=464s", "Go to time")</f>
        <v/>
      </c>
    </row>
    <row r="3867">
      <c r="A3867">
        <f>HYPERLINK("https://www.youtube.com/watch?v=5LQQthGf8g8", "Video")</f>
        <v/>
      </c>
      <c r="B3867" t="inlineStr">
        <is>
          <t>28:46</t>
        </is>
      </c>
      <c r="C3867" t="inlineStr">
        <is>
          <t>a little bit that we're maybe
not being exposed to any germs.</t>
        </is>
      </c>
      <c r="D3867">
        <f>HYPERLINK("https://www.youtube.com/watch?v=5LQQthGf8g8&amp;t=1726s", "Go to time")</f>
        <v/>
      </c>
    </row>
    <row r="3868">
      <c r="A3868">
        <f>HYPERLINK("https://www.youtube.com/watch?v=5LQQthGf8g8", "Video")</f>
        <v/>
      </c>
      <c r="B3868" t="inlineStr">
        <is>
          <t>28:58</t>
        </is>
      </c>
      <c r="C3868" t="inlineStr">
        <is>
          <t>I'm going to take a little
bit of the middle road</t>
        </is>
      </c>
      <c r="D3868">
        <f>HYPERLINK("https://www.youtube.com/watch?v=5LQQthGf8g8&amp;t=1738s", "Go to time")</f>
        <v/>
      </c>
    </row>
    <row r="3869">
      <c r="A3869">
        <f>HYPERLINK("https://www.youtube.com/watch?v=5LQQthGf8g8", "Video")</f>
        <v/>
      </c>
      <c r="B3869" t="inlineStr">
        <is>
          <t>29:45</t>
        </is>
      </c>
      <c r="C3869" t="inlineStr">
        <is>
          <t>So while she may be a little bit
on the extreme side of things,</t>
        </is>
      </c>
      <c r="D3869">
        <f>HYPERLINK("https://www.youtube.com/watch?v=5LQQthGf8g8&amp;t=1785s", "Go to time")</f>
        <v/>
      </c>
    </row>
    <row r="3870">
      <c r="A3870">
        <f>HYPERLINK("https://www.youtube.com/watch?v=5LQQthGf8g8", "Video")</f>
        <v/>
      </c>
      <c r="B3870" t="inlineStr">
        <is>
          <t>38:06</t>
        </is>
      </c>
      <c r="C3870" t="inlineStr">
        <is>
          <t>Just walk around a little bit.</t>
        </is>
      </c>
      <c r="D3870">
        <f>HYPERLINK("https://www.youtube.com/watch?v=5LQQthGf8g8&amp;t=2286s", "Go to time")</f>
        <v/>
      </c>
    </row>
    <row r="3871">
      <c r="A3871">
        <f>HYPERLINK("https://www.youtube.com/watch?v=5LQQthGf8g8", "Video")</f>
        <v/>
      </c>
      <c r="B3871" t="inlineStr">
        <is>
          <t>41:04</t>
        </is>
      </c>
      <c r="C3871" t="inlineStr">
        <is>
          <t>yeah, a tiny bit.</t>
        </is>
      </c>
      <c r="D3871">
        <f>HYPERLINK("https://www.youtube.com/watch?v=5LQQthGf8g8&amp;t=2464s", "Go to time")</f>
        <v/>
      </c>
    </row>
    <row r="3872">
      <c r="A3872">
        <f>HYPERLINK("https://www.youtube.com/watch?v=r8KUhBVSQ_U", "Video")</f>
        <v/>
      </c>
      <c r="B3872" t="inlineStr">
        <is>
          <t>4:40</t>
        </is>
      </c>
      <c r="C3872" t="inlineStr">
        <is>
          <t>You'll probably want
to explain a little bit</t>
        </is>
      </c>
      <c r="D3872">
        <f>HYPERLINK("https://www.youtube.com/watch?v=r8KUhBVSQ_U&amp;t=280s", "Go to time")</f>
        <v/>
      </c>
    </row>
    <row r="3873">
      <c r="A3873">
        <f>HYPERLINK("https://www.youtube.com/watch?v=r8KUhBVSQ_U", "Video")</f>
        <v/>
      </c>
      <c r="B3873" t="inlineStr">
        <is>
          <t>7:22</t>
        </is>
      </c>
      <c r="C3873" t="inlineStr">
        <is>
          <t>to be a little bit emotional.</t>
        </is>
      </c>
      <c r="D3873">
        <f>HYPERLINK("https://www.youtube.com/watch?v=r8KUhBVSQ_U&amp;t=442s", "Go to time")</f>
        <v/>
      </c>
    </row>
    <row r="3874">
      <c r="A3874">
        <f>HYPERLINK("https://www.youtube.com/watch?v=HkzmNQ7iauw", "Video")</f>
        <v/>
      </c>
      <c r="B3874" t="inlineStr">
        <is>
          <t>8:04</t>
        </is>
      </c>
      <c r="C3874" t="inlineStr">
        <is>
          <t>because of what it
means for the ambitions</t>
        </is>
      </c>
      <c r="D3874">
        <f>HYPERLINK("https://www.youtube.com/watch?v=HkzmNQ7iauw&amp;t=484s", "Go to time")</f>
        <v/>
      </c>
    </row>
    <row r="3875">
      <c r="A3875">
        <f>HYPERLINK("https://www.youtube.com/watch?v=HkzmNQ7iauw", "Video")</f>
        <v/>
      </c>
      <c r="B3875" t="inlineStr">
        <is>
          <t>10:58</t>
        </is>
      </c>
      <c r="C3875" t="inlineStr">
        <is>
          <t>is worth unpacking a little
bit, because most US companies,</t>
        </is>
      </c>
      <c r="D3875">
        <f>HYPERLINK("https://www.youtube.com/watch?v=HkzmNQ7iauw&amp;t=658s", "Go to time")</f>
        <v/>
      </c>
    </row>
    <row r="3876">
      <c r="A3876">
        <f>HYPERLINK("https://www.youtube.com/watch?v=HkzmNQ7iauw", "Video")</f>
        <v/>
      </c>
      <c r="B3876" t="inlineStr">
        <is>
          <t>14:08</t>
        </is>
      </c>
      <c r="C3876" t="inlineStr">
        <is>
          <t>because it's useful to be
a bit of a bomb thrower</t>
        </is>
      </c>
      <c r="D3876">
        <f>HYPERLINK("https://www.youtube.com/watch?v=HkzmNQ7iauw&amp;t=848s", "Go to time")</f>
        <v/>
      </c>
    </row>
    <row r="3877">
      <c r="A3877">
        <f>HYPERLINK("https://www.youtube.com/watch?v=BjjjrNAM_Qk", "Video")</f>
        <v/>
      </c>
      <c r="B3877" t="inlineStr">
        <is>
          <t>8:06</t>
        </is>
      </c>
      <c r="C3877" t="inlineStr">
        <is>
          <t>operating on the bits
and bytes of a computer.</t>
        </is>
      </c>
      <c r="D3877">
        <f>HYPERLINK("https://www.youtube.com/watch?v=BjjjrNAM_Qk&amp;t=486s", "Go to time")</f>
        <v/>
      </c>
    </row>
    <row r="3878">
      <c r="A3878">
        <f>HYPERLINK("https://www.youtube.com/watch?v=o7Ik1OB4TaE", "Video")</f>
        <v/>
      </c>
      <c r="B3878" t="inlineStr">
        <is>
          <t>0:00</t>
        </is>
      </c>
      <c r="C3878" t="inlineStr">
        <is>
          <t>strategy is a little
bit of a mystery.</t>
        </is>
      </c>
      <c r="D3878">
        <f>HYPERLINK("https://www.youtube.com/watch?v=o7Ik1OB4TaE&amp;t=0s", "Go to time")</f>
        <v/>
      </c>
    </row>
    <row r="3879">
      <c r="A3879">
        <f>HYPERLINK("https://www.youtube.com/watch?v=Z12dACPRtSo", "Video")</f>
        <v/>
      </c>
      <c r="B3879" t="inlineStr">
        <is>
          <t>13:13</t>
        </is>
      </c>
      <c r="C3879" t="inlineStr">
        <is>
          <t>And we were talking a
little bit about the same.</t>
        </is>
      </c>
      <c r="D3879">
        <f>HYPERLINK("https://www.youtube.com/watch?v=Z12dACPRtSo&amp;t=793s", "Go to time")</f>
        <v/>
      </c>
    </row>
    <row r="3880">
      <c r="A3880">
        <f>HYPERLINK("https://www.youtube.com/watch?v=Z12dACPRtSo", "Video")</f>
        <v/>
      </c>
      <c r="B3880" t="inlineStr">
        <is>
          <t>17:25</t>
        </is>
      </c>
      <c r="C3880" t="inlineStr">
        <is>
          <t>to kind of be a little
bit mad scientist</t>
        </is>
      </c>
      <c r="D3880">
        <f>HYPERLINK("https://www.youtube.com/watch?v=Z12dACPRtSo&amp;t=1045s", "Go to time")</f>
        <v/>
      </c>
    </row>
    <row r="3881">
      <c r="A3881">
        <f>HYPERLINK("https://www.youtube.com/watch?v=Z12dACPRtSo", "Video")</f>
        <v/>
      </c>
      <c r="B3881" t="inlineStr">
        <is>
          <t>19:51</t>
        </is>
      </c>
      <c r="C3881" t="inlineStr">
        <is>
          <t>So I want to talk a little
bit about that with you,</t>
        </is>
      </c>
      <c r="D3881">
        <f>HYPERLINK("https://www.youtube.com/watch?v=Z12dACPRtSo&amp;t=1191s", "Go to time")</f>
        <v/>
      </c>
    </row>
    <row r="3882">
      <c r="A3882">
        <f>HYPERLINK("https://www.youtube.com/watch?v=Z12dACPRtSo", "Video")</f>
        <v/>
      </c>
      <c r="B3882" t="inlineStr">
        <is>
          <t>21:08</t>
        </is>
      </c>
      <c r="C3882" t="inlineStr">
        <is>
          <t>They're having bits of
success here and there.</t>
        </is>
      </c>
      <c r="D3882">
        <f>HYPERLINK("https://www.youtube.com/watch?v=Z12dACPRtSo&amp;t=1268s", "Go to time")</f>
        <v/>
      </c>
    </row>
    <row r="3883">
      <c r="A3883">
        <f>HYPERLINK("https://www.youtube.com/watch?v=Z12dACPRtSo", "Video")</f>
        <v/>
      </c>
      <c r="B3883" t="inlineStr">
        <is>
          <t>27:41</t>
        </is>
      </c>
      <c r="C3883" t="inlineStr">
        <is>
          <t>I think there's a little bit of
managing expectations, right?</t>
        </is>
      </c>
      <c r="D3883">
        <f>HYPERLINK("https://www.youtube.com/watch?v=Z12dACPRtSo&amp;t=1661s", "Go to time")</f>
        <v/>
      </c>
    </row>
    <row r="3884">
      <c r="A3884">
        <f>HYPERLINK("https://www.youtube.com/watch?v=Z12dACPRtSo", "Video")</f>
        <v/>
      </c>
      <c r="B3884" t="inlineStr">
        <is>
          <t>36:03</t>
        </is>
      </c>
      <c r="C3884" t="inlineStr">
        <is>
          <t>metaphor a bit long here.</t>
        </is>
      </c>
      <c r="D3884">
        <f>HYPERLINK("https://www.youtube.com/watch?v=Z12dACPRtSo&amp;t=2163s", "Go to time")</f>
        <v/>
      </c>
    </row>
    <row r="3885">
      <c r="A3885">
        <f>HYPERLINK("https://www.youtube.com/watch?v=Z12dACPRtSo", "Video")</f>
        <v/>
      </c>
      <c r="B3885" t="inlineStr">
        <is>
          <t>40:56</t>
        </is>
      </c>
      <c r="C3885" t="inlineStr">
        <is>
          <t>I guess that's a little
bit of an eye-opener</t>
        </is>
      </c>
      <c r="D3885">
        <f>HYPERLINK("https://www.youtube.com/watch?v=Z12dACPRtSo&amp;t=2456s", "Go to time")</f>
        <v/>
      </c>
    </row>
    <row r="3886">
      <c r="A3886">
        <f>HYPERLINK("https://www.youtube.com/watch?v=yp5vmeoId34", "Video")</f>
        <v/>
      </c>
      <c r="B3886" t="inlineStr">
        <is>
          <t>14:03</t>
        </is>
      </c>
      <c r="C3886" t="inlineStr">
        <is>
          <t>just send that to them a little bit</t>
        </is>
      </c>
      <c r="D3886">
        <f>HYPERLINK("https://www.youtube.com/watch?v=yp5vmeoId34&amp;t=843s", "Go to time")</f>
        <v/>
      </c>
    </row>
    <row r="3887">
      <c r="A3887">
        <f>HYPERLINK("https://www.youtube.com/watch?v=yp5vmeoId34", "Video")</f>
        <v/>
      </c>
      <c r="B3887" t="inlineStr">
        <is>
          <t>14:53</t>
        </is>
      </c>
      <c r="C3887" t="inlineStr">
        <is>
          <t>let's catch up for a bit learn about</t>
        </is>
      </c>
      <c r="D3887">
        <f>HYPERLINK("https://www.youtube.com/watch?v=yp5vmeoId34&amp;t=893s", "Go to time")</f>
        <v/>
      </c>
    </row>
    <row r="3888">
      <c r="A3888">
        <f>HYPERLINK("https://www.youtube.com/watch?v=yp5vmeoId34", "Video")</f>
        <v/>
      </c>
      <c r="B3888" t="inlineStr">
        <is>
          <t>18:34</t>
        </is>
      </c>
      <c r="C3888" t="inlineStr">
        <is>
          <t>Rabbit Hole of mutuals on mutuals on</t>
        </is>
      </c>
      <c r="D3888">
        <f>HYPERLINK("https://www.youtube.com/watch?v=yp5vmeoId34&amp;t=1114s", "Go to time")</f>
        <v/>
      </c>
    </row>
    <row r="3889">
      <c r="A3889">
        <f>HYPERLINK("https://www.youtube.com/watch?v=yp5vmeoId34", "Video")</f>
        <v/>
      </c>
      <c r="B3889" t="inlineStr">
        <is>
          <t>19:14</t>
        </is>
      </c>
      <c r="C3889" t="inlineStr">
        <is>
          <t>can you share with me a little bit more</t>
        </is>
      </c>
      <c r="D3889">
        <f>HYPERLINK("https://www.youtube.com/watch?v=yp5vmeoId34&amp;t=1154s", "Go to time")</f>
        <v/>
      </c>
    </row>
    <row r="3890">
      <c r="A3890">
        <f>HYPERLINK("https://www.youtube.com/watch?v=yp5vmeoId34", "Video")</f>
        <v/>
      </c>
      <c r="B3890" t="inlineStr">
        <is>
          <t>19:17</t>
        </is>
      </c>
      <c r="C3890" t="inlineStr">
        <is>
          <t>with you so I could learn a little bit</t>
        </is>
      </c>
      <c r="D3890">
        <f>HYPERLINK("https://www.youtube.com/watch?v=yp5vmeoId34&amp;t=1157s", "Go to time")</f>
        <v/>
      </c>
    </row>
    <row r="3891">
      <c r="A3891">
        <f>HYPERLINK("https://www.youtube.com/watch?v=yp5vmeoId34", "Video")</f>
        <v/>
      </c>
      <c r="B3891" t="inlineStr">
        <is>
          <t>20:24</t>
        </is>
      </c>
      <c r="C3891" t="inlineStr">
        <is>
          <t>something else that's a little bit more</t>
        </is>
      </c>
      <c r="D3891">
        <f>HYPERLINK("https://www.youtube.com/watch?v=yp5vmeoId34&amp;t=1224s", "Go to time")</f>
        <v/>
      </c>
    </row>
    <row r="3892">
      <c r="A3892">
        <f>HYPERLINK("https://www.youtube.com/watch?v=3etzKSdtvxE", "Video")</f>
        <v/>
      </c>
      <c r="B3892" t="inlineStr">
        <is>
          <t>2:13</t>
        </is>
      </c>
      <c r="C3892" t="inlineStr">
        <is>
          <t>dig a little bit deeper.</t>
        </is>
      </c>
      <c r="D3892">
        <f>HYPERLINK("https://www.youtube.com/watch?v=3etzKSdtvxE&amp;t=133s", "Go to time")</f>
        <v/>
      </c>
    </row>
    <row r="3893">
      <c r="A3893">
        <f>HYPERLINK("https://www.youtube.com/watch?v=3etzKSdtvxE", "Video")</f>
        <v/>
      </c>
      <c r="B3893" t="inlineStr">
        <is>
          <t>2:42</t>
        </is>
      </c>
      <c r="C3893" t="inlineStr">
        <is>
          <t>So I have to kind of
creep a little bit,</t>
        </is>
      </c>
      <c r="D3893">
        <f>HYPERLINK("https://www.youtube.com/watch?v=3etzKSdtvxE&amp;t=162s", "Go to time")</f>
        <v/>
      </c>
    </row>
    <row r="3894">
      <c r="A3894">
        <f>HYPERLINK("https://www.youtube.com/watch?v=3etzKSdtvxE", "Video")</f>
        <v/>
      </c>
      <c r="B3894" t="inlineStr">
        <is>
          <t>6:48</t>
        </is>
      </c>
      <c r="C3894" t="inlineStr">
        <is>
          <t>And then it gets a
little bit stilted,</t>
        </is>
      </c>
      <c r="D3894">
        <f>HYPERLINK("https://www.youtube.com/watch?v=3etzKSdtvxE&amp;t=408s", "Go to time")</f>
        <v/>
      </c>
    </row>
    <row r="3895">
      <c r="A3895">
        <f>HYPERLINK("https://www.youtube.com/watch?v=bVdQkQjk9gk", "Video")</f>
        <v/>
      </c>
      <c r="B3895" t="inlineStr">
        <is>
          <t>7:06</t>
        </is>
      </c>
      <c r="C3895" t="inlineStr">
        <is>
          <t>becomes a little bit
tricky these days</t>
        </is>
      </c>
      <c r="D3895">
        <f>HYPERLINK("https://www.youtube.com/watch?v=bVdQkQjk9gk&amp;t=426s", "Go to time")</f>
        <v/>
      </c>
    </row>
    <row r="3896">
      <c r="A3896">
        <f>HYPERLINK("https://www.youtube.com/watch?v=bVdQkQjk9gk", "Video")</f>
        <v/>
      </c>
      <c r="B3896" t="inlineStr">
        <is>
          <t>11:10</t>
        </is>
      </c>
      <c r="C3896" t="inlineStr">
        <is>
          <t>The reality, however,
is a little bit</t>
        </is>
      </c>
      <c r="D3896">
        <f>HYPERLINK("https://www.youtube.com/watch?v=bVdQkQjk9gk&amp;t=670s", "Go to time")</f>
        <v/>
      </c>
    </row>
    <row r="3897">
      <c r="A3897">
        <f>HYPERLINK("https://www.youtube.com/watch?v=bVdQkQjk9gk", "Video")</f>
        <v/>
      </c>
      <c r="B3897" t="inlineStr">
        <is>
          <t>12:19</t>
        </is>
      </c>
      <c r="C3897" t="inlineStr">
        <is>
          <t>the very ambitious
estimates of what reskilling</t>
        </is>
      </c>
      <c r="D3897">
        <f>HYPERLINK("https://www.youtube.com/watch?v=bVdQkQjk9gk&amp;t=739s", "Go to time")</f>
        <v/>
      </c>
    </row>
    <row r="3898">
      <c r="A3898">
        <f>HYPERLINK("https://www.youtube.com/watch?v=bVdQkQjk9gk", "Video")</f>
        <v/>
      </c>
      <c r="B3898" t="inlineStr">
        <is>
          <t>18:38</t>
        </is>
      </c>
      <c r="C3898" t="inlineStr">
        <is>
          <t>That's actually a challenge, so
a little bit of due diligence</t>
        </is>
      </c>
      <c r="D3898">
        <f>HYPERLINK("https://www.youtube.com/watch?v=bVdQkQjk9gk&amp;t=1118s", "Go to time")</f>
        <v/>
      </c>
    </row>
    <row r="3899">
      <c r="A3899">
        <f>HYPERLINK("https://www.youtube.com/watch?v=bVdQkQjk9gk", "Video")</f>
        <v/>
      </c>
      <c r="B3899" t="inlineStr">
        <is>
          <t>26:40</t>
        </is>
      </c>
      <c r="C3899" t="inlineStr">
        <is>
          <t>we find that actually there is
quite a bit of heterogeneity</t>
        </is>
      </c>
      <c r="D3899">
        <f>HYPERLINK("https://www.youtube.com/watch?v=bVdQkQjk9gk&amp;t=1600s", "Go to time")</f>
        <v/>
      </c>
    </row>
    <row r="3900">
      <c r="A3900">
        <f>HYPERLINK("https://www.youtube.com/watch?v=bVdQkQjk9gk", "Video")</f>
        <v/>
      </c>
      <c r="B3900" t="inlineStr">
        <is>
          <t>29:04</t>
        </is>
      </c>
      <c r="C3900" t="inlineStr">
        <is>
          <t>have been lowered quite a bit,
but on the other hand, where</t>
        </is>
      </c>
      <c r="D3900">
        <f>HYPERLINK("https://www.youtube.com/watch?v=bVdQkQjk9gk&amp;t=1744s", "Go to time")</f>
        <v/>
      </c>
    </row>
    <row r="3901">
      <c r="A3901">
        <f>HYPERLINK("https://www.youtube.com/watch?v=vwpe4n2vO-o", "Video")</f>
        <v/>
      </c>
      <c r="B3901" t="inlineStr">
        <is>
          <t>1:52</t>
        </is>
      </c>
      <c r="C3901" t="inlineStr">
        <is>
          <t>know a little bit about about you and</t>
        </is>
      </c>
      <c r="D3901">
        <f>HYPERLINK("https://www.youtube.com/watch?v=vwpe4n2vO-o&amp;t=112s", "Go to time")</f>
        <v/>
      </c>
    </row>
    <row r="3902">
      <c r="A3902">
        <f>HYPERLINK("https://www.youtube.com/watch?v=vwpe4n2vO-o", "Video")</f>
        <v/>
      </c>
      <c r="B3902" t="inlineStr">
        <is>
          <t>1:57</t>
        </is>
      </c>
      <c r="C3902" t="inlineStr">
        <is>
          <t>little bit about the journey that has</t>
        </is>
      </c>
      <c r="D3902">
        <f>HYPERLINK("https://www.youtube.com/watch?v=vwpe4n2vO-o&amp;t=117s", "Go to time")</f>
        <v/>
      </c>
    </row>
    <row r="3903">
      <c r="A3903">
        <f>HYPERLINK("https://www.youtube.com/watch?v=LLCsmLjUZNA", "Video")</f>
        <v/>
      </c>
      <c r="B3903" t="inlineStr">
        <is>
          <t>7:23</t>
        </is>
      </c>
      <c r="C3903" t="inlineStr">
        <is>
          <t>As we've seen, it's
a little bit of both.</t>
        </is>
      </c>
      <c r="D3903">
        <f>HYPERLINK("https://www.youtube.com/watch?v=LLCsmLjUZNA&amp;t=443s", "Go to time")</f>
        <v/>
      </c>
    </row>
    <row r="3904">
      <c r="A3904">
        <f>HYPERLINK("https://www.youtube.com/watch?v=z9BuPIXiwq0", "Video")</f>
        <v/>
      </c>
      <c r="B3904" t="inlineStr">
        <is>
          <t>2:08</t>
        </is>
      </c>
      <c r="C3904" t="inlineStr">
        <is>
          <t>She's energized by the challenge
and has ambitious goals.</t>
        </is>
      </c>
      <c r="D3904">
        <f>HYPERLINK("https://www.youtube.com/watch?v=z9BuPIXiwq0&amp;t=128s", "Go to time")</f>
        <v/>
      </c>
    </row>
    <row r="3905">
      <c r="A3905">
        <f>HYPERLINK("https://www.youtube.com/watch?v=z9BuPIXiwq0", "Video")</f>
        <v/>
      </c>
      <c r="B3905" t="inlineStr">
        <is>
          <t>2:51</t>
        </is>
      </c>
      <c r="C3905" t="inlineStr">
        <is>
          <t>report to me I had a
little bit of insight into.</t>
        </is>
      </c>
      <c r="D3905">
        <f>HYPERLINK("https://www.youtube.com/watch?v=z9BuPIXiwq0&amp;t=171s", "Go to time")</f>
        <v/>
      </c>
    </row>
    <row r="3906">
      <c r="A3906">
        <f>HYPERLINK("https://www.youtube.com/watch?v=z9BuPIXiwq0", "Video")</f>
        <v/>
      </c>
      <c r="B3906" t="inlineStr">
        <is>
          <t>9:43</t>
        </is>
      </c>
      <c r="C3906" t="inlineStr">
        <is>
          <t>think there's a bit of
a reverse engineering.</t>
        </is>
      </c>
      <c r="D3906">
        <f>HYPERLINK("https://www.youtube.com/watch?v=z9BuPIXiwq0&amp;t=583s", "Go to time")</f>
        <v/>
      </c>
    </row>
    <row r="3907">
      <c r="A3907">
        <f>HYPERLINK("https://www.youtube.com/watch?v=z9BuPIXiwq0", "Video")</f>
        <v/>
      </c>
      <c r="B3907" t="inlineStr">
        <is>
          <t>10:26</t>
        </is>
      </c>
      <c r="C3907" t="inlineStr">
        <is>
          <t>MO: And we're in a bit
of a transition period.</t>
        </is>
      </c>
      <c r="D3907">
        <f>HYPERLINK("https://www.youtube.com/watch?v=z9BuPIXiwq0&amp;t=626s", "Go to time")</f>
        <v/>
      </c>
    </row>
    <row r="3908">
      <c r="A3908">
        <f>HYPERLINK("https://www.youtube.com/watch?v=z9BuPIXiwq0", "Video")</f>
        <v/>
      </c>
      <c r="B3908" t="inlineStr">
        <is>
          <t>10:43</t>
        </is>
      </c>
      <c r="C3908" t="inlineStr">
        <is>
          <t>So there will be a little
bit of a discernment period</t>
        </is>
      </c>
      <c r="D3908">
        <f>HYPERLINK("https://www.youtube.com/watch?v=z9BuPIXiwq0&amp;t=643s", "Go to time")</f>
        <v/>
      </c>
    </row>
    <row r="3909">
      <c r="A3909">
        <f>HYPERLINK("https://www.youtube.com/watch?v=z9BuPIXiwq0", "Video")</f>
        <v/>
      </c>
      <c r="B3909" t="inlineStr">
        <is>
          <t>11:10</t>
        </is>
      </c>
      <c r="C3909" t="inlineStr">
        <is>
          <t>a little bit
different and we need</t>
        </is>
      </c>
      <c r="D3909">
        <f>HYPERLINK("https://www.youtube.com/watch?v=z9BuPIXiwq0&amp;t=670s", "Go to time")</f>
        <v/>
      </c>
    </row>
    <row r="3910">
      <c r="A3910">
        <f>HYPERLINK("https://www.youtube.com/watch?v=z9BuPIXiwq0", "Video")</f>
        <v/>
      </c>
      <c r="B3910" t="inlineStr">
        <is>
          <t>11:15</t>
        </is>
      </c>
      <c r="C3910" t="inlineStr">
        <is>
          <t>So we're in a little bit
of a holding pattern.</t>
        </is>
      </c>
      <c r="D3910">
        <f>HYPERLINK("https://www.youtube.com/watch?v=z9BuPIXiwq0&amp;t=675s", "Go to time")</f>
        <v/>
      </c>
    </row>
    <row r="3911">
      <c r="A3911">
        <f>HYPERLINK("https://www.youtube.com/watch?v=z9BuPIXiwq0", "Video")</f>
        <v/>
      </c>
      <c r="B3911" t="inlineStr">
        <is>
          <t>12:01</t>
        </is>
      </c>
      <c r="C3911" t="inlineStr">
        <is>
          <t>And yet I want to do a little
bit of strategic planning</t>
        </is>
      </c>
      <c r="D3911">
        <f>HYPERLINK("https://www.youtube.com/watch?v=z9BuPIXiwq0&amp;t=721s", "Go to time")</f>
        <v/>
      </c>
    </row>
    <row r="3912">
      <c r="A3912">
        <f>HYPERLINK("https://www.youtube.com/watch?v=z9BuPIXiwq0", "Video")</f>
        <v/>
      </c>
      <c r="B3912" t="inlineStr">
        <is>
          <t>14:18</t>
        </is>
      </c>
      <c r="C3912" t="inlineStr">
        <is>
          <t>And so I know a
little bit about what</t>
        </is>
      </c>
      <c r="D3912">
        <f>HYPERLINK("https://www.youtube.com/watch?v=z9BuPIXiwq0&amp;t=858s", "Go to time")</f>
        <v/>
      </c>
    </row>
    <row r="3913">
      <c r="A3913">
        <f>HYPERLINK("https://www.youtube.com/watch?v=z9BuPIXiwq0", "Video")</f>
        <v/>
      </c>
      <c r="B3913" t="inlineStr">
        <is>
          <t>16:08</t>
        </is>
      </c>
      <c r="C3913" t="inlineStr">
        <is>
          <t>she seemed a bit overwhelmed
by the set of challenges</t>
        </is>
      </c>
      <c r="D3913">
        <f>HYPERLINK("https://www.youtube.com/watch?v=z9BuPIXiwq0&amp;t=968s", "Go to time")</f>
        <v/>
      </c>
    </row>
    <row r="3914">
      <c r="A3914">
        <f>HYPERLINK("https://www.youtube.com/watch?v=z9BuPIXiwq0", "Video")</f>
        <v/>
      </c>
      <c r="B3914" t="inlineStr">
        <is>
          <t>28:01</t>
        </is>
      </c>
      <c r="C3914" t="inlineStr">
        <is>
          <t>to use a bit of a
different approach</t>
        </is>
      </c>
      <c r="D3914">
        <f>HYPERLINK("https://www.youtube.com/watch?v=z9BuPIXiwq0&amp;t=1681s", "Go to time")</f>
        <v/>
      </c>
    </row>
    <row r="3915">
      <c r="A3915">
        <f>HYPERLINK("https://www.youtube.com/watch?v=z9BuPIXiwq0", "Video")</f>
        <v/>
      </c>
      <c r="B3915" t="inlineStr">
        <is>
          <t>38:24</t>
        </is>
      </c>
      <c r="C3915" t="inlineStr">
        <is>
          <t>and we lost a bit of the forest.</t>
        </is>
      </c>
      <c r="D3915">
        <f>HYPERLINK("https://www.youtube.com/watch?v=z9BuPIXiwq0&amp;t=2304s", "Go to time")</f>
        <v/>
      </c>
    </row>
    <row r="3916">
      <c r="A3916">
        <f>HYPERLINK("https://www.youtube.com/watch?v=z9BuPIXiwq0", "Video")</f>
        <v/>
      </c>
      <c r="B3916" t="inlineStr">
        <is>
          <t>38:58</t>
        </is>
      </c>
      <c r="C3916" t="inlineStr">
        <is>
          <t>a bit of a hard time
prioritizing because she has</t>
        </is>
      </c>
      <c r="D3916">
        <f>HYPERLINK("https://www.youtube.com/watch?v=z9BuPIXiwq0&amp;t=2338s", "Go to time")</f>
        <v/>
      </c>
    </row>
    <row r="3917">
      <c r="A3917">
        <f>HYPERLINK("https://www.youtube.com/watch?v=z9BuPIXiwq0", "Video")</f>
        <v/>
      </c>
      <c r="B3917" t="inlineStr">
        <is>
          <t>41:36</t>
        </is>
      </c>
      <c r="C3917" t="inlineStr">
        <is>
          <t>Creating a new culture is like
changing organizational habits.</t>
        </is>
      </c>
      <c r="D3917">
        <f>HYPERLINK("https://www.youtube.com/watch?v=z9BuPIXiwq0&amp;t=2496s", "Go to time")</f>
        <v/>
      </c>
    </row>
    <row r="3918">
      <c r="A3918">
        <f>HYPERLINK("https://www.youtube.com/watch?v=z9BuPIXiwq0", "Video")</f>
        <v/>
      </c>
      <c r="B3918" t="inlineStr">
        <is>
          <t>41:45</t>
        </is>
      </c>
      <c r="C3918" t="inlineStr">
        <is>
          <t>for habits at an
individual level to change,</t>
        </is>
      </c>
      <c r="D3918">
        <f>HYPERLINK("https://www.youtube.com/watch?v=z9BuPIXiwq0&amp;t=2505s", "Go to time")</f>
        <v/>
      </c>
    </row>
    <row r="3919">
      <c r="A3919">
        <f>HYPERLINK("https://www.youtube.com/watch?v=z9BuPIXiwq0", "Video")</f>
        <v/>
      </c>
      <c r="B3919" t="inlineStr">
        <is>
          <t>47:46</t>
        </is>
      </c>
      <c r="C3919" t="inlineStr">
        <is>
          <t>Not arbitrary.</t>
        </is>
      </c>
      <c r="D3919">
        <f>HYPERLINK("https://www.youtube.com/watch?v=z9BuPIXiwq0&amp;t=2866s", "Go to time")</f>
        <v/>
      </c>
    </row>
    <row r="3920">
      <c r="A3920">
        <f>HYPERLINK("https://www.youtube.com/watch?v=z9BuPIXiwq0", "Video")</f>
        <v/>
      </c>
      <c r="B3920" t="inlineStr">
        <is>
          <t>47:51</t>
        </is>
      </c>
      <c r="C3920" t="inlineStr">
        <is>
          <t>If we put a bit of a
different lens on it,</t>
        </is>
      </c>
      <c r="D3920">
        <f>HYPERLINK("https://www.youtube.com/watch?v=z9BuPIXiwq0&amp;t=2871s", "Go to time")</f>
        <v/>
      </c>
    </row>
    <row r="3921">
      <c r="A3921">
        <f>HYPERLINK("https://www.youtube.com/watch?v=pSnGOI9gEXA", "Video")</f>
        <v/>
      </c>
      <c r="B3921" t="inlineStr">
        <is>
          <t>1:42</t>
        </is>
      </c>
      <c r="C3921" t="inlineStr">
        <is>
          <t>bit more and postponing re-entry so I</t>
        </is>
      </c>
      <c r="D3921">
        <f>HYPERLINK("https://www.youtube.com/watch?v=pSnGOI9gEXA&amp;t=102s", "Go to time")</f>
        <v/>
      </c>
    </row>
    <row r="3922">
      <c r="A3922">
        <f>HYPERLINK("https://www.youtube.com/watch?v=pSnGOI9gEXA", "Video")</f>
        <v/>
      </c>
      <c r="B3922" t="inlineStr">
        <is>
          <t>1:53</t>
        </is>
      </c>
      <c r="C3922" t="inlineStr">
        <is>
          <t>work from home for just a little bit</t>
        </is>
      </c>
      <c r="D3922">
        <f>HYPERLINK("https://www.youtube.com/watch?v=pSnGOI9gEXA&amp;t=113s", "Go to time")</f>
        <v/>
      </c>
    </row>
    <row r="3923">
      <c r="A3923">
        <f>HYPERLINK("https://www.youtube.com/watch?v=kuJt__gk5zQ", "Video")</f>
        <v/>
      </c>
      <c r="B3923" t="inlineStr">
        <is>
          <t>4:34</t>
        </is>
      </c>
      <c r="C3923" t="inlineStr">
        <is>
          <t>and let me just push you a little bit</t>
        </is>
      </c>
      <c r="D3923">
        <f>HYPERLINK("https://www.youtube.com/watch?v=kuJt__gk5zQ&amp;t=274s", "Go to time")</f>
        <v/>
      </c>
    </row>
    <row r="3924">
      <c r="A3924">
        <f>HYPERLINK("https://www.youtube.com/watch?v=kuJt__gk5zQ", "Video")</f>
        <v/>
      </c>
      <c r="B3924" t="inlineStr">
        <is>
          <t>5:48</t>
        </is>
      </c>
      <c r="C3924" t="inlineStr">
        <is>
          <t>and that little bit of in the corridor</t>
        </is>
      </c>
      <c r="D3924">
        <f>HYPERLINK("https://www.youtube.com/watch?v=kuJt__gk5zQ&amp;t=348s", "Go to time")</f>
        <v/>
      </c>
    </row>
    <row r="3925">
      <c r="A3925">
        <f>HYPERLINK("https://www.youtube.com/watch?v=kuJt__gk5zQ", "Video")</f>
        <v/>
      </c>
      <c r="B3925" t="inlineStr">
        <is>
          <t>5:50</t>
        </is>
      </c>
      <c r="C3925" t="inlineStr">
        <is>
          <t>between meetings a little bit of water</t>
        </is>
      </c>
      <c r="D3925">
        <f>HYPERLINK("https://www.youtube.com/watch?v=kuJt__gk5zQ&amp;t=350s", "Go to time")</f>
        <v/>
      </c>
    </row>
    <row r="3926">
      <c r="A3926">
        <f>HYPERLINK("https://www.youtube.com/watch?v=kuJt__gk5zQ", "Video")</f>
        <v/>
      </c>
      <c r="B3926" t="inlineStr">
        <is>
          <t>6:02</t>
        </is>
      </c>
      <c r="C3926" t="inlineStr">
        <is>
          <t>you doing you look a bit tired how are</t>
        </is>
      </c>
      <c r="D3926">
        <f>HYPERLINK("https://www.youtube.com/watch?v=kuJt__gk5zQ&amp;t=362s", "Go to time")</f>
        <v/>
      </c>
    </row>
    <row r="3927">
      <c r="A3927">
        <f>HYPERLINK("https://www.youtube.com/watch?v=kuJt__gk5zQ", "Video")</f>
        <v/>
      </c>
      <c r="B3927" t="inlineStr">
        <is>
          <t>7:28</t>
        </is>
      </c>
      <c r="C3927" t="inlineStr">
        <is>
          <t>started coming back a little bit earlier</t>
        </is>
      </c>
      <c r="D3927">
        <f>HYPERLINK("https://www.youtube.com/watch?v=kuJt__gk5zQ&amp;t=448s", "Go to time")</f>
        <v/>
      </c>
    </row>
    <row r="3928">
      <c r="A3928">
        <f>HYPERLINK("https://www.youtube.com/watch?v=kuJt__gk5zQ", "Video")</f>
        <v/>
      </c>
      <c r="B3928" t="inlineStr">
        <is>
          <t>7:34</t>
        </is>
      </c>
      <c r="C3928" t="inlineStr">
        <is>
          <t>needed a bit of space to get out and</t>
        </is>
      </c>
      <c r="D3928">
        <f>HYPERLINK("https://www.youtube.com/watch?v=kuJt__gk5zQ&amp;t=454s", "Go to time")</f>
        <v/>
      </c>
    </row>
    <row r="3929">
      <c r="A3929">
        <f>HYPERLINK("https://www.youtube.com/watch?v=kuJt__gk5zQ", "Video")</f>
        <v/>
      </c>
      <c r="B3929" t="inlineStr">
        <is>
          <t>14:53</t>
        </is>
      </c>
      <c r="C3929" t="inlineStr">
        <is>
          <t>may have helped me a little bit</t>
        </is>
      </c>
      <c r="D3929">
        <f>HYPERLINK("https://www.youtube.com/watch?v=kuJt__gk5zQ&amp;t=893s", "Go to time")</f>
        <v/>
      </c>
    </row>
    <row r="3930">
      <c r="A3930">
        <f>HYPERLINK("https://www.youtube.com/watch?v=kuJt__gk5zQ", "Video")</f>
        <v/>
      </c>
      <c r="B3930" t="inlineStr">
        <is>
          <t>16:08</t>
        </is>
      </c>
      <c r="C3930" t="inlineStr">
        <is>
          <t>little bit less but may stay longer</t>
        </is>
      </c>
      <c r="D3930">
        <f>HYPERLINK("https://www.youtube.com/watch?v=kuJt__gk5zQ&amp;t=968s", "Go to time")</f>
        <v/>
      </c>
    </row>
    <row r="3931">
      <c r="A3931">
        <f>HYPERLINK("https://www.youtube.com/watch?v=kuJt__gk5zQ", "Video")</f>
        <v/>
      </c>
      <c r="B3931" t="inlineStr">
        <is>
          <t>17:40</t>
        </is>
      </c>
      <c r="C3931" t="inlineStr">
        <is>
          <t>going to be a little bit between</t>
        </is>
      </c>
      <c r="D3931">
        <f>HYPERLINK("https://www.youtube.com/watch?v=kuJt__gk5zQ&amp;t=1060s", "Go to time")</f>
        <v/>
      </c>
    </row>
    <row r="3932">
      <c r="A3932">
        <f>HYPERLINK("https://www.youtube.com/watch?v=kuJt__gk5zQ", "Video")</f>
        <v/>
      </c>
      <c r="B3932" t="inlineStr">
        <is>
          <t>17:41</t>
        </is>
      </c>
      <c r="C3932" t="inlineStr">
        <is>
          <t>productivity a little bit different</t>
        </is>
      </c>
      <c r="D3932">
        <f>HYPERLINK("https://www.youtube.com/watch?v=kuJt__gk5zQ&amp;t=1061s", "Go to time")</f>
        <v/>
      </c>
    </row>
    <row r="3933">
      <c r="A3933">
        <f>HYPERLINK("https://www.youtube.com/watch?v=kuJt__gk5zQ", "Video")</f>
        <v/>
      </c>
      <c r="B3933" t="inlineStr">
        <is>
          <t>17:43</t>
        </is>
      </c>
      <c r="C3933" t="inlineStr">
        <is>
          <t>engagement a little bit to flexibility</t>
        </is>
      </c>
      <c r="D3933">
        <f>HYPERLINK("https://www.youtube.com/watch?v=kuJt__gk5zQ&amp;t=1063s", "Go to time")</f>
        <v/>
      </c>
    </row>
    <row r="3934">
      <c r="A3934">
        <f>HYPERLINK("https://www.youtube.com/watch?v=kuJt__gk5zQ", "Video")</f>
        <v/>
      </c>
      <c r="B3934" t="inlineStr">
        <is>
          <t>25:11</t>
        </is>
      </c>
      <c r="C3934" t="inlineStr">
        <is>
          <t>and sit back and listen a bit more</t>
        </is>
      </c>
      <c r="D3934">
        <f>HYPERLINK("https://www.youtube.com/watch?v=kuJt__gk5zQ&amp;t=1511s", "Go to time")</f>
        <v/>
      </c>
    </row>
    <row r="3935">
      <c r="A3935">
        <f>HYPERLINK("https://www.youtube.com/watch?v=kuJt__gk5zQ", "Video")</f>
        <v/>
      </c>
      <c r="B3935" t="inlineStr">
        <is>
          <t>25:42</t>
        </is>
      </c>
      <c r="C3935" t="inlineStr">
        <is>
          <t>stripped it back a little bit i think</t>
        </is>
      </c>
      <c r="D3935">
        <f>HYPERLINK("https://www.youtube.com/watch?v=kuJt__gk5zQ&amp;t=1542s", "Go to time")</f>
        <v/>
      </c>
    </row>
    <row r="3936">
      <c r="A3936">
        <f>HYPERLINK("https://www.youtube.com/watch?v=kuJt__gk5zQ", "Video")</f>
        <v/>
      </c>
      <c r="B3936" t="inlineStr">
        <is>
          <t>26:45</t>
        </is>
      </c>
      <c r="C3936" t="inlineStr">
        <is>
          <t>talked a bit about vulnerability um</t>
        </is>
      </c>
      <c r="D3936">
        <f>HYPERLINK("https://www.youtube.com/watch?v=kuJt__gk5zQ&amp;t=1605s", "Go to time")</f>
        <v/>
      </c>
    </row>
    <row r="3937">
      <c r="A3937">
        <f>HYPERLINK("https://www.youtube.com/watch?v=kuJt__gk5zQ", "Video")</f>
        <v/>
      </c>
      <c r="B3937" t="inlineStr">
        <is>
          <t>27:58</t>
        </is>
      </c>
      <c r="C3937" t="inlineStr">
        <is>
          <t>vaccine development in cobit but we're</t>
        </is>
      </c>
      <c r="D3937">
        <f>HYPERLINK("https://www.youtube.com/watch?v=kuJt__gk5zQ&amp;t=1678s", "Go to time")</f>
        <v/>
      </c>
    </row>
    <row r="3938">
      <c r="A3938">
        <f>HYPERLINK("https://www.youtube.com/watch?v=kuJt__gk5zQ", "Video")</f>
        <v/>
      </c>
      <c r="B3938" t="inlineStr">
        <is>
          <t>28:25</t>
        </is>
      </c>
      <c r="C3938" t="inlineStr">
        <is>
          <t>is a little bit of honesty about what</t>
        </is>
      </c>
      <c r="D3938">
        <f>HYPERLINK("https://www.youtube.com/watch?v=kuJt__gk5zQ&amp;t=1705s", "Go to time")</f>
        <v/>
      </c>
    </row>
    <row r="3939">
      <c r="A3939">
        <f>HYPERLINK("https://www.youtube.com/watch?v=IRG-YubP1rw", "Video")</f>
        <v/>
      </c>
      <c r="B3939" t="inlineStr">
        <is>
          <t>2:12</t>
        </is>
      </c>
      <c r="C3939" t="inlineStr">
        <is>
          <t>And appropriateness can
take a little bit of time.</t>
        </is>
      </c>
      <c r="D3939">
        <f>HYPERLINK("https://www.youtube.com/watch?v=IRG-YubP1rw&amp;t=132s", "Go to time")</f>
        <v/>
      </c>
    </row>
    <row r="3940">
      <c r="A3940">
        <f>HYPERLINK("https://www.youtube.com/watch?v=IRG-YubP1rw", "Video")</f>
        <v/>
      </c>
      <c r="B3940" t="inlineStr">
        <is>
          <t>9:45</t>
        </is>
      </c>
      <c r="C3940" t="inlineStr">
        <is>
          <t>provide one last
bit of feedback.</t>
        </is>
      </c>
      <c r="D3940">
        <f>HYPERLINK("https://www.youtube.com/watch?v=IRG-YubP1rw&amp;t=585s", "Go to time")</f>
        <v/>
      </c>
    </row>
    <row r="3941">
      <c r="A3941">
        <f>HYPERLINK("https://www.youtube.com/watch?v=IRG-YubP1rw", "Video")</f>
        <v/>
      </c>
      <c r="B3941" t="inlineStr">
        <is>
          <t>9:46</t>
        </is>
      </c>
      <c r="C3941" t="inlineStr">
        <is>
          <t>So you continue the conversation
on for a little bit.</t>
        </is>
      </c>
      <c r="D3941">
        <f>HYPERLINK("https://www.youtube.com/watch?v=IRG-YubP1rw&amp;t=586s", "Go to time")</f>
        <v/>
      </c>
    </row>
    <row r="3942">
      <c r="A3942">
        <f>HYPERLINK("https://www.youtube.com/watch?v=IRG-YubP1rw", "Video")</f>
        <v/>
      </c>
      <c r="B3942" t="inlineStr">
        <is>
          <t>9:54</t>
        </is>
      </c>
      <c r="C3942" t="inlineStr">
        <is>
          <t>But before I go, I want
to just a little bit more</t>
        </is>
      </c>
      <c r="D3942">
        <f>HYPERLINK("https://www.youtube.com/watch?v=IRG-YubP1rw&amp;t=594s", "Go to time")</f>
        <v/>
      </c>
    </row>
    <row r="3943">
      <c r="A3943">
        <f>HYPERLINK("https://www.youtube.com/watch?v=TvV7HJLkkQw", "Video")</f>
        <v/>
      </c>
      <c r="B3943" t="inlineStr">
        <is>
          <t>0:54</t>
        </is>
      </c>
      <c r="C3943" t="inlineStr">
        <is>
          <t>how to build habit-forming
products, that is</t>
        </is>
      </c>
      <c r="D3943">
        <f>HYPERLINK("https://www.youtube.com/watch?v=TvV7HJLkkQw&amp;t=54s", "Go to time")</f>
        <v/>
      </c>
    </row>
    <row r="3944">
      <c r="A3944">
        <f>HYPERLINK("https://www.youtube.com/watch?v=TvV7HJLkkQw", "Video")</f>
        <v/>
      </c>
      <c r="B3944" t="inlineStr">
        <is>
          <t>1:01</t>
        </is>
      </c>
      <c r="C3944" t="inlineStr">
        <is>
          <t>how people can break
those bad habits, not just</t>
        </is>
      </c>
      <c r="D3944">
        <f>HYPERLINK("https://www.youtube.com/watch?v=TvV7HJLkkQw&amp;t=61s", "Go to time")</f>
        <v/>
      </c>
    </row>
    <row r="3945">
      <c r="A3945">
        <f>HYPERLINK("https://www.youtube.com/watch?v=TvV7HJLkkQw", "Video")</f>
        <v/>
      </c>
      <c r="B3945" t="inlineStr">
        <is>
          <t>1:56</t>
        </is>
      </c>
      <c r="C3945" t="inlineStr">
        <is>
          <t>Addiction is a very
different thing from a habit</t>
        </is>
      </c>
      <c r="D3945">
        <f>HYPERLINK("https://www.youtube.com/watch?v=TvV7HJLkkQw&amp;t=116s", "Go to time")</f>
        <v/>
      </c>
    </row>
    <row r="3946">
      <c r="A3946">
        <f>HYPERLINK("https://www.youtube.com/watch?v=TvV7HJLkkQw", "Video")</f>
        <v/>
      </c>
      <c r="B3946" t="inlineStr">
        <is>
          <t>2:01</t>
        </is>
      </c>
      <c r="C3946" t="inlineStr">
        <is>
          <t>habits can be very good.</t>
        </is>
      </c>
      <c r="D3946">
        <f>HYPERLINK("https://www.youtube.com/watch?v=TvV7HJLkkQw&amp;t=121s", "Go to time")</f>
        <v/>
      </c>
    </row>
    <row r="3947">
      <c r="A3947">
        <f>HYPERLINK("https://www.youtube.com/watch?v=TvV7HJLkkQw", "Video")</f>
        <v/>
      </c>
      <c r="B3947" t="inlineStr">
        <is>
          <t>2:06</t>
        </is>
      </c>
      <c r="C3947" t="inlineStr">
        <is>
          <t>We want to learn how to use
habit-forming technology</t>
        </is>
      </c>
      <c r="D3947">
        <f>HYPERLINK("https://www.youtube.com/watch?v=TvV7HJLkkQw&amp;t=126s", "Go to time")</f>
        <v/>
      </c>
    </row>
    <row r="3948">
      <c r="A3948">
        <f>HYPERLINK("https://www.youtube.com/watch?v=TvV7HJLkkQw", "Video")</f>
        <v/>
      </c>
      <c r="B3948" t="inlineStr">
        <is>
          <t>2:30</t>
        </is>
      </c>
      <c r="C3948" t="inlineStr">
        <is>
          <t>that's a habit we can break?</t>
        </is>
      </c>
      <c r="D3948">
        <f>HYPERLINK("https://www.youtube.com/watch?v=TvV7HJLkkQw&amp;t=150s", "Go to time")</f>
        <v/>
      </c>
    </row>
    <row r="3949">
      <c r="A3949">
        <f>HYPERLINK("https://www.youtube.com/watch?v=TvV7HJLkkQw", "Video")</f>
        <v/>
      </c>
      <c r="B3949" t="inlineStr">
        <is>
          <t>9:47</t>
        </is>
      </c>
      <c r="C3949" t="inlineStr">
        <is>
          <t>need a bit of
introspection to see, hey,</t>
        </is>
      </c>
      <c r="D3949">
        <f>HYPERLINK("https://www.youtube.com/watch?v=TvV7HJLkkQw&amp;t=587s", "Go to time")</f>
        <v/>
      </c>
    </row>
    <row r="3950">
      <c r="A3950">
        <f>HYPERLINK("https://www.youtube.com/watch?v=TvV7HJLkkQw", "Video")</f>
        <v/>
      </c>
      <c r="B3950" t="inlineStr">
        <is>
          <t>12:59</t>
        </is>
      </c>
      <c r="C3950" t="inlineStr">
        <is>
          <t>it was about how to build
habit-forming products.</t>
        </is>
      </c>
      <c r="D3950">
        <f>HYPERLINK("https://www.youtube.com/watch?v=TvV7HJLkkQw&amp;t=779s", "Go to time")</f>
        <v/>
      </c>
    </row>
    <row r="3951">
      <c r="A3951">
        <f>HYPERLINK("https://www.youtube.com/watch?v=TvV7HJLkkQw", "Video")</f>
        <v/>
      </c>
      <c r="B3951" t="inlineStr">
        <is>
          <t>14:10</t>
        </is>
      </c>
      <c r="C3951" t="inlineStr">
        <is>
          <t>So email is the mother of
habit-forming technology</t>
        </is>
      </c>
      <c r="D3951">
        <f>HYPERLINK("https://www.youtube.com/watch?v=TvV7HJLkkQw&amp;t=850s", "Go to time")</f>
        <v/>
      </c>
    </row>
    <row r="3952">
      <c r="A3952">
        <f>HYPERLINK("https://www.youtube.com/watch?v=TvV7HJLkkQw", "Video")</f>
        <v/>
      </c>
      <c r="B3952" t="inlineStr">
        <is>
          <t>14:25</t>
        </is>
      </c>
      <c r="C3952" t="inlineStr">
        <is>
          <t>just out of habit.</t>
        </is>
      </c>
      <c r="D3952">
        <f>HYPERLINK("https://www.youtube.com/watch?v=TvV7HJLkkQw&amp;t=865s", "Go to time")</f>
        <v/>
      </c>
    </row>
    <row r="3953">
      <c r="A3953">
        <f>HYPERLINK("https://www.youtube.com/watch?v=TvV7HJLkkQw", "Video")</f>
        <v/>
      </c>
      <c r="B3953" t="inlineStr">
        <is>
          <t>20:45</t>
        </is>
      </c>
      <c r="C3953" t="inlineStr">
        <is>
          <t>that puts a bit of
friction between you</t>
        </is>
      </c>
      <c r="D3953">
        <f>HYPERLINK("https://www.youtube.com/watch?v=TvV7HJLkkQw&amp;t=1245s", "Go to time")</f>
        <v/>
      </c>
    </row>
    <row r="3954">
      <c r="A3954">
        <f>HYPERLINK("https://www.youtube.com/watch?v=TvV7HJLkkQw", "Video")</f>
        <v/>
      </c>
      <c r="B3954" t="inlineStr">
        <is>
          <t>24:34</t>
        </is>
      </c>
      <c r="C3954" t="inlineStr">
        <is>
          <t>these companies
exhibit three traits.</t>
        </is>
      </c>
      <c r="D3954">
        <f>HYPERLINK("https://www.youtube.com/watch?v=TvV7HJLkkQw&amp;t=1474s", "Go to time")</f>
        <v/>
      </c>
    </row>
    <row r="3955">
      <c r="A3955">
        <f>HYPERLINK("https://www.youtube.com/watch?v=qBDqNiFpX3o", "Video")</f>
        <v/>
      </c>
      <c r="B3955" t="inlineStr">
        <is>
          <t>2:36</t>
        </is>
      </c>
      <c r="C3955" t="inlineStr">
        <is>
          <t>recently queen's gambit in the crown i'm</t>
        </is>
      </c>
      <c r="D3955">
        <f>HYPERLINK("https://www.youtube.com/watch?v=qBDqNiFpX3o&amp;t=156s", "Go to time")</f>
        <v/>
      </c>
    </row>
    <row r="3956">
      <c r="A3956">
        <f>HYPERLINK("https://www.youtube.com/watch?v=qBDqNiFpX3o", "Video")</f>
        <v/>
      </c>
      <c r="B3956" t="inlineStr">
        <is>
          <t>4:00</t>
        </is>
      </c>
      <c r="C3956" t="inlineStr">
        <is>
          <t>heard the queen's gambit is amazing i</t>
        </is>
      </c>
      <c r="D3956">
        <f>HYPERLINK("https://www.youtube.com/watch?v=qBDqNiFpX3o&amp;t=240s", "Go to time")</f>
        <v/>
      </c>
    </row>
    <row r="3957">
      <c r="A3957">
        <f>HYPERLINK("https://www.youtube.com/watch?v=qBDqNiFpX3o", "Video")</f>
        <v/>
      </c>
      <c r="B3957" t="inlineStr">
        <is>
          <t>4:54</t>
        </is>
      </c>
      <c r="C3957" t="inlineStr">
        <is>
          <t>habits for culturally effective people</t>
        </is>
      </c>
      <c r="D3957">
        <f>HYPERLINK("https://www.youtube.com/watch?v=qBDqNiFpX3o&amp;t=294s", "Go to time")</f>
        <v/>
      </c>
    </row>
    <row r="3958">
      <c r="A3958">
        <f>HYPERLINK("https://www.youtube.com/watch?v=qBDqNiFpX3o", "Video")</f>
        <v/>
      </c>
      <c r="B3958" t="inlineStr">
        <is>
          <t>9:14</t>
        </is>
      </c>
      <c r="C3958" t="inlineStr">
        <is>
          <t>to change so let's talk a little bit</t>
        </is>
      </c>
      <c r="D3958">
        <f>HYPERLINK("https://www.youtube.com/watch?v=qBDqNiFpX3o&amp;t=554s", "Go to time")</f>
        <v/>
      </c>
    </row>
    <row r="3959">
      <c r="A3959">
        <f>HYPERLINK("https://www.youtube.com/watch?v=qBDqNiFpX3o", "Video")</f>
        <v/>
      </c>
      <c r="B3959" t="inlineStr">
        <is>
          <t>24:40</t>
        </is>
      </c>
      <c r="C3959" t="inlineStr">
        <is>
          <t>can you explain a little bit what you</t>
        </is>
      </c>
      <c r="D3959">
        <f>HYPERLINK("https://www.youtube.com/watch?v=qBDqNiFpX3o&amp;t=1480s", "Go to time")</f>
        <v/>
      </c>
    </row>
    <row r="3960">
      <c r="A3960">
        <f>HYPERLINK("https://www.youtube.com/watch?v=qBDqNiFpX3o", "Video")</f>
        <v/>
      </c>
      <c r="B3960" t="inlineStr">
        <is>
          <t>26:21</t>
        </is>
      </c>
      <c r="C3960" t="inlineStr">
        <is>
          <t>but there was something a little bit i</t>
        </is>
      </c>
      <c r="D3960">
        <f>HYPERLINK("https://www.youtube.com/watch?v=qBDqNiFpX3o&amp;t=1581s", "Go to time")</f>
        <v/>
      </c>
    </row>
    <row r="3961">
      <c r="A3961">
        <f>HYPERLINK("https://www.youtube.com/watch?v=qBDqNiFpX3o", "Video")</f>
        <v/>
      </c>
      <c r="B3961" t="inlineStr">
        <is>
          <t>39:04</t>
        </is>
      </c>
      <c r="C3961" t="inlineStr">
        <is>
          <t>growing a bit but</t>
        </is>
      </c>
      <c r="D3961">
        <f>HYPERLINK("https://www.youtube.com/watch?v=qBDqNiFpX3o&amp;t=2344s", "Go to time")</f>
        <v/>
      </c>
    </row>
    <row r="3962">
      <c r="A3962">
        <f>HYPERLINK("https://www.youtube.com/watch?v=prUqCd2R3Zw", "Video")</f>
        <v/>
      </c>
      <c r="B3962" t="inlineStr">
        <is>
          <t>1:40</t>
        </is>
      </c>
      <c r="C3962" t="inlineStr">
        <is>
          <t>should deliver make a habit of</t>
        </is>
      </c>
      <c r="D3962">
        <f>HYPERLINK("https://www.youtube.com/watch?v=prUqCd2R3Zw&amp;t=100s", "Go to time")</f>
        <v/>
      </c>
    </row>
    <row r="3963">
      <c r="A3963">
        <f>HYPERLINK("https://www.youtube.com/watch?v=prUqCd2R3Zw", "Video")</f>
        <v/>
      </c>
      <c r="B3963" t="inlineStr">
        <is>
          <t>2:54</t>
        </is>
      </c>
      <c r="C3963" t="inlineStr">
        <is>
          <t>make a habit of using them and you won't</t>
        </is>
      </c>
      <c r="D3963">
        <f>HYPERLINK("https://www.youtube.com/watch?v=prUqCd2R3Zw&amp;t=174s", "Go to time")</f>
        <v/>
      </c>
    </row>
    <row r="3964">
      <c r="A3964">
        <f>HYPERLINK("https://www.youtube.com/watch?v=UdQIL3YdyJM", "Video")</f>
        <v/>
      </c>
      <c r="B3964" t="inlineStr">
        <is>
          <t>25:47</t>
        </is>
      </c>
      <c r="C3964" t="inlineStr">
        <is>
          <t>little bit about aisha's life and</t>
        </is>
      </c>
      <c r="D3964">
        <f>HYPERLINK("https://www.youtube.com/watch?v=UdQIL3YdyJM&amp;t=1547s", "Go to time")</f>
        <v/>
      </c>
    </row>
    <row r="3965">
      <c r="A3965">
        <f>HYPERLINK("https://www.youtube.com/watch?v=UdQIL3YdyJM", "Video")</f>
        <v/>
      </c>
      <c r="B3965" t="inlineStr">
        <is>
          <t>32:18</t>
        </is>
      </c>
      <c r="C3965" t="inlineStr">
        <is>
          <t>it's a bit of both but i would say</t>
        </is>
      </c>
      <c r="D3965">
        <f>HYPERLINK("https://www.youtube.com/watch?v=UdQIL3YdyJM&amp;t=1938s", "Go to time")</f>
        <v/>
      </c>
    </row>
    <row r="3966">
      <c r="A3966">
        <f>HYPERLINK("https://www.youtube.com/watch?v=UdQIL3YdyJM", "Video")</f>
        <v/>
      </c>
      <c r="B3966" t="inlineStr">
        <is>
          <t>35:59</t>
        </is>
      </c>
      <c r="C3966" t="inlineStr">
        <is>
          <t>a little bit so</t>
        </is>
      </c>
      <c r="D3966">
        <f>HYPERLINK("https://www.youtube.com/watch?v=UdQIL3YdyJM&amp;t=2159s", "Go to time")</f>
        <v/>
      </c>
    </row>
    <row r="3967">
      <c r="A3967">
        <f>HYPERLINK("https://www.youtube.com/watch?v=1KHkzyyQExU", "Video")</f>
        <v/>
      </c>
      <c r="B3967" t="inlineStr">
        <is>
          <t>4:18</t>
        </is>
      </c>
      <c r="C3967" t="inlineStr">
        <is>
          <t>uh i'll tell you a little bit about him</t>
        </is>
      </c>
      <c r="D3967">
        <f>HYPERLINK("https://www.youtube.com/watch?v=1KHkzyyQExU&amp;t=258s", "Go to time")</f>
        <v/>
      </c>
    </row>
    <row r="3968">
      <c r="A3968">
        <f>HYPERLINK("https://www.youtube.com/watch?v=1KHkzyyQExU", "Video")</f>
        <v/>
      </c>
      <c r="B3968" t="inlineStr">
        <is>
          <t>10:59</t>
        </is>
      </c>
      <c r="C3968" t="inlineStr">
        <is>
          <t>i want to switch gears a little bit and</t>
        </is>
      </c>
      <c r="D3968">
        <f>HYPERLINK("https://www.youtube.com/watch?v=1KHkzyyQExU&amp;t=659s", "Go to time")</f>
        <v/>
      </c>
    </row>
    <row r="3969">
      <c r="A3969">
        <f>HYPERLINK("https://www.youtube.com/watch?v=1KHkzyyQExU", "Video")</f>
        <v/>
      </c>
      <c r="B3969" t="inlineStr">
        <is>
          <t>16:28</t>
        </is>
      </c>
      <c r="C3969" t="inlineStr">
        <is>
          <t>i want to talk a little bit more about</t>
        </is>
      </c>
      <c r="D3969">
        <f>HYPERLINK("https://www.youtube.com/watch?v=1KHkzyyQExU&amp;t=988s", "Go to time")</f>
        <v/>
      </c>
    </row>
    <row r="3970">
      <c r="A3970">
        <f>HYPERLINK("https://www.youtube.com/watch?v=1KHkzyyQExU", "Video")</f>
        <v/>
      </c>
      <c r="B3970" t="inlineStr">
        <is>
          <t>20:30</t>
        </is>
      </c>
      <c r="C3970" t="inlineStr">
        <is>
          <t>little bit just because</t>
        </is>
      </c>
      <c r="D3970">
        <f>HYPERLINK("https://www.youtube.com/watch?v=1KHkzyyQExU&amp;t=1230s", "Go to time")</f>
        <v/>
      </c>
    </row>
    <row r="3971">
      <c r="A3971">
        <f>HYPERLINK("https://www.youtube.com/watch?v=1KHkzyyQExU", "Video")</f>
        <v/>
      </c>
      <c r="B3971" t="inlineStr">
        <is>
          <t>23:13</t>
        </is>
      </c>
      <c r="C3971" t="inlineStr">
        <is>
          <t>protein for sars cov2 which causes cobit</t>
        </is>
      </c>
      <c r="D3971">
        <f>HYPERLINK("https://www.youtube.com/watch?v=1KHkzyyQExU&amp;t=1393s", "Go to time")</f>
        <v/>
      </c>
    </row>
    <row r="3972">
      <c r="A3972">
        <f>HYPERLINK("https://www.youtube.com/watch?v=1KHkzyyQExU", "Video")</f>
        <v/>
      </c>
      <c r="B3972" t="inlineStr">
        <is>
          <t>24:12</t>
        </is>
      </c>
      <c r="C3972" t="inlineStr">
        <is>
          <t>be living with cobit for a long time</t>
        </is>
      </c>
      <c r="D3972">
        <f>HYPERLINK("https://www.youtube.com/watch?v=1KHkzyyQExU&amp;t=1452s", "Go to time")</f>
        <v/>
      </c>
    </row>
    <row r="3973">
      <c r="A3973">
        <f>HYPERLINK("https://www.youtube.com/watch?v=1KHkzyyQExU", "Video")</f>
        <v/>
      </c>
      <c r="B3973" t="inlineStr">
        <is>
          <t>35:33</t>
        </is>
      </c>
      <c r="C3973" t="inlineStr">
        <is>
          <t>on cobit 19. we'll talk with dr fauci</t>
        </is>
      </c>
      <c r="D3973">
        <f>HYPERLINK("https://www.youtube.com/watch?v=1KHkzyyQExU&amp;t=2133s", "Go to time")</f>
        <v/>
      </c>
    </row>
    <row r="3974">
      <c r="A3974">
        <f>HYPERLINK("https://www.youtube.com/watch?v=BLsKMTZEWn4", "Video")</f>
        <v/>
      </c>
      <c r="B3974" t="inlineStr">
        <is>
          <t>1:43</t>
        </is>
      </c>
      <c r="C3974" t="inlineStr">
        <is>
          <t>That is a very
ambitious title, George.</t>
        </is>
      </c>
      <c r="D3974">
        <f>HYPERLINK("https://www.youtube.com/watch?v=BLsKMTZEWn4&amp;t=103s", "Go to time")</f>
        <v/>
      </c>
    </row>
    <row r="3975">
      <c r="A3975">
        <f>HYPERLINK("https://www.youtube.com/watch?v=BLsKMTZEWn4", "Video")</f>
        <v/>
      </c>
      <c r="B3975" t="inlineStr">
        <is>
          <t>1:49</t>
        </is>
      </c>
      <c r="C3975" t="inlineStr">
        <is>
          <t>We like ambitious
things here at HBS.</t>
        </is>
      </c>
      <c r="D3975">
        <f>HYPERLINK("https://www.youtube.com/watch?v=BLsKMTZEWn4&amp;t=109s", "Go to time")</f>
        <v/>
      </c>
    </row>
    <row r="3976">
      <c r="A3976">
        <f>HYPERLINK("https://www.youtube.com/watch?v=BLsKMTZEWn4", "Video")</f>
        <v/>
      </c>
      <c r="B3976" t="inlineStr">
        <is>
          <t>11:10</t>
        </is>
      </c>
      <c r="C3976" t="inlineStr">
        <is>
          <t>But that goes a little bit
against the business model</t>
        </is>
      </c>
      <c r="D3976">
        <f>HYPERLINK("https://www.youtube.com/watch?v=BLsKMTZEWn4&amp;t=670s", "Go to time")</f>
        <v/>
      </c>
    </row>
    <row r="3977">
      <c r="A3977">
        <f>HYPERLINK("https://www.youtube.com/watch?v=BLsKMTZEWn4", "Video")</f>
        <v/>
      </c>
      <c r="B3977" t="inlineStr">
        <is>
          <t>12:39</t>
        </is>
      </c>
      <c r="C3977" t="inlineStr">
        <is>
          <t>because in some cases,
companies have been a little bit</t>
        </is>
      </c>
      <c r="D3977">
        <f>HYPERLINK("https://www.youtube.com/watch?v=BLsKMTZEWn4&amp;t=759s", "Go to time")</f>
        <v/>
      </c>
    </row>
    <row r="3978">
      <c r="A3978">
        <f>HYPERLINK("https://www.youtube.com/watch?v=BLsKMTZEWn4", "Video")</f>
        <v/>
      </c>
      <c r="B3978" t="inlineStr">
        <is>
          <t>12:42</t>
        </is>
      </c>
      <c r="C3978" t="inlineStr">
        <is>
          <t>sleepwalking, they are a
little bit too comfortable,</t>
        </is>
      </c>
      <c r="D3978">
        <f>HYPERLINK("https://www.youtube.com/watch?v=BLsKMTZEWn4&amp;t=762s", "Go to time")</f>
        <v/>
      </c>
    </row>
    <row r="3979">
      <c r="A3979">
        <f>HYPERLINK("https://www.youtube.com/watch?v=BLsKMTZEWn4", "Video")</f>
        <v/>
      </c>
      <c r="B3979" t="inlineStr">
        <is>
          <t>13:52</t>
        </is>
      </c>
      <c r="C3979" t="inlineStr">
        <is>
          <t>talked about ESG quite a bit.</t>
        </is>
      </c>
      <c r="D3979">
        <f>HYPERLINK("https://www.youtube.com/watch?v=BLsKMTZEWn4&amp;t=832s", "Go to time")</f>
        <v/>
      </c>
    </row>
    <row r="3980">
      <c r="A3980">
        <f>HYPERLINK("https://www.youtube.com/watch?v=BLsKMTZEWn4", "Video")</f>
        <v/>
      </c>
      <c r="B3980" t="inlineStr">
        <is>
          <t>16:26</t>
        </is>
      </c>
      <c r="C3980" t="inlineStr">
        <is>
          <t>and those terms
come up quite a bit.</t>
        </is>
      </c>
      <c r="D3980">
        <f>HYPERLINK("https://www.youtube.com/watch?v=BLsKMTZEWn4&amp;t=986s", "Go to time")</f>
        <v/>
      </c>
    </row>
    <row r="3981">
      <c r="A3981">
        <f>HYPERLINK("https://www.youtube.com/watch?v=BLsKMTZEWn4", "Video")</f>
        <v/>
      </c>
      <c r="B3981" t="inlineStr">
        <is>
          <t>23:48</t>
        </is>
      </c>
      <c r="C3981" t="inlineStr">
        <is>
          <t>those two things a little bit.</t>
        </is>
      </c>
      <c r="D3981">
        <f>HYPERLINK("https://www.youtube.com/watch?v=BLsKMTZEWn4&amp;t=1428s", "Go to time")</f>
        <v/>
      </c>
    </row>
    <row r="3982">
      <c r="A3982">
        <f>HYPERLINK("https://www.youtube.com/watch?v=BLsKMTZEWn4", "Video")</f>
        <v/>
      </c>
      <c r="B3982" t="inlineStr">
        <is>
          <t>28:28</t>
        </is>
      </c>
      <c r="C3982" t="inlineStr">
        <is>
          <t>Sometimes we might be
a little bit too fast.</t>
        </is>
      </c>
      <c r="D3982">
        <f>HYPERLINK("https://www.youtube.com/watch?v=BLsKMTZEWn4&amp;t=1708s", "Go to time")</f>
        <v/>
      </c>
    </row>
    <row r="3983">
      <c r="A3983">
        <f>HYPERLINK("https://www.youtube.com/watch?v=BLsKMTZEWn4", "Video")</f>
        <v/>
      </c>
      <c r="B3983" t="inlineStr">
        <is>
          <t>28:31</t>
        </is>
      </c>
      <c r="C3983" t="inlineStr">
        <is>
          <t>Sometimes we're a
little bit too slow.</t>
        </is>
      </c>
      <c r="D3983">
        <f>HYPERLINK("https://www.youtube.com/watch?v=BLsKMTZEWn4&amp;t=1711s", "Go to time")</f>
        <v/>
      </c>
    </row>
    <row r="3984">
      <c r="A3984">
        <f>HYPERLINK("https://www.youtube.com/watch?v=Jnnyiyte9NQ", "Video")</f>
        <v/>
      </c>
      <c r="B3984" t="inlineStr">
        <is>
          <t>1:29</t>
        </is>
      </c>
      <c r="C3984" t="inlineStr">
        <is>
          <t>Wrong. It's a little bit vague. We can</t>
        </is>
      </c>
      <c r="D3984">
        <f>HYPERLINK("https://www.youtube.com/watch?v=Jnnyiyte9NQ&amp;t=89s", "Go to time")</f>
        <v/>
      </c>
    </row>
    <row r="3985">
      <c r="A3985">
        <f>HYPERLINK("https://www.youtube.com/watch?v=Jnnyiyte9NQ", "Video")</f>
        <v/>
      </c>
      <c r="B3985" t="inlineStr">
        <is>
          <t>12:48</t>
        </is>
      </c>
      <c r="C3985" t="inlineStr">
        <is>
          <t>my god. Who is a little bit crazy and I</t>
        </is>
      </c>
      <c r="D3985">
        <f>HYPERLINK("https://www.youtube.com/watch?v=Jnnyiyte9NQ&amp;t=768s", "Go to time")</f>
        <v/>
      </c>
    </row>
    <row r="3986">
      <c r="A3986">
        <f>HYPERLINK("https://www.youtube.com/watch?v=Jnnyiyte9NQ", "Video")</f>
        <v/>
      </c>
      <c r="B3986" t="inlineStr">
        <is>
          <t>20:02</t>
        </is>
      </c>
      <c r="C3986" t="inlineStr">
        <is>
          <t>round. The final round is a bit tricky.</t>
        </is>
      </c>
      <c r="D3986">
        <f>HYPERLINK("https://www.youtube.com/watch?v=Jnnyiyte9NQ&amp;t=1202s", "Go to time")</f>
        <v/>
      </c>
    </row>
    <row r="3987">
      <c r="A3987">
        <f>HYPERLINK("https://www.youtube.com/watch?v=1aQZ7_tfgps", "Video")</f>
        <v/>
      </c>
      <c r="B3987" t="inlineStr">
        <is>
          <t>6:55</t>
        </is>
      </c>
      <c r="C3987" t="inlineStr">
        <is>
          <t>so they're writing a little bit then</t>
        </is>
      </c>
      <c r="D3987">
        <f>HYPERLINK("https://www.youtube.com/watch?v=1aQZ7_tfgps&amp;t=415s", "Go to time")</f>
        <v/>
      </c>
    </row>
    <row r="3988">
      <c r="A3988">
        <f>HYPERLINK("https://www.youtube.com/watch?v=-x6U2el8-Lk", "Video")</f>
        <v/>
      </c>
      <c r="B3988" t="inlineStr">
        <is>
          <t>0:02</t>
        </is>
      </c>
      <c r="C3988" t="inlineStr">
        <is>
          <t>just where you're from and a little bit</t>
        </is>
      </c>
      <c r="D3988">
        <f>HYPERLINK("https://www.youtube.com/watch?v=-x6U2el8-Lk&amp;t=2s", "Go to time")</f>
        <v/>
      </c>
    </row>
    <row r="3989">
      <c r="A3989">
        <f>HYPERLINK("https://www.youtube.com/watch?v=-x6U2el8-Lk", "Video")</f>
        <v/>
      </c>
      <c r="B3989" t="inlineStr">
        <is>
          <t>4:01</t>
        </is>
      </c>
      <c r="C3989" t="inlineStr">
        <is>
          <t>talk a little bit about all the courses</t>
        </is>
      </c>
      <c r="D3989">
        <f>HYPERLINK("https://www.youtube.com/watch?v=-x6U2el8-Lk&amp;t=241s", "Go to time")</f>
        <v/>
      </c>
    </row>
    <row r="3990">
      <c r="A3990">
        <f>HYPERLINK("https://www.youtube.com/watch?v=_s1rIKaoAyM", "Video")</f>
        <v/>
      </c>
      <c r="B3990" t="inlineStr">
        <is>
          <t>24:37</t>
        </is>
      </c>
      <c r="C3990" t="inlineStr">
        <is>
          <t>student had a little bit of corruption</t>
        </is>
      </c>
      <c r="D3990">
        <f>HYPERLINK("https://www.youtube.com/watch?v=_s1rIKaoAyM&amp;t=1477s", "Go to time")</f>
        <v/>
      </c>
    </row>
    <row r="3991">
      <c r="A3991">
        <f>HYPERLINK("https://www.youtube.com/watch?v=_s1rIKaoAyM", "Video")</f>
        <v/>
      </c>
      <c r="B3991" t="inlineStr">
        <is>
          <t>25:55</t>
        </is>
      </c>
      <c r="C3991" t="inlineStr">
        <is>
          <t>something so there is a little bit of it</t>
        </is>
      </c>
      <c r="D3991">
        <f>HYPERLINK("https://www.youtube.com/watch?v=_s1rIKaoAyM&amp;t=1555s", "Go to time")</f>
        <v/>
      </c>
    </row>
    <row r="3992">
      <c r="A3992">
        <f>HYPERLINK("https://www.youtube.com/watch?v=_s1rIKaoAyM", "Video")</f>
        <v/>
      </c>
      <c r="B3992" t="inlineStr">
        <is>
          <t>30:16</t>
        </is>
      </c>
      <c r="C3992" t="inlineStr">
        <is>
          <t>it's a little bit inappropriate in that</t>
        </is>
      </c>
      <c r="D3992">
        <f>HYPERLINK("https://www.youtube.com/watch?v=_s1rIKaoAyM&amp;t=1816s", "Go to time")</f>
        <v/>
      </c>
    </row>
    <row r="3993">
      <c r="A3993">
        <f>HYPERLINK("https://www.youtube.com/watch?v=_s1rIKaoAyM", "Video")</f>
        <v/>
      </c>
      <c r="B3993" t="inlineStr">
        <is>
          <t>46:03</t>
        </is>
      </c>
      <c r="C3993" t="inlineStr">
        <is>
          <t>to feel angry or bitter about something</t>
        </is>
      </c>
      <c r="D3993">
        <f>HYPERLINK("https://www.youtube.com/watch?v=_s1rIKaoAyM&amp;t=2763s", "Go to time")</f>
        <v/>
      </c>
    </row>
    <row r="3994">
      <c r="A3994">
        <f>HYPERLINK("https://www.youtube.com/watch?v=_s1rIKaoAyM", "Video")</f>
        <v/>
      </c>
      <c r="B3994" t="inlineStr">
        <is>
          <t>49:15</t>
        </is>
      </c>
      <c r="C3994" t="inlineStr">
        <is>
          <t>eating habits so very important word to</t>
        </is>
      </c>
      <c r="D3994">
        <f>HYPERLINK("https://www.youtube.com/watch?v=_s1rIKaoAyM&amp;t=2955s", "Go to time")</f>
        <v/>
      </c>
    </row>
    <row r="3995">
      <c r="A3995">
        <f>HYPERLINK("https://www.youtube.com/watch?v=QltwguFTSQE", "Video")</f>
        <v/>
      </c>
      <c r="B3995" t="inlineStr">
        <is>
          <t>2:00</t>
        </is>
      </c>
      <c r="C3995" t="inlineStr">
        <is>
          <t>habit</t>
        </is>
      </c>
      <c r="D3995">
        <f>HYPERLINK("https://www.youtube.com/watch?v=QltwguFTSQE&amp;t=120s", "Go to time")</f>
        <v/>
      </c>
    </row>
    <row r="3996">
      <c r="A3996">
        <f>HYPERLINK("https://www.youtube.com/watch?v=QltwguFTSQE", "Video")</f>
        <v/>
      </c>
      <c r="B3996" t="inlineStr">
        <is>
          <t>2:01</t>
        </is>
      </c>
      <c r="C3996" t="inlineStr">
        <is>
          <t>how do you develop a habit well you</t>
        </is>
      </c>
      <c r="D3996">
        <f>HYPERLINK("https://www.youtube.com/watch?v=QltwguFTSQE&amp;t=121s", "Go to time")</f>
        <v/>
      </c>
    </row>
    <row r="3997">
      <c r="A3997">
        <f>HYPERLINK("https://www.youtube.com/watch?v=QltwguFTSQE", "Video")</f>
        <v/>
      </c>
      <c r="B3997" t="inlineStr">
        <is>
          <t>2:03</t>
        </is>
      </c>
      <c r="C3997" t="inlineStr">
        <is>
          <t>develop a habit by doing something you</t>
        </is>
      </c>
      <c r="D3997">
        <f>HYPERLINK("https://www.youtube.com/watch?v=QltwguFTSQE&amp;t=123s", "Go to time")</f>
        <v/>
      </c>
    </row>
    <row r="3998">
      <c r="A3998">
        <f>HYPERLINK("https://www.youtube.com/watch?v=QltwguFTSQE", "Video")</f>
        <v/>
      </c>
      <c r="B3998" t="inlineStr">
        <is>
          <t>2:24</t>
        </is>
      </c>
      <c r="C3998" t="inlineStr">
        <is>
          <t>should develop is the habit of reading</t>
        </is>
      </c>
      <c r="D3998">
        <f>HYPERLINK("https://www.youtube.com/watch?v=QltwguFTSQE&amp;t=144s", "Go to time")</f>
        <v/>
      </c>
    </row>
    <row r="3999">
      <c r="A3999">
        <f>HYPERLINK("https://www.youtube.com/watch?v=UuNgt9Zjh4Y", "Video")</f>
        <v/>
      </c>
      <c r="B3999" t="inlineStr">
        <is>
          <t>0:45</t>
        </is>
      </c>
      <c r="C3999" t="inlineStr">
        <is>
          <t>enjoyed the reading bit and I still do</t>
        </is>
      </c>
      <c r="D3999">
        <f>HYPERLINK("https://www.youtube.com/watch?v=UuNgt9Zjh4Y&amp;t=45s", "Go to time")</f>
        <v/>
      </c>
    </row>
    <row r="4000">
      <c r="A4000">
        <f>HYPERLINK("https://www.youtube.com/watch?v=UuNgt9Zjh4Y", "Video")</f>
        <v/>
      </c>
      <c r="B4000" t="inlineStr">
        <is>
          <t>4:30</t>
        </is>
      </c>
      <c r="C4000" t="inlineStr">
        <is>
          <t>standing in my balcony it was bit cloudy</t>
        </is>
      </c>
      <c r="D4000">
        <f>HYPERLINK("https://www.youtube.com/watch?v=UuNgt9Zjh4Y&amp;t=270s", "Go to time")</f>
        <v/>
      </c>
    </row>
    <row r="4001">
      <c r="A4001">
        <f>HYPERLINK("https://www.youtube.com/watch?v=UuNgt9Zjh4Y", "Video")</f>
        <v/>
      </c>
      <c r="B4001" t="inlineStr">
        <is>
          <t>9:25</t>
        </is>
      </c>
      <c r="C4001" t="inlineStr">
        <is>
          <t>to um rain or monsoon season it's a bit</t>
        </is>
      </c>
      <c r="D4001">
        <f>HYPERLINK("https://www.youtube.com/watch?v=UuNgt9Zjh4Y&amp;t=565s", "Go to time")</f>
        <v/>
      </c>
    </row>
    <row r="4002">
      <c r="A4002">
        <f>HYPERLINK("https://www.youtube.com/watch?v=UuNgt9Zjh4Y", "Video")</f>
        <v/>
      </c>
      <c r="B4002" t="inlineStr">
        <is>
          <t>11:07</t>
        </is>
      </c>
      <c r="C4002" t="inlineStr">
        <is>
          <t>little bit nervous um but those nerves</t>
        </is>
      </c>
      <c r="D4002">
        <f>HYPERLINK("https://www.youtube.com/watch?v=UuNgt9Zjh4Y&amp;t=667s", "Go to time")</f>
        <v/>
      </c>
    </row>
    <row r="4003">
      <c r="A4003">
        <f>HYPERLINK("https://www.youtube.com/watch?v=UuNgt9Zjh4Y", "Video")</f>
        <v/>
      </c>
      <c r="B4003" t="inlineStr">
        <is>
          <t>11:56</t>
        </is>
      </c>
      <c r="C4003" t="inlineStr">
        <is>
          <t>you're putting a little bit too much</t>
        </is>
      </c>
      <c r="D4003">
        <f>HYPERLINK("https://www.youtube.com/watch?v=UuNgt9Zjh4Y&amp;t=716s", "Go to time")</f>
        <v/>
      </c>
    </row>
    <row r="4004">
      <c r="A4004">
        <f>HYPERLINK("https://www.youtube.com/watch?v=UuNgt9Zjh4Y", "Video")</f>
        <v/>
      </c>
      <c r="B4004" t="inlineStr">
        <is>
          <t>12:46</t>
        </is>
      </c>
      <c r="C4004" t="inlineStr">
        <is>
          <t>um was good also there was a little bit</t>
        </is>
      </c>
      <c r="D4004">
        <f>HYPERLINK("https://www.youtube.com/watch?v=UuNgt9Zjh4Y&amp;t=766s", "Go to time")</f>
        <v/>
      </c>
    </row>
    <row r="4005">
      <c r="A4005">
        <f>HYPERLINK("https://www.youtube.com/watch?v=UuNgt9Zjh4Y", "Video")</f>
        <v/>
      </c>
      <c r="B4005" t="inlineStr">
        <is>
          <t>13:11</t>
        </is>
      </c>
      <c r="C4005" t="inlineStr">
        <is>
          <t>you just repeated one little bit the</t>
        </is>
      </c>
      <c r="D4005">
        <f>HYPERLINK("https://www.youtube.com/watch?v=UuNgt9Zjh4Y&amp;t=791s", "Go to time")</f>
        <v/>
      </c>
    </row>
    <row r="4006">
      <c r="A4006">
        <f>HYPERLINK("https://www.youtube.com/watch?v=UuNgt9Zjh4Y", "Video")</f>
        <v/>
      </c>
      <c r="B4006" t="inlineStr">
        <is>
          <t>17:07</t>
        </is>
      </c>
      <c r="C4006" t="inlineStr">
        <is>
          <t>could drop your score a little bit it</t>
        </is>
      </c>
      <c r="D4006">
        <f>HYPERLINK("https://www.youtube.com/watch?v=UuNgt9Zjh4Y&amp;t=1027s", "Go to time")</f>
        <v/>
      </c>
    </row>
    <row r="4007">
      <c r="A4007">
        <f>HYPERLINK("https://www.youtube.com/watch?v=UuNgt9Zjh4Y", "Video")</f>
        <v/>
      </c>
      <c r="B4007" t="inlineStr">
        <is>
          <t>17:59</t>
        </is>
      </c>
      <c r="C4007" t="inlineStr">
        <is>
          <t>Volume a little bit again pretend that</t>
        </is>
      </c>
      <c r="D4007">
        <f>HYPERLINK("https://www.youtube.com/watch?v=UuNgt9Zjh4Y&amp;t=1079s", "Go to time")</f>
        <v/>
      </c>
    </row>
    <row r="4008">
      <c r="A4008">
        <f>HYPERLINK("https://www.youtube.com/watch?v=UuNgt9Zjh4Y", "Video")</f>
        <v/>
      </c>
      <c r="B4008" t="inlineStr">
        <is>
          <t>19:40</t>
        </is>
      </c>
      <c r="C4008" t="inlineStr">
        <is>
          <t>are a little bit rigid and formal and</t>
        </is>
      </c>
      <c r="D4008">
        <f>HYPERLINK("https://www.youtube.com/watch?v=UuNgt9Zjh4Y&amp;t=1180s", "Go to time")</f>
        <v/>
      </c>
    </row>
    <row r="4009">
      <c r="A4009">
        <f>HYPERLINK("https://www.youtube.com/watch?v=UuNgt9Zjh4Y", "Video")</f>
        <v/>
      </c>
      <c r="B4009" t="inlineStr">
        <is>
          <t>19:44</t>
        </is>
      </c>
      <c r="C4009" t="inlineStr">
        <is>
          <t>think with you a little bit maybe but</t>
        </is>
      </c>
      <c r="D4009">
        <f>HYPERLINK("https://www.youtube.com/watch?v=UuNgt9Zjh4Y&amp;t=1184s", "Go to time")</f>
        <v/>
      </c>
    </row>
    <row r="4010">
      <c r="A4010">
        <f>HYPERLINK("https://www.youtube.com/watch?v=UuNgt9Zjh4Y", "Video")</f>
        <v/>
      </c>
      <c r="B4010" t="inlineStr">
        <is>
          <t>24:26</t>
        </is>
      </c>
      <c r="C4010" t="inlineStr">
        <is>
          <t>think that you play it safe a little bit</t>
        </is>
      </c>
      <c r="D4010">
        <f>HYPERLINK("https://www.youtube.com/watch?v=UuNgt9Zjh4Y&amp;t=1466s", "Go to time")</f>
        <v/>
      </c>
    </row>
    <row r="4011">
      <c r="A4011">
        <f>HYPERLINK("https://www.youtube.com/watch?v=UuNgt9Zjh4Y", "Video")</f>
        <v/>
      </c>
      <c r="B4011" t="inlineStr">
        <is>
          <t>25:22</t>
        </is>
      </c>
      <c r="C4011" t="inlineStr">
        <is>
          <t>something a little bit more advanced and</t>
        </is>
      </c>
      <c r="D4011">
        <f>HYPERLINK("https://www.youtube.com/watch?v=UuNgt9Zjh4Y&amp;t=1522s", "Go to time")</f>
        <v/>
      </c>
    </row>
    <row r="4012">
      <c r="A4012">
        <f>HYPERLINK("https://www.youtube.com/watch?v=UuNgt9Zjh4Y", "Video")</f>
        <v/>
      </c>
      <c r="B4012" t="inlineStr">
        <is>
          <t>25:52</t>
        </is>
      </c>
      <c r="C4012" t="inlineStr">
        <is>
          <t>little bit and and you are searching for</t>
        </is>
      </c>
      <c r="D4012">
        <f>HYPERLINK("https://www.youtube.com/watch?v=UuNgt9Zjh4Y&amp;t=1552s", "Go to time")</f>
        <v/>
      </c>
    </row>
    <row r="4013">
      <c r="A4013">
        <f>HYPERLINK("https://www.youtube.com/watch?v=UuNgt9Zjh4Y", "Video")</f>
        <v/>
      </c>
      <c r="B4013" t="inlineStr">
        <is>
          <t>26:17</t>
        </is>
      </c>
      <c r="C4013" t="inlineStr">
        <is>
          <t>bit more regularly you would get about</t>
        </is>
      </c>
      <c r="D4013">
        <f>HYPERLINK("https://www.youtube.com/watch?v=UuNgt9Zjh4Y&amp;t=1577s", "Go to time")</f>
        <v/>
      </c>
    </row>
    <row r="4014">
      <c r="A4014">
        <f>HYPERLINK("https://www.youtube.com/watch?v=o7Qk4jmAJq0", "Video")</f>
        <v/>
      </c>
      <c r="B4014" t="inlineStr">
        <is>
          <t>0:21</t>
        </is>
      </c>
      <c r="C4014" t="inlineStr">
        <is>
          <t>for me to share her story a little bit</t>
        </is>
      </c>
      <c r="D4014">
        <f>HYPERLINK("https://www.youtube.com/watch?v=o7Qk4jmAJq0&amp;t=21s", "Go to time")</f>
        <v/>
      </c>
    </row>
    <row r="4015">
      <c r="A4015">
        <f>HYPERLINK("https://www.youtube.com/watch?v=o7Qk4jmAJq0", "Video")</f>
        <v/>
      </c>
      <c r="B4015" t="inlineStr">
        <is>
          <t>0:38</t>
        </is>
      </c>
      <c r="C4015" t="inlineStr">
        <is>
          <t>people and give a little bit of a</t>
        </is>
      </c>
      <c r="D4015">
        <f>HYPERLINK("https://www.youtube.com/watch?v=o7Qk4jmAJq0&amp;t=38s", "Go to time")</f>
        <v/>
      </c>
    </row>
    <row r="4016">
      <c r="A4016">
        <f>HYPERLINK("https://www.youtube.com/watch?v=o7Qk4jmAJq0", "Video")</f>
        <v/>
      </c>
      <c r="B4016" t="inlineStr">
        <is>
          <t>12:11</t>
        </is>
      </c>
      <c r="C4016" t="inlineStr">
        <is>
          <t>little bit different than atomic sounds</t>
        </is>
      </c>
      <c r="D4016">
        <f>HYPERLINK("https://www.youtube.com/watch?v=o7Qk4jmAJq0&amp;t=731s", "Go to time")</f>
        <v/>
      </c>
    </row>
    <row r="4017">
      <c r="A4017">
        <f>HYPERLINK("https://www.youtube.com/watch?v=o7Qk4jmAJq0", "Video")</f>
        <v/>
      </c>
      <c r="B4017" t="inlineStr">
        <is>
          <t>16:54</t>
        </is>
      </c>
      <c r="C4017" t="inlineStr">
        <is>
          <t>quickly right the important bit like you</t>
        </is>
      </c>
      <c r="D4017">
        <f>HYPERLINK("https://www.youtube.com/watch?v=o7Qk4jmAJq0&amp;t=1014s", "Go to time")</f>
        <v/>
      </c>
    </row>
    <row r="4018">
      <c r="A4018">
        <f>HYPERLINK("https://www.youtube.com/watch?v=o7Qk4jmAJq0", "Video")</f>
        <v/>
      </c>
      <c r="B4018" t="inlineStr">
        <is>
          <t>17:08</t>
        </is>
      </c>
      <c r="C4018" t="inlineStr">
        <is>
          <t>both like important bits like you know</t>
        </is>
      </c>
      <c r="D4018">
        <f>HYPERLINK("https://www.youtube.com/watch?v=o7Qk4jmAJq0&amp;t=1028s", "Go to time")</f>
        <v/>
      </c>
    </row>
    <row r="4019">
      <c r="A4019">
        <f>HYPERLINK("https://www.youtube.com/watch?v=o7Qk4jmAJq0", "Video")</f>
        <v/>
      </c>
      <c r="B4019" t="inlineStr">
        <is>
          <t>25:46</t>
        </is>
      </c>
      <c r="C4019" t="inlineStr">
        <is>
          <t>because it's a bit like if you for</t>
        </is>
      </c>
      <c r="D4019">
        <f>HYPERLINK("https://www.youtube.com/watch?v=o7Qk4jmAJq0&amp;t=1546s", "Go to time")</f>
        <v/>
      </c>
    </row>
    <row r="4020">
      <c r="A4020">
        <f>HYPERLINK("https://www.youtube.com/watch?v=7vy4hsr2V4s", "Video")</f>
        <v/>
      </c>
      <c r="B4020" t="inlineStr">
        <is>
          <t>3:46</t>
        </is>
      </c>
      <c r="C4020" t="inlineStr">
        <is>
          <t>were a bit tricky I got nervous also</t>
        </is>
      </c>
      <c r="D4020">
        <f>HYPERLINK("https://www.youtube.com/watch?v=7vy4hsr2V4s&amp;t=226s", "Go to time")</f>
        <v/>
      </c>
    </row>
    <row r="4021">
      <c r="A4021">
        <f>HYPERLINK("https://www.youtube.com/watch?v=7vy4hsr2V4s", "Video")</f>
        <v/>
      </c>
      <c r="B4021" t="inlineStr">
        <is>
          <t>11:12</t>
        </is>
      </c>
      <c r="C4021" t="inlineStr">
        <is>
          <t>little bit on structure work on other</t>
        </is>
      </c>
      <c r="D4021">
        <f>HYPERLINK("https://www.youtube.com/watch?v=7vy4hsr2V4s&amp;t=672s", "Go to time")</f>
        <v/>
      </c>
    </row>
    <row r="4022">
      <c r="A4022">
        <f>HYPERLINK("https://www.youtube.com/watch?v=t9PRLpkCUSM", "Video")</f>
        <v/>
      </c>
      <c r="B4022" t="inlineStr">
        <is>
          <t>10:25</t>
        </is>
      </c>
      <c r="C4022" t="inlineStr">
        <is>
          <t>habits your free time when you involved</t>
        </is>
      </c>
      <c r="D4022">
        <f>HYPERLINK("https://www.youtube.com/watch?v=t9PRLpkCUSM&amp;t=625s", "Go to time")</f>
        <v/>
      </c>
    </row>
    <row r="4023">
      <c r="A4023">
        <f>HYPERLINK("https://www.youtube.com/watch?v=t9PRLpkCUSM", "Video")</f>
        <v/>
      </c>
      <c r="B4023" t="inlineStr">
        <is>
          <t>10:42</t>
        </is>
      </c>
      <c r="C4023" t="inlineStr">
        <is>
          <t>you to expand your answers a little bit</t>
        </is>
      </c>
      <c r="D4023">
        <f>HYPERLINK("https://www.youtube.com/watch?v=t9PRLpkCUSM&amp;t=642s", "Go to time")</f>
        <v/>
      </c>
    </row>
    <row r="4024">
      <c r="A4024">
        <f>HYPERLINK("https://www.youtube.com/watch?v=t9PRLpkCUSM", "Video")</f>
        <v/>
      </c>
      <c r="B4024" t="inlineStr">
        <is>
          <t>11:35</t>
        </is>
      </c>
      <c r="C4024" t="inlineStr">
        <is>
          <t>three you struggled a little bit more I</t>
        </is>
      </c>
      <c r="D4024">
        <f>HYPERLINK("https://www.youtube.com/watch?v=t9PRLpkCUSM&amp;t=695s", "Go to time")</f>
        <v/>
      </c>
    </row>
    <row r="4025">
      <c r="A4025">
        <f>HYPERLINK("https://www.youtube.com/watch?v=t9PRLpkCUSM", "Video")</f>
        <v/>
      </c>
      <c r="B4025" t="inlineStr">
        <is>
          <t>15:51</t>
        </is>
      </c>
      <c r="C4025" t="inlineStr">
        <is>
          <t>little bit especially in part three</t>
        </is>
      </c>
      <c r="D4025">
        <f>HYPERLINK("https://www.youtube.com/watch?v=t9PRLpkCUSM&amp;t=951s", "Go to time")</f>
        <v/>
      </c>
    </row>
    <row r="4026">
      <c r="A4026">
        <f>HYPERLINK("https://www.youtube.com/watch?v=t9PRLpkCUSM", "Video")</f>
        <v/>
      </c>
      <c r="B4026" t="inlineStr">
        <is>
          <t>17:21</t>
        </is>
      </c>
      <c r="C4026" t="inlineStr">
        <is>
          <t>little bit at times I noticed that you</t>
        </is>
      </c>
      <c r="D4026">
        <f>HYPERLINK("https://www.youtube.com/watch?v=t9PRLpkCUSM&amp;t=1041s", "Go to time")</f>
        <v/>
      </c>
    </row>
    <row r="4027">
      <c r="A4027">
        <f>HYPERLINK("https://www.youtube.com/watch?v=5BJmUQFt0FI", "Video")</f>
        <v/>
      </c>
      <c r="B4027" t="inlineStr">
        <is>
          <t>10:27</t>
        </is>
      </c>
      <c r="C4027" t="inlineStr">
        <is>
          <t>switch into English to a bit like an</t>
        </is>
      </c>
      <c r="D4027">
        <f>HYPERLINK("https://www.youtube.com/watch?v=5BJmUQFt0FI&amp;t=627s", "Go to time")</f>
        <v/>
      </c>
    </row>
    <row r="4028">
      <c r="A4028">
        <f>HYPERLINK("https://www.youtube.com/watch?v=wzdG66VK75c", "Video")</f>
        <v/>
      </c>
      <c r="B4028" t="inlineStr">
        <is>
          <t>52:48</t>
        </is>
      </c>
      <c r="C4028" t="inlineStr">
        <is>
          <t>if we Analyze This a bit further we have</t>
        </is>
      </c>
      <c r="D4028">
        <f>HYPERLINK("https://www.youtube.com/watch?v=wzdG66VK75c&amp;t=3168s", "Go to time")</f>
        <v/>
      </c>
    </row>
    <row r="4029">
      <c r="A4029">
        <f>HYPERLINK("https://www.youtube.com/watch?v=wzdG66VK75c", "Video")</f>
        <v/>
      </c>
      <c r="B4029" t="inlineStr">
        <is>
          <t>54:47</t>
        </is>
      </c>
      <c r="C4029" t="inlineStr">
        <is>
          <t>you know governments can be a little bit</t>
        </is>
      </c>
      <c r="D4029">
        <f>HYPERLINK("https://www.youtube.com/watch?v=wzdG66VK75c&amp;t=3287s", "Go to time")</f>
        <v/>
      </c>
    </row>
    <row r="4030">
      <c r="A4030">
        <f>HYPERLINK("https://www.youtube.com/watch?v=wzdG66VK75c", "Video")</f>
        <v/>
      </c>
      <c r="B4030" t="inlineStr">
        <is>
          <t>66:51</t>
        </is>
      </c>
      <c r="C4030" t="inlineStr">
        <is>
          <t>right so let's start so this bit here is</t>
        </is>
      </c>
      <c r="D4030">
        <f>HYPERLINK("https://www.youtube.com/watch?v=wzdG66VK75c&amp;t=4011s", "Go to time")</f>
        <v/>
      </c>
    </row>
    <row r="4031">
      <c r="A4031">
        <f>HYPERLINK("https://www.youtube.com/watch?v=wzdG66VK75c", "Video")</f>
        <v/>
      </c>
      <c r="B4031" t="inlineStr">
        <is>
          <t>79:04</t>
        </is>
      </c>
      <c r="C4031" t="inlineStr">
        <is>
          <t>that's going to require a little bit of</t>
        </is>
      </c>
      <c r="D4031">
        <f>HYPERLINK("https://www.youtube.com/watch?v=wzdG66VK75c&amp;t=4744s", "Go to time")</f>
        <v/>
      </c>
    </row>
    <row r="4032">
      <c r="A4032">
        <f>HYPERLINK("https://www.youtube.com/watch?v=wzdG66VK75c", "Video")</f>
        <v/>
      </c>
      <c r="B4032" t="inlineStr">
        <is>
          <t>91:00</t>
        </is>
      </c>
      <c r="C4032" t="inlineStr">
        <is>
          <t>be ideas that you know a little bit</t>
        </is>
      </c>
      <c r="D4032">
        <f>HYPERLINK("https://www.youtube.com/watch?v=wzdG66VK75c&amp;t=5460s", "Go to time")</f>
        <v/>
      </c>
    </row>
    <row r="4033">
      <c r="A4033">
        <f>HYPERLINK("https://www.youtube.com/watch?v=wzdG66VK75c", "Video")</f>
        <v/>
      </c>
      <c r="B4033" t="inlineStr">
        <is>
          <t>91:57</t>
        </is>
      </c>
      <c r="C4033" t="inlineStr">
        <is>
          <t>little bit ambitious but it's totally</t>
        </is>
      </c>
      <c r="D4033">
        <f>HYPERLINK("https://www.youtube.com/watch?v=wzdG66VK75c&amp;t=5517s", "Go to time")</f>
        <v/>
      </c>
    </row>
    <row r="4034">
      <c r="A4034">
        <f>HYPERLINK("https://www.youtube.com/watch?v=wzdG66VK75c", "Video")</f>
        <v/>
      </c>
      <c r="B4034" t="inlineStr">
        <is>
          <t>104:07</t>
        </is>
      </c>
      <c r="C4034" t="inlineStr">
        <is>
          <t>increase the sample size a bit so you</t>
        </is>
      </c>
      <c r="D4034">
        <f>HYPERLINK("https://www.youtube.com/watch?v=wzdG66VK75c&amp;t=6247s", "Go to time")</f>
        <v/>
      </c>
    </row>
    <row r="4035">
      <c r="A4035">
        <f>HYPERLINK("https://www.youtube.com/watch?v=wzdG66VK75c", "Video")</f>
        <v/>
      </c>
      <c r="B4035" t="inlineStr">
        <is>
          <t>141:26</t>
        </is>
      </c>
      <c r="C4035" t="inlineStr">
        <is>
          <t>student had a little bit of corruption</t>
        </is>
      </c>
      <c r="D4035">
        <f>HYPERLINK("https://www.youtube.com/watch?v=wzdG66VK75c&amp;t=8486s", "Go to time")</f>
        <v/>
      </c>
    </row>
    <row r="4036">
      <c r="A4036">
        <f>HYPERLINK("https://www.youtube.com/watch?v=wzdG66VK75c", "Video")</f>
        <v/>
      </c>
      <c r="B4036" t="inlineStr">
        <is>
          <t>142:45</t>
        </is>
      </c>
      <c r="C4036" t="inlineStr">
        <is>
          <t>so there is a little bit of it already</t>
        </is>
      </c>
      <c r="D4036">
        <f>HYPERLINK("https://www.youtube.com/watch?v=wzdG66VK75c&amp;t=8565s", "Go to time")</f>
        <v/>
      </c>
    </row>
    <row r="4037">
      <c r="A4037">
        <f>HYPERLINK("https://www.youtube.com/watch?v=wzdG66VK75c", "Video")</f>
        <v/>
      </c>
      <c r="B4037" t="inlineStr">
        <is>
          <t>147:05</t>
        </is>
      </c>
      <c r="C4037" t="inlineStr">
        <is>
          <t>things it's a little bit inappropriate</t>
        </is>
      </c>
      <c r="D4037">
        <f>HYPERLINK("https://www.youtube.com/watch?v=wzdG66VK75c&amp;t=8825s", "Go to time")</f>
        <v/>
      </c>
    </row>
    <row r="4038">
      <c r="A4038">
        <f>HYPERLINK("https://www.youtube.com/watch?v=wzdG66VK75c", "Video")</f>
        <v/>
      </c>
      <c r="B4038" t="inlineStr">
        <is>
          <t>162:54</t>
        </is>
      </c>
      <c r="C4038" t="inlineStr">
        <is>
          <t>bitter about something synonyms are</t>
        </is>
      </c>
      <c r="D4038">
        <f>HYPERLINK("https://www.youtube.com/watch?v=wzdG66VK75c&amp;t=9774s", "Go to time")</f>
        <v/>
      </c>
    </row>
    <row r="4039">
      <c r="A4039">
        <f>HYPERLINK("https://www.youtube.com/watch?v=wzdG66VK75c", "Video")</f>
        <v/>
      </c>
      <c r="B4039" t="inlineStr">
        <is>
          <t>166:05</t>
        </is>
      </c>
      <c r="C4039" t="inlineStr">
        <is>
          <t>habits so very important word to know</t>
        </is>
      </c>
      <c r="D4039">
        <f>HYPERLINK("https://www.youtube.com/watch?v=wzdG66VK75c&amp;t=9965s", "Go to time")</f>
        <v/>
      </c>
    </row>
    <row r="4040">
      <c r="A4040">
        <f>HYPERLINK("https://www.youtube.com/watch?v=wzdG66VK75c", "Video")</f>
        <v/>
      </c>
      <c r="B4040" t="inlineStr">
        <is>
          <t>175:17</t>
        </is>
      </c>
      <c r="C4040" t="inlineStr">
        <is>
          <t>a little bit more more detail and it's</t>
        </is>
      </c>
      <c r="D4040">
        <f>HYPERLINK("https://www.youtube.com/watch?v=wzdG66VK75c&amp;t=10517s", "Go to time")</f>
        <v/>
      </c>
    </row>
    <row r="4041">
      <c r="A4041">
        <f>HYPERLINK("https://www.youtube.com/watch?v=wzdG66VK75c", "Video")</f>
        <v/>
      </c>
      <c r="B4041" t="inlineStr">
        <is>
          <t>199:33</t>
        </is>
      </c>
      <c r="C4041" t="inlineStr">
        <is>
          <t>into a little bit more detail this is</t>
        </is>
      </c>
      <c r="D4041">
        <f>HYPERLINK("https://www.youtube.com/watch?v=wzdG66VK75c&amp;t=11973s", "Go to time")</f>
        <v/>
      </c>
    </row>
    <row r="4042">
      <c r="A4042">
        <f>HYPERLINK("https://www.youtube.com/watch?v=wzdG66VK75c", "Video")</f>
        <v/>
      </c>
      <c r="B4042" t="inlineStr">
        <is>
          <t>208:44</t>
        </is>
      </c>
      <c r="C4042" t="inlineStr">
        <is>
          <t>spend it's a little bit more accurate</t>
        </is>
      </c>
      <c r="D4042">
        <f>HYPERLINK("https://www.youtube.com/watch?v=wzdG66VK75c&amp;t=12524s", "Go to time")</f>
        <v/>
      </c>
    </row>
    <row r="4043">
      <c r="A4043">
        <f>HYPERLINK("https://www.youtube.com/watch?v=wzdG66VK75c", "Video")</f>
        <v/>
      </c>
      <c r="B4043" t="inlineStr">
        <is>
          <t>225:22</t>
        </is>
      </c>
      <c r="C4043" t="inlineStr">
        <is>
          <t>again often students get a bit freaked</t>
        </is>
      </c>
      <c r="D4043">
        <f>HYPERLINK("https://www.youtube.com/watch?v=wzdG66VK75c&amp;t=13522s", "Go to time")</f>
        <v/>
      </c>
    </row>
    <row r="4044">
      <c r="A4044">
        <f>HYPERLINK("https://www.youtube.com/watch?v=wzdG66VK75c", "Video")</f>
        <v/>
      </c>
      <c r="B4044" t="inlineStr">
        <is>
          <t>225:39</t>
        </is>
      </c>
      <c r="C4044" t="inlineStr">
        <is>
          <t>wording a little bit instead of saying</t>
        </is>
      </c>
      <c r="D4044">
        <f>HYPERLINK("https://www.youtube.com/watch?v=wzdG66VK75c&amp;t=13539s", "Go to time")</f>
        <v/>
      </c>
    </row>
    <row r="4045">
      <c r="A4045">
        <f>HYPERLINK("https://www.youtube.com/watch?v=wzdG66VK75c", "Video")</f>
        <v/>
      </c>
      <c r="B4045" t="inlineStr">
        <is>
          <t>252:48</t>
        </is>
      </c>
      <c r="C4045" t="inlineStr">
        <is>
          <t>this a little bit and change it um</t>
        </is>
      </c>
      <c r="D4045">
        <f>HYPERLINK("https://www.youtube.com/watch?v=wzdG66VK75c&amp;t=15168s", "Go to time")</f>
        <v/>
      </c>
    </row>
    <row r="4046">
      <c r="A4046">
        <f>HYPERLINK("https://www.youtube.com/watch?v=wzdG66VK75c", "Video")</f>
        <v/>
      </c>
      <c r="B4046" t="inlineStr">
        <is>
          <t>259:18</t>
        </is>
      </c>
      <c r="C4046" t="inlineStr">
        <is>
          <t>you could make this a little bit more</t>
        </is>
      </c>
      <c r="D4046">
        <f>HYPERLINK("https://www.youtube.com/watch?v=wzdG66VK75c&amp;t=15558s", "Go to time")</f>
        <v/>
      </c>
    </row>
    <row r="4047">
      <c r="A4047">
        <f>HYPERLINK("https://www.youtube.com/watch?v=wzdG66VK75c", "Video")</f>
        <v/>
      </c>
      <c r="B4047" t="inlineStr">
        <is>
          <t>259:43</t>
        </is>
      </c>
      <c r="C4047" t="inlineStr">
        <is>
          <t>that makes a little bit more believable</t>
        </is>
      </c>
      <c r="D4047">
        <f>HYPERLINK("https://www.youtube.com/watch?v=wzdG66VK75c&amp;t=15583s", "Go to time")</f>
        <v/>
      </c>
    </row>
    <row r="4048">
      <c r="A4048">
        <f>HYPERLINK("https://www.youtube.com/watch?v=wzdG66VK75c", "Video")</f>
        <v/>
      </c>
      <c r="B4048" t="inlineStr">
        <is>
          <t>259:49</t>
        </is>
      </c>
      <c r="C4048" t="inlineStr">
        <is>
          <t>um if I was to make this a little bit</t>
        </is>
      </c>
      <c r="D4048">
        <f>HYPERLINK("https://www.youtube.com/watch?v=wzdG66VK75c&amp;t=15589s", "Go to time")</f>
        <v/>
      </c>
    </row>
    <row r="4049">
      <c r="A4049">
        <f>HYPERLINK("https://www.youtube.com/watch?v=wzdG66VK75c", "Video")</f>
        <v/>
      </c>
      <c r="B4049" t="inlineStr">
        <is>
          <t>263:54</t>
        </is>
      </c>
      <c r="C4049" t="inlineStr">
        <is>
          <t>improve bit by</t>
        </is>
      </c>
      <c r="D4049">
        <f>HYPERLINK("https://www.youtube.com/watch?v=wzdG66VK75c&amp;t=15834s", "Go to time")</f>
        <v/>
      </c>
    </row>
    <row r="4050">
      <c r="A4050">
        <f>HYPERLINK("https://www.youtube.com/watch?v=wzdG66VK75c", "Video")</f>
        <v/>
      </c>
      <c r="B4050" t="inlineStr">
        <is>
          <t>263:57</t>
        </is>
      </c>
      <c r="C4050" t="inlineStr">
        <is>
          <t>bit the aim of this lesson is to show</t>
        </is>
      </c>
      <c r="D4050">
        <f>HYPERLINK("https://www.youtube.com/watch?v=wzdG66VK75c&amp;t=15837s", "Go to time")</f>
        <v/>
      </c>
    </row>
    <row r="4051">
      <c r="A4051">
        <f>HYPERLINK("https://www.youtube.com/watch?v=wzdG66VK75c", "Video")</f>
        <v/>
      </c>
      <c r="B4051" t="inlineStr">
        <is>
          <t>269:24</t>
        </is>
      </c>
      <c r="C4051" t="inlineStr">
        <is>
          <t>little bit every day and that's going to</t>
        </is>
      </c>
      <c r="D4051">
        <f>HYPERLINK("https://www.youtube.com/watch?v=wzdG66VK75c&amp;t=16164s", "Go to time")</f>
        <v/>
      </c>
    </row>
    <row r="4052">
      <c r="A4052">
        <f>HYPERLINK("https://www.youtube.com/watch?v=wzdG66VK75c", "Video")</f>
        <v/>
      </c>
      <c r="B4052" t="inlineStr">
        <is>
          <t>273:47</t>
        </is>
      </c>
      <c r="C4052" t="inlineStr">
        <is>
          <t>or if you're a little bit more advanced</t>
        </is>
      </c>
      <c r="D4052">
        <f>HYPERLINK("https://www.youtube.com/watch?v=wzdG66VK75c&amp;t=16427s", "Go to time")</f>
        <v/>
      </c>
    </row>
    <row r="4053">
      <c r="A4053">
        <f>HYPERLINK("https://www.youtube.com/watch?v=wzdG66VK75c", "Video")</f>
        <v/>
      </c>
      <c r="B4053" t="inlineStr">
        <is>
          <t>279:31</t>
        </is>
      </c>
      <c r="C4053" t="inlineStr">
        <is>
          <t>do and you just want a little bit of</t>
        </is>
      </c>
      <c r="D4053">
        <f>HYPERLINK("https://www.youtube.com/watch?v=wzdG66VK75c&amp;t=16771s", "Go to time")</f>
        <v/>
      </c>
    </row>
    <row r="4054">
      <c r="A4054">
        <f>HYPERLINK("https://www.youtube.com/watch?v=wzdG66VK75c", "Video")</f>
        <v/>
      </c>
      <c r="B4054" t="inlineStr">
        <is>
          <t>289:09</t>
        </is>
      </c>
      <c r="C4054" t="inlineStr">
        <is>
          <t>you're learning lots of bad habits but</t>
        </is>
      </c>
      <c r="D4054">
        <f>HYPERLINK("https://www.youtube.com/watch?v=wzdG66VK75c&amp;t=17349s", "Go to time")</f>
        <v/>
      </c>
    </row>
    <row r="4055">
      <c r="A4055">
        <f>HYPERLINK("https://www.youtube.com/watch?v=wzdG66VK75c", "Video")</f>
        <v/>
      </c>
      <c r="B4055" t="inlineStr">
        <is>
          <t>299:27</t>
        </is>
      </c>
      <c r="C4055" t="inlineStr">
        <is>
          <t>maybe explain this a little bit more</t>
        </is>
      </c>
      <c r="D4055">
        <f>HYPERLINK("https://www.youtube.com/watch?v=wzdG66VK75c&amp;t=17967s", "Go to time")</f>
        <v/>
      </c>
    </row>
    <row r="4056">
      <c r="A4056">
        <f>HYPERLINK("https://www.youtube.com/watch?v=wzdG66VK75c", "Video")</f>
        <v/>
      </c>
      <c r="B4056" t="inlineStr">
        <is>
          <t>314:45</t>
        </is>
      </c>
      <c r="C4056" t="inlineStr">
        <is>
          <t>um but it's a bit difficult to say why</t>
        </is>
      </c>
      <c r="D4056">
        <f>HYPERLINK("https://www.youtube.com/watch?v=wzdG66VK75c&amp;t=18885s", "Go to time")</f>
        <v/>
      </c>
    </row>
    <row r="4057">
      <c r="A4057">
        <f>HYPERLINK("https://www.youtube.com/watch?v=wzdG66VK75c", "Video")</f>
        <v/>
      </c>
      <c r="B4057" t="inlineStr">
        <is>
          <t>328:50</t>
        </is>
      </c>
      <c r="C4057" t="inlineStr">
        <is>
          <t>a little bit for</t>
        </is>
      </c>
      <c r="D4057">
        <f>HYPERLINK("https://www.youtube.com/watch?v=wzdG66VK75c&amp;t=19730s", "Go to time")</f>
        <v/>
      </c>
    </row>
    <row r="4058">
      <c r="A4058">
        <f>HYPERLINK("https://www.youtube.com/watch?v=wzdG66VK75c", "Video")</f>
        <v/>
      </c>
      <c r="B4058" t="inlineStr">
        <is>
          <t>330:28</t>
        </is>
      </c>
      <c r="C4058" t="inlineStr">
        <is>
          <t>than okay let's change this a little bit</t>
        </is>
      </c>
      <c r="D4058">
        <f>HYPERLINK("https://www.youtube.com/watch?v=wzdG66VK75c&amp;t=19828s", "Go to time")</f>
        <v/>
      </c>
    </row>
    <row r="4059">
      <c r="A4059">
        <f>HYPERLINK("https://www.youtube.com/watch?v=wzdG66VK75c", "Video")</f>
        <v/>
      </c>
      <c r="B4059" t="inlineStr">
        <is>
          <t>333:05</t>
        </is>
      </c>
      <c r="C4059" t="inlineStr">
        <is>
          <t>little bit sharpening it up um you know</t>
        </is>
      </c>
      <c r="D4059">
        <f>HYPERLINK("https://www.youtube.com/watch?v=wzdG66VK75c&amp;t=19985s", "Go to time")</f>
        <v/>
      </c>
    </row>
    <row r="4060">
      <c r="A4060">
        <f>HYPERLINK("https://www.youtube.com/watch?v=wzdG66VK75c", "Video")</f>
        <v/>
      </c>
      <c r="B4060" t="inlineStr">
        <is>
          <t>343:53</t>
        </is>
      </c>
      <c r="C4060" t="inlineStr">
        <is>
          <t>between 260 to 300 so I'm a little bit</t>
        </is>
      </c>
      <c r="D4060">
        <f>HYPERLINK("https://www.youtube.com/watch?v=wzdG66VK75c&amp;t=20633s", "Go to time")</f>
        <v/>
      </c>
    </row>
    <row r="4061">
      <c r="A4061">
        <f>HYPERLINK("https://www.youtube.com/watch?v=wzdG66VK75c", "Video")</f>
        <v/>
      </c>
      <c r="B4061" t="inlineStr">
        <is>
          <t>354:07</t>
        </is>
      </c>
      <c r="C4061" t="inlineStr">
        <is>
          <t>bit um about the best place to stay in</t>
        </is>
      </c>
      <c r="D4061">
        <f>HYPERLINK("https://www.youtube.com/watch?v=wzdG66VK75c&amp;t=21247s", "Go to time")</f>
        <v/>
      </c>
    </row>
    <row r="4062">
      <c r="A4062">
        <f>HYPERLINK("https://www.youtube.com/watch?v=wzdG66VK75c", "Video")</f>
        <v/>
      </c>
      <c r="B4062" t="inlineStr">
        <is>
          <t>360:31</t>
        </is>
      </c>
      <c r="C4062" t="inlineStr">
        <is>
          <t>minutes so probably a little bit too</t>
        </is>
      </c>
      <c r="D4062">
        <f>HYPERLINK("https://www.youtube.com/watch?v=wzdG66VK75c&amp;t=21631s", "Go to time")</f>
        <v/>
      </c>
    </row>
    <row r="4063">
      <c r="A4063">
        <f>HYPERLINK("https://www.youtube.com/watch?v=wzdG66VK75c", "Video")</f>
        <v/>
      </c>
      <c r="B4063" t="inlineStr">
        <is>
          <t>360:56</t>
        </is>
      </c>
      <c r="C4063" t="inlineStr">
        <is>
          <t>to let you know a little bit about the</t>
        </is>
      </c>
      <c r="D4063">
        <f>HYPERLINK("https://www.youtube.com/watch?v=wzdG66VK75c&amp;t=21656s", "Go to time")</f>
        <v/>
      </c>
    </row>
    <row r="4064">
      <c r="A4064">
        <f>HYPERLINK("https://www.youtube.com/watch?v=wzdG66VK75c", "Video")</f>
        <v/>
      </c>
      <c r="B4064" t="inlineStr">
        <is>
          <t>362:20</t>
        </is>
      </c>
      <c r="C4064" t="inlineStr">
        <is>
          <t>so going to have a bit of time left</t>
        </is>
      </c>
      <c r="D4064">
        <f>HYPERLINK("https://www.youtube.com/watch?v=wzdG66VK75c&amp;t=21740s", "Go to time")</f>
        <v/>
      </c>
    </row>
    <row r="4065">
      <c r="A4065">
        <f>HYPERLINK("https://www.youtube.com/watch?v=wzdG66VK75c", "Video")</f>
        <v/>
      </c>
      <c r="B4065" t="inlineStr">
        <is>
          <t>363:55</t>
        </is>
      </c>
      <c r="C4065" t="inlineStr">
        <is>
          <t>just trying to make it a little bit more</t>
        </is>
      </c>
      <c r="D4065">
        <f>HYPERLINK("https://www.youtube.com/watch?v=wzdG66VK75c&amp;t=21835s", "Go to time")</f>
        <v/>
      </c>
    </row>
    <row r="4066">
      <c r="A4066">
        <f>HYPERLINK("https://www.youtube.com/watch?v=wzdG66VK75c", "Video")</f>
        <v/>
      </c>
      <c r="B4066" t="inlineStr">
        <is>
          <t>365:02</t>
        </is>
      </c>
      <c r="C4066" t="inlineStr">
        <is>
          <t>it's a little bit long I think so I'm</t>
        </is>
      </c>
      <c r="D4066">
        <f>HYPERLINK("https://www.youtube.com/watch?v=wzdG66VK75c&amp;t=21902s", "Go to time")</f>
        <v/>
      </c>
    </row>
    <row r="4067">
      <c r="A4067">
        <f>HYPERLINK("https://www.youtube.com/watch?v=wzdG66VK75c", "Video")</f>
        <v/>
      </c>
      <c r="B4067" t="inlineStr">
        <is>
          <t>366:53</t>
        </is>
      </c>
      <c r="C4067" t="inlineStr">
        <is>
          <t>adding in a little bit of extra a few</t>
        </is>
      </c>
      <c r="D4067">
        <f>HYPERLINK("https://www.youtube.com/watch?v=wzdG66VK75c&amp;t=22013s", "Go to time")</f>
        <v/>
      </c>
    </row>
    <row r="4068">
      <c r="A4068">
        <f>HYPERLINK("https://www.youtube.com/watch?v=ybNEwnnIxWw", "Video")</f>
        <v/>
      </c>
      <c r="B4068" t="inlineStr">
        <is>
          <t>10:49</t>
        </is>
      </c>
      <c r="C4068" t="inlineStr">
        <is>
          <t>you know my my my ambition at least if I</t>
        </is>
      </c>
      <c r="D4068">
        <f>HYPERLINK("https://www.youtube.com/watch?v=ybNEwnnIxWw&amp;t=649s", "Go to time")</f>
        <v/>
      </c>
    </row>
    <row r="4069">
      <c r="A4069">
        <f>HYPERLINK("https://www.youtube.com/watch?v=ybNEwnnIxWw", "Video")</f>
        <v/>
      </c>
      <c r="B4069" t="inlineStr">
        <is>
          <t>10:52</t>
        </is>
      </c>
      <c r="C4069" t="inlineStr">
        <is>
          <t>have the resources uh my ambition in</t>
        </is>
      </c>
      <c r="D4069">
        <f>HYPERLINK("https://www.youtube.com/watch?v=ybNEwnnIxWw&amp;t=652s", "Go to time")</f>
        <v/>
      </c>
    </row>
    <row r="4070">
      <c r="A4070">
        <f>HYPERLINK("https://www.youtube.com/watch?v=rqmv0LCcPTs", "Video")</f>
        <v/>
      </c>
      <c r="B4070" t="inlineStr">
        <is>
          <t>3:22</t>
        </is>
      </c>
      <c r="C4070" t="inlineStr">
        <is>
          <t>they're a bit sneaky they will throw in</t>
        </is>
      </c>
      <c r="D4070">
        <f>HYPERLINK("https://www.youtube.com/watch?v=rqmv0LCcPTs&amp;t=202s", "Go to time")</f>
        <v/>
      </c>
    </row>
    <row r="4071">
      <c r="A4071">
        <f>HYPERLINK("https://www.youtube.com/watch?v=rqmv0LCcPTs", "Video")</f>
        <v/>
      </c>
      <c r="B4071" t="inlineStr">
        <is>
          <t>6:45</t>
        </is>
      </c>
      <c r="C4071" t="inlineStr">
        <is>
          <t>you know I just love a little bit of</t>
        </is>
      </c>
      <c r="D4071">
        <f>HYPERLINK("https://www.youtube.com/watch?v=rqmv0LCcPTs&amp;t=405s", "Go to time")</f>
        <v/>
      </c>
    </row>
    <row r="4072">
      <c r="A4072">
        <f>HYPERLINK("https://www.youtube.com/watch?v=rqmv0LCcPTs", "Video")</f>
        <v/>
      </c>
      <c r="B4072" t="inlineStr">
        <is>
          <t>7:27</t>
        </is>
      </c>
      <c r="C4072" t="inlineStr">
        <is>
          <t>story maybe a little bit of extra detail</t>
        </is>
      </c>
      <c r="D4072">
        <f>HYPERLINK("https://www.youtube.com/watch?v=rqmv0LCcPTs&amp;t=447s", "Go to time")</f>
        <v/>
      </c>
    </row>
    <row r="4073">
      <c r="A4073">
        <f>HYPERLINK("https://www.youtube.com/watch?v=rqmv0LCcPTs", "Video")</f>
        <v/>
      </c>
      <c r="B4073" t="inlineStr">
        <is>
          <t>8:07</t>
        </is>
      </c>
      <c r="C4073" t="inlineStr">
        <is>
          <t>that's a little bit rude to be honest um</t>
        </is>
      </c>
      <c r="D4073">
        <f>HYPERLINK("https://www.youtube.com/watch?v=rqmv0LCcPTs&amp;t=487s", "Go to time")</f>
        <v/>
      </c>
    </row>
    <row r="4074">
      <c r="A4074">
        <f>HYPERLINK("https://www.youtube.com/watch?v=rqmv0LCcPTs", "Video")</f>
        <v/>
      </c>
      <c r="B4074" t="inlineStr">
        <is>
          <t>19:35</t>
        </is>
      </c>
      <c r="C4074" t="inlineStr">
        <is>
          <t>to um rain or monsoon season it's a bit</t>
        </is>
      </c>
      <c r="D4074">
        <f>HYPERLINK("https://www.youtube.com/watch?v=rqmv0LCcPTs&amp;t=1175s", "Go to time")</f>
        <v/>
      </c>
    </row>
    <row r="4075">
      <c r="A4075">
        <f>HYPERLINK("https://www.youtube.com/watch?v=rqmv0LCcPTs", "Video")</f>
        <v/>
      </c>
      <c r="B4075" t="inlineStr">
        <is>
          <t>24:50</t>
        </is>
      </c>
      <c r="C4075" t="inlineStr">
        <is>
          <t>develop your answer a little bit more</t>
        </is>
      </c>
      <c r="D4075">
        <f>HYPERLINK("https://www.youtube.com/watch?v=rqmv0LCcPTs&amp;t=1490s", "Go to time")</f>
        <v/>
      </c>
    </row>
    <row r="4076">
      <c r="A4076">
        <f>HYPERLINK("https://www.youtube.com/watch?v=rqmv0LCcPTs", "Video")</f>
        <v/>
      </c>
      <c r="B4076" t="inlineStr">
        <is>
          <t>25:00</t>
        </is>
      </c>
      <c r="C4076" t="inlineStr">
        <is>
          <t>little bit more than that now for part</t>
        </is>
      </c>
      <c r="D4076">
        <f>HYPERLINK("https://www.youtube.com/watch?v=rqmv0LCcPTs&amp;t=1500s", "Go to time")</f>
        <v/>
      </c>
    </row>
    <row r="4077">
      <c r="A4077">
        <f>HYPERLINK("https://www.youtube.com/watch?v=rqmv0LCcPTs", "Video")</f>
        <v/>
      </c>
      <c r="B4077" t="inlineStr">
        <is>
          <t>25:11</t>
        </is>
      </c>
      <c r="C4077" t="inlineStr">
        <is>
          <t>bit more detail or an explanation or</t>
        </is>
      </c>
      <c r="D4077">
        <f>HYPERLINK("https://www.youtube.com/watch?v=rqmv0LCcPTs&amp;t=1511s", "Go to time")</f>
        <v/>
      </c>
    </row>
    <row r="4078">
      <c r="A4078">
        <f>HYPERLINK("https://www.youtube.com/watch?v=rqmv0LCcPTs", "Video")</f>
        <v/>
      </c>
      <c r="B4078" t="inlineStr">
        <is>
          <t>25:15</t>
        </is>
      </c>
      <c r="C4078" t="inlineStr">
        <is>
          <t>develop it a little bit more this is</t>
        </is>
      </c>
      <c r="D4078">
        <f>HYPERLINK("https://www.youtube.com/watch?v=rqmv0LCcPTs&amp;t=1515s", "Go to time")</f>
        <v/>
      </c>
    </row>
    <row r="4079">
      <c r="A4079">
        <f>HYPERLINK("https://www.youtube.com/watch?v=rqmv0LCcPTs", "Video")</f>
        <v/>
      </c>
      <c r="B4079" t="inlineStr">
        <is>
          <t>27:08</t>
        </is>
      </c>
      <c r="C4079" t="inlineStr">
        <is>
          <t>voice so it might make it a little bit</t>
        </is>
      </c>
      <c r="D4079">
        <f>HYPERLINK("https://www.youtube.com/watch?v=rqmv0LCcPTs&amp;t=1628s", "Go to time")</f>
        <v/>
      </c>
    </row>
    <row r="4080">
      <c r="A4080">
        <f>HYPERLINK("https://www.youtube.com/watch?v=rqmv0LCcPTs", "Video")</f>
        <v/>
      </c>
      <c r="B4080" t="inlineStr">
        <is>
          <t>35:41</t>
        </is>
      </c>
      <c r="C4080" t="inlineStr">
        <is>
          <t>night but sometimes it goes a little bit</t>
        </is>
      </c>
      <c r="D4080">
        <f>HYPERLINK("https://www.youtube.com/watch?v=rqmv0LCcPTs&amp;t=2141s", "Go to time")</f>
        <v/>
      </c>
    </row>
    <row r="4081">
      <c r="A4081">
        <f>HYPERLINK("https://www.youtube.com/watch?v=rqmv0LCcPTs", "Video")</f>
        <v/>
      </c>
      <c r="B4081" t="inlineStr">
        <is>
          <t>40:57</t>
        </is>
      </c>
      <c r="C4081" t="inlineStr">
        <is>
          <t>add a little bit more detail add an</t>
        </is>
      </c>
      <c r="D4081">
        <f>HYPERLINK("https://www.youtube.com/watch?v=rqmv0LCcPTs&amp;t=2457s", "Go to time")</f>
        <v/>
      </c>
    </row>
    <row r="4082">
      <c r="A4082">
        <f>HYPERLINK("https://www.youtube.com/watch?v=rqmv0LCcPTs", "Video")</f>
        <v/>
      </c>
      <c r="B4082" t="inlineStr">
        <is>
          <t>51:34</t>
        </is>
      </c>
      <c r="C4082" t="inlineStr">
        <is>
          <t>can be a little bit confusing and</t>
        </is>
      </c>
      <c r="D4082">
        <f>HYPERLINK("https://www.youtube.com/watch?v=rqmv0LCcPTs&amp;t=3094s", "Go to time")</f>
        <v/>
      </c>
    </row>
    <row r="4083">
      <c r="A4083">
        <f>HYPERLINK("https://www.youtube.com/watch?v=rqmv0LCcPTs", "Video")</f>
        <v/>
      </c>
      <c r="B4083" t="inlineStr">
        <is>
          <t>87:00</t>
        </is>
      </c>
      <c r="C4083" t="inlineStr">
        <is>
          <t>bit too simple for B 78 and N student</t>
        </is>
      </c>
      <c r="D4083">
        <f>HYPERLINK("https://www.youtube.com/watch?v=rqmv0LCcPTs&amp;t=5220s", "Go to time")</f>
        <v/>
      </c>
    </row>
    <row r="4084">
      <c r="A4084">
        <f>HYPERLINK("https://www.youtube.com/watch?v=rqmv0LCcPTs", "Video")</f>
        <v/>
      </c>
      <c r="B4084" t="inlineStr">
        <is>
          <t>109:28</t>
        </is>
      </c>
      <c r="C4084" t="inlineStr">
        <is>
          <t>it so the first idiom is to bite the</t>
        </is>
      </c>
      <c r="D4084">
        <f>HYPERLINK("https://www.youtube.com/watch?v=rqmv0LCcPTs&amp;t=6568s", "Go to time")</f>
        <v/>
      </c>
    </row>
    <row r="4085">
      <c r="A4085">
        <f>HYPERLINK("https://www.youtube.com/watch?v=rqmv0LCcPTs", "Video")</f>
        <v/>
      </c>
      <c r="B4085" t="inlineStr">
        <is>
          <t>109:31</t>
        </is>
      </c>
      <c r="C4085" t="inlineStr">
        <is>
          <t>bullet bite as in to bite something and</t>
        </is>
      </c>
      <c r="D4085">
        <f>HYPERLINK("https://www.youtube.com/watch?v=rqmv0LCcPTs&amp;t=6571s", "Go to time")</f>
        <v/>
      </c>
    </row>
    <row r="4086">
      <c r="A4086">
        <f>HYPERLINK("https://www.youtube.com/watch?v=rqmv0LCcPTs", "Video")</f>
        <v/>
      </c>
      <c r="B4086" t="inlineStr">
        <is>
          <t>109:36</t>
        </is>
      </c>
      <c r="C4086" t="inlineStr">
        <is>
          <t>to bite the bullet what to bite the</t>
        </is>
      </c>
      <c r="D4086">
        <f>HYPERLINK("https://www.youtube.com/watch?v=rqmv0LCcPTs&amp;t=6576s", "Go to time")</f>
        <v/>
      </c>
    </row>
    <row r="4087">
      <c r="A4087">
        <f>HYPERLINK("https://www.youtube.com/watch?v=rqmv0LCcPTs", "Video")</f>
        <v/>
      </c>
      <c r="B4087" t="inlineStr">
        <is>
          <t>110:20</t>
        </is>
      </c>
      <c r="C4087" t="inlineStr">
        <is>
          <t>bite down on that bullet I don't know if</t>
        </is>
      </c>
      <c r="D4087">
        <f>HYPERLINK("https://www.youtube.com/watch?v=rqmv0LCcPTs&amp;t=6620s", "Go to time")</f>
        <v/>
      </c>
    </row>
    <row r="4088">
      <c r="A4088">
        <f>HYPERLINK("https://www.youtube.com/watch?v=rqmv0LCcPTs", "Video")</f>
        <v/>
      </c>
      <c r="B4088" t="inlineStr">
        <is>
          <t>110:37</t>
        </is>
      </c>
      <c r="C4088" t="inlineStr">
        <is>
          <t>use to bite the bullet in the answer I</t>
        </is>
      </c>
      <c r="D4088">
        <f>HYPERLINK("https://www.youtube.com/watch?v=rqmv0LCcPTs&amp;t=6637s", "Go to time")</f>
        <v/>
      </c>
    </row>
    <row r="4089">
      <c r="A4089">
        <f>HYPERLINK("https://www.youtube.com/watch?v=rqmv0LCcPTs", "Video")</f>
        <v/>
      </c>
      <c r="B4089" t="inlineStr">
        <is>
          <t>111:01</t>
        </is>
      </c>
      <c r="C4089" t="inlineStr">
        <is>
          <t>to bite the bullet and study law now</t>
        </is>
      </c>
      <c r="D4089">
        <f>HYPERLINK("https://www.youtube.com/watch?v=rqmv0LCcPTs&amp;t=6661s", "Go to time")</f>
        <v/>
      </c>
    </row>
    <row r="4090">
      <c r="A4090">
        <f>HYPERLINK("https://www.youtube.com/watch?v=rqmv0LCcPTs", "Video")</f>
        <v/>
      </c>
      <c r="B4090" t="inlineStr">
        <is>
          <t>111:08</t>
        </is>
      </c>
      <c r="C4090" t="inlineStr">
        <is>
          <t>bite the bullet it's normally to bite</t>
        </is>
      </c>
      <c r="D4090">
        <f>HYPERLINK("https://www.youtube.com/watch?v=rqmv0LCcPTs&amp;t=6668s", "Go to time")</f>
        <v/>
      </c>
    </row>
    <row r="4091">
      <c r="A4091">
        <f>HYPERLINK("https://www.youtube.com/watch?v=rqmv0LCcPTs", "Video")</f>
        <v/>
      </c>
      <c r="B4091" t="inlineStr">
        <is>
          <t>111:11</t>
        </is>
      </c>
      <c r="C4091" t="inlineStr">
        <is>
          <t>the bullet not bite the bullet I decided</t>
        </is>
      </c>
      <c r="D4091">
        <f>HYPERLINK("https://www.youtube.com/watch?v=rqmv0LCcPTs&amp;t=6671s", "Go to time")</f>
        <v/>
      </c>
    </row>
    <row r="4092">
      <c r="A4092">
        <f>HYPERLINK("https://www.youtube.com/watch?v=rqmv0LCcPTs", "Video")</f>
        <v/>
      </c>
      <c r="B4092" t="inlineStr">
        <is>
          <t>111:15</t>
        </is>
      </c>
      <c r="C4092" t="inlineStr">
        <is>
          <t>to bite the bullet I chose to bite the</t>
        </is>
      </c>
      <c r="D4092">
        <f>HYPERLINK("https://www.youtube.com/watch?v=rqmv0LCcPTs&amp;t=6675s", "Go to time")</f>
        <v/>
      </c>
    </row>
    <row r="4093">
      <c r="A4093">
        <f>HYPERLINK("https://www.youtube.com/watch?v=rqmv0LCcPTs", "Video")</f>
        <v/>
      </c>
      <c r="B4093" t="inlineStr">
        <is>
          <t>111:17</t>
        </is>
      </c>
      <c r="C4093" t="inlineStr">
        <is>
          <t>bullet and I had to bite the bullet and</t>
        </is>
      </c>
      <c r="D4093">
        <f>HYPERLINK("https://www.youtube.com/watch?v=rqmv0LCcPTs&amp;t=6677s", "Go to time")</f>
        <v/>
      </c>
    </row>
    <row r="4094">
      <c r="A4094">
        <f>HYPERLINK("https://www.youtube.com/watch?v=rqmv0LCcPTs", "Video")</f>
        <v/>
      </c>
      <c r="B4094" t="inlineStr">
        <is>
          <t>111:23</t>
        </is>
      </c>
      <c r="C4094" t="inlineStr">
        <is>
          <t>stress or emphasize bite bite the bullet</t>
        </is>
      </c>
      <c r="D4094">
        <f>HYPERLINK("https://www.youtube.com/watch?v=rqmv0LCcPTs&amp;t=6683s", "Go to time")</f>
        <v/>
      </c>
    </row>
    <row r="4095">
      <c r="A4095">
        <f>HYPERLINK("https://www.youtube.com/watch?v=rqmv0LCcPTs", "Video")</f>
        <v/>
      </c>
      <c r="B4095" t="inlineStr">
        <is>
          <t>111:27</t>
        </is>
      </c>
      <c r="C4095" t="inlineStr">
        <is>
          <t>not bite the bullet the next idiom is a</t>
        </is>
      </c>
      <c r="D4095">
        <f>HYPERLINK("https://www.youtube.com/watch?v=rqmv0LCcPTs&amp;t=6687s", "Go to time")</f>
        <v/>
      </c>
    </row>
    <row r="4096">
      <c r="A4096">
        <f>HYPERLINK("https://www.youtube.com/watch?v=rqmv0LCcPTs", "Video")</f>
        <v/>
      </c>
      <c r="B4096" t="inlineStr">
        <is>
          <t>116:05</t>
        </is>
      </c>
      <c r="C4096" t="inlineStr">
        <is>
          <t>the cat out of the bag a little bit but</t>
        </is>
      </c>
      <c r="D4096">
        <f>HYPERLINK("https://www.youtube.com/watch?v=rqmv0LCcPTs&amp;t=6965s", "Go to time")</f>
        <v/>
      </c>
    </row>
    <row r="4097">
      <c r="A4097">
        <f>HYPERLINK("https://www.youtube.com/watch?v=rqmv0LCcPTs", "Video")</f>
        <v/>
      </c>
      <c r="B4097" t="inlineStr">
        <is>
          <t>129:03</t>
        </is>
      </c>
      <c r="C4097" t="inlineStr">
        <is>
          <t>little bit of bread but my wife will</t>
        </is>
      </c>
      <c r="D4097">
        <f>HYPERLINK("https://www.youtube.com/watch?v=rqmv0LCcPTs&amp;t=7743s", "Go to time")</f>
        <v/>
      </c>
    </row>
    <row r="4098">
      <c r="A4098">
        <f>HYPERLINK("https://www.youtube.com/watch?v=rqmv0LCcPTs", "Video")</f>
        <v/>
      </c>
      <c r="B4098" t="inlineStr">
        <is>
          <t>129:36</t>
        </is>
      </c>
      <c r="C4098" t="inlineStr">
        <is>
          <t>dogs now there's a bit of a debate about</t>
        </is>
      </c>
      <c r="D4098">
        <f>HYPERLINK("https://www.youtube.com/watch?v=rqmv0LCcPTs&amp;t=7776s", "Go to time")</f>
        <v/>
      </c>
    </row>
    <row r="4099">
      <c r="A4099">
        <f>HYPERLINK("https://www.youtube.com/watch?v=rqmv0LCcPTs", "Video")</f>
        <v/>
      </c>
      <c r="B4099" t="inlineStr">
        <is>
          <t>139:49</t>
        </is>
      </c>
      <c r="C4099" t="inlineStr">
        <is>
          <t>if you don't watch this bit you probably</t>
        </is>
      </c>
      <c r="D4099">
        <f>HYPERLINK("https://www.youtube.com/watch?v=rqmv0LCcPTs&amp;t=8389s", "Go to time")</f>
        <v/>
      </c>
    </row>
    <row r="4100">
      <c r="A4100">
        <f>HYPERLINK("https://www.youtube.com/watch?v=rqmv0LCcPTs", "Video")</f>
        <v/>
      </c>
      <c r="B4100" t="inlineStr">
        <is>
          <t>167:21</t>
        </is>
      </c>
      <c r="C4100" t="inlineStr">
        <is>
          <t>I would like to travel a little bit and</t>
        </is>
      </c>
      <c r="D4100">
        <f>HYPERLINK("https://www.youtube.com/watch?v=rqmv0LCcPTs&amp;t=10041s", "Go to time")</f>
        <v/>
      </c>
    </row>
    <row r="4101">
      <c r="A4101">
        <f>HYPERLINK("https://www.youtube.com/watch?v=rqmv0LCcPTs", "Video")</f>
        <v/>
      </c>
      <c r="B4101" t="inlineStr">
        <is>
          <t>168:52</t>
        </is>
      </c>
      <c r="C4101" t="inlineStr">
        <is>
          <t>little bit of fiction as well so I</t>
        </is>
      </c>
      <c r="D4101">
        <f>HYPERLINK("https://www.youtube.com/watch?v=rqmv0LCcPTs&amp;t=10132s", "Go to time")</f>
        <v/>
      </c>
    </row>
    <row r="4102">
      <c r="A4102">
        <f>HYPERLINK("https://www.youtube.com/watch?v=rqmv0LCcPTs", "Video")</f>
        <v/>
      </c>
      <c r="B4102" t="inlineStr">
        <is>
          <t>170:20</t>
        </is>
      </c>
      <c r="C4102" t="inlineStr">
        <is>
          <t>history bit as well like I've I think</t>
        </is>
      </c>
      <c r="D4102">
        <f>HYPERLINK("https://www.youtube.com/watch?v=rqmv0LCcPTs&amp;t=10220s", "Go to time")</f>
        <v/>
      </c>
    </row>
    <row r="4103">
      <c r="A4103">
        <f>HYPERLINK("https://www.youtube.com/watch?v=rqmv0LCcPTs", "Video")</f>
        <v/>
      </c>
      <c r="B4103" t="inlineStr">
        <is>
          <t>174:07</t>
        </is>
      </c>
      <c r="C4103" t="inlineStr">
        <is>
          <t>they get a little bit late if it's only</t>
        </is>
      </c>
      <c r="D4103">
        <f>HYPERLINK("https://www.youtube.com/watch?v=rqmv0LCcPTs&amp;t=10447s", "Go to time")</f>
        <v/>
      </c>
    </row>
    <row r="4104">
      <c r="A4104">
        <f>HYPERLINK("https://www.youtube.com/watch?v=rqmv0LCcPTs", "Video")</f>
        <v/>
      </c>
      <c r="B4104" t="inlineStr">
        <is>
          <t>175:11</t>
        </is>
      </c>
      <c r="C4104" t="inlineStr">
        <is>
          <t>you have a habit of constantly being</t>
        </is>
      </c>
      <c r="D4104">
        <f>HYPERLINK("https://www.youtube.com/watch?v=rqmv0LCcPTs&amp;t=10511s", "Go to time")</f>
        <v/>
      </c>
    </row>
    <row r="4105">
      <c r="A4105">
        <f>HYPERLINK("https://www.youtube.com/watch?v=rqmv0LCcPTs", "Video")</f>
        <v/>
      </c>
      <c r="B4105" t="inlineStr">
        <is>
          <t>179:50</t>
        </is>
      </c>
      <c r="C4105" t="inlineStr">
        <is>
          <t>and develop it a little bit I think the</t>
        </is>
      </c>
      <c r="D4105">
        <f>HYPERLINK("https://www.youtube.com/watch?v=rqmv0LCcPTs&amp;t=10790s", "Go to time")</f>
        <v/>
      </c>
    </row>
    <row r="4106">
      <c r="A4106">
        <f>HYPERLINK("https://www.youtube.com/watch?v=rqmv0LCcPTs", "Video")</f>
        <v/>
      </c>
      <c r="B4106" t="inlineStr">
        <is>
          <t>181:05</t>
        </is>
      </c>
      <c r="C4106" t="inlineStr">
        <is>
          <t>something a little bit more abstract so</t>
        </is>
      </c>
      <c r="D4106">
        <f>HYPERLINK("https://www.youtube.com/watch?v=rqmv0LCcPTs&amp;t=10865s", "Go to time")</f>
        <v/>
      </c>
    </row>
    <row r="4107">
      <c r="A4107">
        <f>HYPERLINK("https://www.youtube.com/watch?v=rqmv0LCcPTs", "Video")</f>
        <v/>
      </c>
      <c r="B4107" t="inlineStr">
        <is>
          <t>183:05</t>
        </is>
      </c>
      <c r="C4107" t="inlineStr">
        <is>
          <t>bit with with those ideas but the thing</t>
        </is>
      </c>
      <c r="D4107">
        <f>HYPERLINK("https://www.youtube.com/watch?v=rqmv0LCcPTs&amp;t=10985s", "Go to time")</f>
        <v/>
      </c>
    </row>
    <row r="4108">
      <c r="A4108">
        <f>HYPERLINK("https://www.youtube.com/watch?v=rqmv0LCcPTs", "Video")</f>
        <v/>
      </c>
      <c r="B4108" t="inlineStr">
        <is>
          <t>187:14</t>
        </is>
      </c>
      <c r="C4108" t="inlineStr">
        <is>
          <t>nervous we speak a little bit more</t>
        </is>
      </c>
      <c r="D4108">
        <f>HYPERLINK("https://www.youtube.com/watch?v=rqmv0LCcPTs&amp;t=11234s", "Go to time")</f>
        <v/>
      </c>
    </row>
    <row r="4109">
      <c r="A4109">
        <f>HYPERLINK("https://www.youtube.com/watch?v=rqmv0LCcPTs", "Video")</f>
        <v/>
      </c>
      <c r="B4109" t="inlineStr">
        <is>
          <t>187:31</t>
        </is>
      </c>
      <c r="C4109" t="inlineStr">
        <is>
          <t>little bit sometimes and you do speak a</t>
        </is>
      </c>
      <c r="D4109">
        <f>HYPERLINK("https://www.youtube.com/watch?v=rqmv0LCcPTs&amp;t=11251s", "Go to time")</f>
        <v/>
      </c>
    </row>
    <row r="4110">
      <c r="A4110">
        <f>HYPERLINK("https://www.youtube.com/watch?v=rqmv0LCcPTs", "Video")</f>
        <v/>
      </c>
      <c r="B4110" t="inlineStr">
        <is>
          <t>187:33</t>
        </is>
      </c>
      <c r="C4110" t="inlineStr">
        <is>
          <t>little bit quickly um if you were doing</t>
        </is>
      </c>
      <c r="D4110">
        <f>HYPERLINK("https://www.youtube.com/watch?v=rqmv0LCcPTs&amp;t=11253s", "Go to time")</f>
        <v/>
      </c>
    </row>
    <row r="4111">
      <c r="A4111">
        <f>HYPERLINK("https://www.youtube.com/watch?v=rqmv0LCcPTs", "Video")</f>
        <v/>
      </c>
      <c r="B4111" t="inlineStr">
        <is>
          <t>187:54</t>
        </is>
      </c>
      <c r="C4111" t="inlineStr">
        <is>
          <t>up your V and W sounds a little bit um</t>
        </is>
      </c>
      <c r="D4111">
        <f>HYPERLINK("https://www.youtube.com/watch?v=rqmv0LCcPTs&amp;t=11274s", "Go to time")</f>
        <v/>
      </c>
    </row>
    <row r="4112">
      <c r="A4112">
        <f>HYPERLINK("https://www.youtube.com/watch?v=rqmv0LCcPTs", "Video")</f>
        <v/>
      </c>
      <c r="B4112" t="inlineStr">
        <is>
          <t>189:10</t>
        </is>
      </c>
      <c r="C4112" t="inlineStr">
        <is>
          <t>but phone would be a little bit more</t>
        </is>
      </c>
      <c r="D4112">
        <f>HYPERLINK("https://www.youtube.com/watch?v=rqmv0LCcPTs&amp;t=11350s", "Go to time")</f>
        <v/>
      </c>
    </row>
    <row r="4113">
      <c r="A4113">
        <f>HYPERLINK("https://www.youtube.com/watch?v=rqmv0LCcPTs", "Video")</f>
        <v/>
      </c>
      <c r="B4113" t="inlineStr">
        <is>
          <t>192:35</t>
        </is>
      </c>
      <c r="C4113" t="inlineStr">
        <is>
          <t>need a little bit of help or you have a</t>
        </is>
      </c>
      <c r="D4113">
        <f>HYPERLINK("https://www.youtube.com/watch?v=rqmv0LCcPTs&amp;t=11555s", "Go to time")</f>
        <v/>
      </c>
    </row>
    <row r="4114">
      <c r="A4114">
        <f>HYPERLINK("https://www.youtube.com/watch?v=8pnGARTYMpg", "Video")</f>
        <v/>
      </c>
      <c r="B4114" t="inlineStr">
        <is>
          <t>1:19</t>
        </is>
      </c>
      <c r="C4114" t="inlineStr">
        <is>
          <t>and Dal and a bit of uh ghee and uh just</t>
        </is>
      </c>
      <c r="D4114">
        <f>HYPERLINK("https://www.youtube.com/watch?v=8pnGARTYMpg&amp;t=79s", "Go to time")</f>
        <v/>
      </c>
    </row>
    <row r="4115">
      <c r="A4115">
        <f>HYPERLINK("https://www.youtube.com/watch?v=8pnGARTYMpg", "Video")</f>
        <v/>
      </c>
      <c r="B4115" t="inlineStr">
        <is>
          <t>11:07</t>
        </is>
      </c>
      <c r="C4115" t="inlineStr">
        <is>
          <t>little bit out of touch from nature</t>
        </is>
      </c>
      <c r="D4115">
        <f>HYPERLINK("https://www.youtube.com/watch?v=8pnGARTYMpg&amp;t=667s", "Go to time")</f>
        <v/>
      </c>
    </row>
    <row r="4116">
      <c r="A4116">
        <f>HYPERLINK("https://www.youtube.com/watch?v=8pnGARTYMpg", "Video")</f>
        <v/>
      </c>
      <c r="B4116" t="inlineStr">
        <is>
          <t>16:49</t>
        </is>
      </c>
      <c r="C4116" t="inlineStr">
        <is>
          <t>thing that I would be a little bit</t>
        </is>
      </c>
      <c r="D4116">
        <f>HYPERLINK("https://www.youtube.com/watch?v=8pnGARTYMpg&amp;t=1009s", "Go to time")</f>
        <v/>
      </c>
    </row>
    <row r="4117">
      <c r="A4117">
        <f>HYPERLINK("https://www.youtube.com/watch?v=8pnGARTYMpg", "Video")</f>
        <v/>
      </c>
      <c r="B4117" t="inlineStr">
        <is>
          <t>21:13</t>
        </is>
      </c>
      <c r="C4117" t="inlineStr">
        <is>
          <t>quite a bit of listing in some in part</t>
        </is>
      </c>
      <c r="D4117">
        <f>HYPERLINK("https://www.youtube.com/watch?v=8pnGARTYMpg&amp;t=1273s", "Go to time")</f>
        <v/>
      </c>
    </row>
    <row r="4118">
      <c r="A4118">
        <f>HYPERLINK("https://www.youtube.com/watch?v=8pnGARTYMpg", "Video")</f>
        <v/>
      </c>
      <c r="B4118" t="inlineStr">
        <is>
          <t>25:27</t>
        </is>
      </c>
      <c r="C4118" t="inlineStr">
        <is>
          <t>bit overall all your grammar um is very</t>
        </is>
      </c>
      <c r="D4118">
        <f>HYPERLINK("https://www.youtube.com/watch?v=8pnGARTYMpg&amp;t=1527s", "Go to time")</f>
        <v/>
      </c>
    </row>
    <row r="4119">
      <c r="A4119">
        <f>HYPERLINK("https://www.youtube.com/watch?v=8pnGARTYMpg", "Video")</f>
        <v/>
      </c>
      <c r="B4119" t="inlineStr">
        <is>
          <t>26:08</t>
        </is>
      </c>
      <c r="C4119" t="inlineStr">
        <is>
          <t>they're just a little bit too frequent</t>
        </is>
      </c>
      <c r="D4119">
        <f>HYPERLINK("https://www.youtube.com/watch?v=8pnGARTYMpg&amp;t=1568s", "Go to time")</f>
        <v/>
      </c>
    </row>
    <row r="4120">
      <c r="A4120">
        <f>HYPERLINK("https://www.youtube.com/watch?v=8pnGARTYMpg", "Video")</f>
        <v/>
      </c>
      <c r="B4120" t="inlineStr">
        <is>
          <t>26:33</t>
        </is>
      </c>
      <c r="C4120" t="inlineStr">
        <is>
          <t>bit too much um so</t>
        </is>
      </c>
      <c r="D4120">
        <f>HYPERLINK("https://www.youtube.com/watch?v=8pnGARTYMpg&amp;t=1593s", "Go to time")</f>
        <v/>
      </c>
    </row>
    <row r="4121">
      <c r="A4121">
        <f>HYPERLINK("https://www.youtube.com/watch?v=SYHWCn0GqCw", "Video")</f>
        <v/>
      </c>
      <c r="B4121" t="inlineStr">
        <is>
          <t>7:17</t>
        </is>
      </c>
      <c r="C4121" t="inlineStr">
        <is>
          <t>listening a little bit more and then</t>
        </is>
      </c>
      <c r="D4121">
        <f>HYPERLINK("https://www.youtube.com/watch?v=SYHWCn0GqCw&amp;t=437s", "Go to time")</f>
        <v/>
      </c>
    </row>
    <row r="4122">
      <c r="A4122">
        <f>HYPERLINK("https://www.youtube.com/watch?v=_Kt47AR5VYM", "Video")</f>
        <v/>
      </c>
      <c r="B4122" t="inlineStr">
        <is>
          <t>0:43</t>
        </is>
      </c>
      <c r="C4122" t="inlineStr">
        <is>
          <t>you so people can get to
know you a little bit?</t>
        </is>
      </c>
      <c r="D4122">
        <f>HYPERLINK("https://www.youtube.com/watch?v=_Kt47AR5VYM&amp;t=43s", "Go to time")</f>
        <v/>
      </c>
    </row>
    <row r="4123">
      <c r="A4123">
        <f>HYPERLINK("https://www.youtube.com/watch?v=HYE-Y1jPH-M", "Video")</f>
        <v/>
      </c>
      <c r="B4123" t="inlineStr">
        <is>
          <t>0:36</t>
        </is>
      </c>
      <c r="C4123" t="inlineStr">
        <is>
          <t>can we start off with just a little bit</t>
        </is>
      </c>
      <c r="D4123">
        <f>HYPERLINK("https://www.youtube.com/watch?v=HYE-Y1jPH-M&amp;t=36s", "Go to time")</f>
        <v/>
      </c>
    </row>
    <row r="4124">
      <c r="A4124">
        <f>HYPERLINK("https://www.youtube.com/watch?v=HYE-Y1jPH-M", "Video")</f>
        <v/>
      </c>
      <c r="B4124" t="inlineStr">
        <is>
          <t>12:16</t>
        </is>
      </c>
      <c r="C4124" t="inlineStr">
        <is>
          <t>bit more and then they're writing really</t>
        </is>
      </c>
      <c r="D4124">
        <f>HYPERLINK("https://www.youtube.com/watch?v=HYE-Y1jPH-M&amp;t=736s", "Go to time")</f>
        <v/>
      </c>
    </row>
    <row r="4125">
      <c r="A4125">
        <f>HYPERLINK("https://www.youtube.com/watch?v=k4715CJ0Ii8", "Video")</f>
        <v/>
      </c>
      <c r="B4125" t="inlineStr">
        <is>
          <t>10:42</t>
        </is>
      </c>
      <c r="C4125" t="inlineStr">
        <is>
          <t>bit rude a bit serious but if I said we</t>
        </is>
      </c>
      <c r="D4125">
        <f>HYPERLINK("https://www.youtube.com/watch?v=k4715CJ0Ii8&amp;t=642s", "Go to time")</f>
        <v/>
      </c>
    </row>
    <row r="4126">
      <c r="A4126">
        <f>HYPERLINK("https://www.youtube.com/watch?v=k4715CJ0Ii8", "Video")</f>
        <v/>
      </c>
      <c r="B4126" t="inlineStr">
        <is>
          <t>12:22</t>
        </is>
      </c>
      <c r="C4126" t="inlineStr">
        <is>
          <t>little bit for the second reason which</t>
        </is>
      </c>
      <c r="D4126">
        <f>HYPERLINK("https://www.youtube.com/watch?v=k4715CJ0Ii8&amp;t=742s", "Go to time")</f>
        <v/>
      </c>
    </row>
    <row r="4127">
      <c r="A4127">
        <f>HYPERLINK("https://www.youtube.com/watch?v=k4715CJ0Ii8", "Video")</f>
        <v/>
      </c>
      <c r="B4127" t="inlineStr">
        <is>
          <t>12:35</t>
        </is>
      </c>
      <c r="C4127" t="inlineStr">
        <is>
          <t>bit but that's natural and and a good</t>
        </is>
      </c>
      <c r="D4127">
        <f>HYPERLINK("https://www.youtube.com/watch?v=k4715CJ0Ii8&amp;t=755s", "Go to time")</f>
        <v/>
      </c>
    </row>
    <row r="4128">
      <c r="A4128">
        <f>HYPERLINK("https://www.youtube.com/watch?v=k4715CJ0Ii8", "Video")</f>
        <v/>
      </c>
      <c r="B4128" t="inlineStr">
        <is>
          <t>12:44</t>
        </is>
      </c>
      <c r="C4128" t="inlineStr">
        <is>
          <t>hesitating a little bit for thinking of</t>
        </is>
      </c>
      <c r="D4128">
        <f>HYPERLINK("https://www.youtube.com/watch?v=k4715CJ0Ii8&amp;t=764s", "Go to time")</f>
        <v/>
      </c>
    </row>
    <row r="4129">
      <c r="A4129">
        <f>HYPERLINK("https://www.youtube.com/watch?v=k4715CJ0Ii8", "Video")</f>
        <v/>
      </c>
      <c r="B4129" t="inlineStr">
        <is>
          <t>12:51</t>
        </is>
      </c>
      <c r="C4129" t="inlineStr">
        <is>
          <t>develop your answers a little bit more</t>
        </is>
      </c>
      <c r="D4129">
        <f>HYPERLINK("https://www.youtube.com/watch?v=k4715CJ0Ii8&amp;t=771s", "Go to time")</f>
        <v/>
      </c>
    </row>
    <row r="4130">
      <c r="A4130">
        <f>HYPERLINK("https://www.youtube.com/watch?v=k4715CJ0Ii8", "Video")</f>
        <v/>
      </c>
      <c r="B4130" t="inlineStr">
        <is>
          <t>12:53</t>
        </is>
      </c>
      <c r="C4130" t="inlineStr">
        <is>
          <t>you need to be a little bit careful for</t>
        </is>
      </c>
      <c r="D4130">
        <f>HYPERLINK("https://www.youtube.com/watch?v=k4715CJ0Ii8&amp;t=773s", "Go to time")</f>
        <v/>
      </c>
    </row>
    <row r="4131">
      <c r="A4131">
        <f>HYPERLINK("https://www.youtube.com/watch?v=k4715CJ0Ii8", "Video")</f>
        <v/>
      </c>
      <c r="B4131" t="inlineStr">
        <is>
          <t>17:12</t>
        </is>
      </c>
      <c r="C4131" t="inlineStr">
        <is>
          <t>little bit not hugely MH but just be</t>
        </is>
      </c>
      <c r="D4131">
        <f>HYPERLINK("https://www.youtube.com/watch?v=k4715CJ0Ii8&amp;t=1032s", "Go to time")</f>
        <v/>
      </c>
    </row>
    <row r="4132">
      <c r="A4132">
        <f>HYPERLINK("https://www.youtube.com/watch?v=fE3lMuCGFBA", "Video")</f>
        <v/>
      </c>
      <c r="B4132" t="inlineStr">
        <is>
          <t>9:00</t>
        </is>
      </c>
      <c r="C4132" t="inlineStr">
        <is>
          <t>write a little bit more so it allows you</t>
        </is>
      </c>
      <c r="D4132">
        <f>HYPERLINK("https://www.youtube.com/watch?v=fE3lMuCGFBA&amp;t=540s", "Go to time")</f>
        <v/>
      </c>
    </row>
    <row r="4133">
      <c r="A4133">
        <f>HYPERLINK("https://www.youtube.com/watch?v=fE3lMuCGFBA", "Video")</f>
        <v/>
      </c>
      <c r="B4133" t="inlineStr">
        <is>
          <t>9:50</t>
        </is>
      </c>
      <c r="C4133" t="inlineStr">
        <is>
          <t>little bit more detail or if at the end</t>
        </is>
      </c>
      <c r="D4133">
        <f>HYPERLINK("https://www.youtube.com/watch?v=fE3lMuCGFBA&amp;t=590s", "Go to time")</f>
        <v/>
      </c>
    </row>
    <row r="4134">
      <c r="A4134">
        <f>HYPERLINK("https://www.youtube.com/watch?v=fE3lMuCGFBA", "Video")</f>
        <v/>
      </c>
      <c r="B4134" t="inlineStr">
        <is>
          <t>27:30</t>
        </is>
      </c>
      <c r="C4134" t="inlineStr">
        <is>
          <t>tea buying and drinking habits in five</t>
        </is>
      </c>
      <c r="D4134">
        <f>HYPERLINK("https://www.youtube.com/watch?v=fE3lMuCGFBA&amp;t=1650s", "Go to time")</f>
        <v/>
      </c>
    </row>
    <row r="4135">
      <c r="A4135">
        <f>HYPERLINK("https://www.youtube.com/watch?v=fE3lMuCGFBA", "Video")</f>
        <v/>
      </c>
      <c r="B4135" t="inlineStr">
        <is>
          <t>28:59</t>
        </is>
      </c>
      <c r="C4135" t="inlineStr">
        <is>
          <t>have a look at something a little bit</t>
        </is>
      </c>
      <c r="D4135">
        <f>HYPERLINK("https://www.youtube.com/watch?v=fE3lMuCGFBA&amp;t=1739s", "Go to time")</f>
        <v/>
      </c>
    </row>
    <row r="4136">
      <c r="A4136">
        <f>HYPERLINK("https://www.youtube.com/watch?v=fE3lMuCGFBA", "Video")</f>
        <v/>
      </c>
      <c r="B4136" t="inlineStr">
        <is>
          <t>32:04</t>
        </is>
      </c>
      <c r="C4136" t="inlineStr">
        <is>
          <t>just this bit and you're going to</t>
        </is>
      </c>
      <c r="D4136">
        <f>HYPERLINK("https://www.youtube.com/watch?v=fE3lMuCGFBA&amp;t=1924s", "Go to time")</f>
        <v/>
      </c>
    </row>
    <row r="4137">
      <c r="A4137">
        <f>HYPERLINK("https://www.youtube.com/watch?v=fE3lMuCGFBA", "Video")</f>
        <v/>
      </c>
      <c r="B4137" t="inlineStr">
        <is>
          <t>35:19</t>
        </is>
      </c>
      <c r="C4137" t="inlineStr">
        <is>
          <t>overview is a little bit longer but</t>
        </is>
      </c>
      <c r="D4137">
        <f>HYPERLINK("https://www.youtube.com/watch?v=fE3lMuCGFBA&amp;t=2119s", "Go to time")</f>
        <v/>
      </c>
    </row>
    <row r="4138">
      <c r="A4138">
        <f>HYPERLINK("https://www.youtube.com/watch?v=fE3lMuCGFBA", "Video")</f>
        <v/>
      </c>
      <c r="B4138" t="inlineStr">
        <is>
          <t>38:12</t>
        </is>
      </c>
      <c r="C4138" t="inlineStr">
        <is>
          <t>comparisons where relevant this bit here</t>
        </is>
      </c>
      <c r="D4138">
        <f>HYPERLINK("https://www.youtube.com/watch?v=fE3lMuCGFBA&amp;t=2292s", "Go to time")</f>
        <v/>
      </c>
    </row>
    <row r="4139">
      <c r="A4139">
        <f>HYPERLINK("https://www.youtube.com/watch?v=fE3lMuCGFBA", "Video")</f>
        <v/>
      </c>
      <c r="B4139" t="inlineStr">
        <is>
          <t>39:29</t>
        </is>
      </c>
      <c r="C4139" t="inlineStr">
        <is>
          <t>into the habit of following these steps</t>
        </is>
      </c>
      <c r="D4139">
        <f>HYPERLINK("https://www.youtube.com/watch?v=fE3lMuCGFBA&amp;t=2369s", "Go to time")</f>
        <v/>
      </c>
    </row>
    <row r="4140">
      <c r="A4140">
        <f>HYPERLINK("https://www.youtube.com/watch?v=fE3lMuCGFBA", "Video")</f>
        <v/>
      </c>
      <c r="B4140" t="inlineStr">
        <is>
          <t>39:37</t>
        </is>
      </c>
      <c r="C4140" t="inlineStr">
        <is>
          <t>practice and making this a habit so</t>
        </is>
      </c>
      <c r="D4140">
        <f>HYPERLINK("https://www.youtube.com/watch?v=fE3lMuCGFBA&amp;t=2377s", "Go to time")</f>
        <v/>
      </c>
    </row>
    <row r="4141">
      <c r="A4141">
        <f>HYPERLINK("https://www.youtube.com/watch?v=fE3lMuCGFBA", "Video")</f>
        <v/>
      </c>
      <c r="B4141" t="inlineStr">
        <is>
          <t>39:48</t>
        </is>
      </c>
      <c r="C4141" t="inlineStr">
        <is>
          <t>a little bit different we would have to</t>
        </is>
      </c>
      <c r="D4141">
        <f>HYPERLINK("https://www.youtube.com/watch?v=fE3lMuCGFBA&amp;t=2388s", "Go to time")</f>
        <v/>
      </c>
    </row>
    <row r="4142">
      <c r="A4142">
        <f>HYPERLINK("https://www.youtube.com/watch?v=fE3lMuCGFBA", "Video")</f>
        <v/>
      </c>
      <c r="B4142" t="inlineStr">
        <is>
          <t>40:49</t>
        </is>
      </c>
      <c r="C4142" t="inlineStr">
        <is>
          <t>at it in a little bit more detail we can</t>
        </is>
      </c>
      <c r="D4142">
        <f>HYPERLINK("https://www.youtube.com/watch?v=fE3lMuCGFBA&amp;t=2449s", "Go to time")</f>
        <v/>
      </c>
    </row>
    <row r="4143">
      <c r="A4143">
        <f>HYPERLINK("https://www.youtube.com/watch?v=fE3lMuCGFBA", "Video")</f>
        <v/>
      </c>
      <c r="B4143" t="inlineStr">
        <is>
          <t>43:20</t>
        </is>
      </c>
      <c r="C4143" t="inlineStr">
        <is>
          <t>little bit but it's kind of remained</t>
        </is>
      </c>
      <c r="D4143">
        <f>HYPERLINK("https://www.youtube.com/watch?v=fE3lMuCGFBA&amp;t=2600s", "Go to time")</f>
        <v/>
      </c>
    </row>
    <row r="4144">
      <c r="A4144">
        <f>HYPERLINK("https://www.youtube.com/watch?v=fE3lMuCGFBA", "Video")</f>
        <v/>
      </c>
      <c r="B4144" t="inlineStr">
        <is>
          <t>45:05</t>
        </is>
      </c>
      <c r="C4144" t="inlineStr">
        <is>
          <t>doing a little bit of training because I</t>
        </is>
      </c>
      <c r="D4144">
        <f>HYPERLINK("https://www.youtube.com/watch?v=fE3lMuCGFBA&amp;t=2705s", "Go to time")</f>
        <v/>
      </c>
    </row>
    <row r="4145">
      <c r="A4145">
        <f>HYPERLINK("https://www.youtube.com/watch?v=fE3lMuCGFBA", "Video")</f>
        <v/>
      </c>
      <c r="B4145" t="inlineStr">
        <is>
          <t>46:18</t>
        </is>
      </c>
      <c r="C4145" t="inlineStr">
        <is>
          <t>look at that in a little bit more detail</t>
        </is>
      </c>
      <c r="D4145">
        <f>HYPERLINK("https://www.youtube.com/watch?v=fE3lMuCGFBA&amp;t=2778s", "Go to time")</f>
        <v/>
      </c>
    </row>
    <row r="4146">
      <c r="A4146">
        <f>HYPERLINK("https://www.youtube.com/watch?v=fE3lMuCGFBA", "Video")</f>
        <v/>
      </c>
      <c r="B4146" t="inlineStr">
        <is>
          <t>49:13</t>
        </is>
      </c>
      <c r="C4146" t="inlineStr">
        <is>
          <t>2013 kind it fluctuates a little bit but</t>
        </is>
      </c>
      <c r="D4146">
        <f>HYPERLINK("https://www.youtube.com/watch?v=fE3lMuCGFBA&amp;t=2953s", "Go to time")</f>
        <v/>
      </c>
    </row>
    <row r="4147">
      <c r="A4147">
        <f>HYPERLINK("https://www.youtube.com/watch?v=fE3lMuCGFBA", "Video")</f>
        <v/>
      </c>
      <c r="B4147" t="inlineStr">
        <is>
          <t>49:25</t>
        </is>
      </c>
      <c r="C4147" t="inlineStr">
        <is>
          <t>so now let's zoom out a little bit again</t>
        </is>
      </c>
      <c r="D4147">
        <f>HYPERLINK("https://www.youtube.com/watch?v=fE3lMuCGFBA&amp;t=2965s", "Go to time")</f>
        <v/>
      </c>
    </row>
    <row r="4148">
      <c r="A4148">
        <f>HYPERLINK("https://www.youtube.com/watch?v=0OODQFf96fg", "Video")</f>
        <v/>
      </c>
      <c r="B4148" t="inlineStr">
        <is>
          <t>2:13</t>
        </is>
      </c>
      <c r="C4148" t="inlineStr">
        <is>
          <t>a little bit you know retain 10% maybe</t>
        </is>
      </c>
      <c r="D4148">
        <f>HYPERLINK("https://www.youtube.com/watch?v=0OODQFf96fg&amp;t=133s", "Go to time")</f>
        <v/>
      </c>
    </row>
    <row r="4149">
      <c r="A4149">
        <f>HYPERLINK("https://www.youtube.com/watch?v=0OODQFf96fg", "Video")</f>
        <v/>
      </c>
      <c r="B4149" t="inlineStr">
        <is>
          <t>34:34</t>
        </is>
      </c>
      <c r="C4149" t="inlineStr">
        <is>
          <t>normally pause and hesitate a little bit</t>
        </is>
      </c>
      <c r="D4149">
        <f>HYPERLINK("https://www.youtube.com/watch?v=0OODQFf96fg&amp;t=2074s", "Go to time")</f>
        <v/>
      </c>
    </row>
    <row r="4150">
      <c r="A4150">
        <f>HYPERLINK("https://www.youtube.com/watch?v=0OODQFf96fg", "Video")</f>
        <v/>
      </c>
      <c r="B4150" t="inlineStr">
        <is>
          <t>34:39</t>
        </is>
      </c>
      <c r="C4150" t="inlineStr">
        <is>
          <t>little bit good fluency does not mean</t>
        </is>
      </c>
      <c r="D4150">
        <f>HYPERLINK("https://www.youtube.com/watch?v=0OODQFf96fg&amp;t=2079s", "Go to time")</f>
        <v/>
      </c>
    </row>
    <row r="4151">
      <c r="A4151">
        <f>HYPERLINK("https://www.youtube.com/watch?v=EAIShbqX09Q", "Video")</f>
        <v/>
      </c>
      <c r="B4151" t="inlineStr">
        <is>
          <t>1:44</t>
        </is>
      </c>
      <c r="C4151" t="inlineStr">
        <is>
          <t>habits but don't worry we've solved that</t>
        </is>
      </c>
      <c r="D4151">
        <f>HYPERLINK("https://www.youtube.com/watch?v=EAIShbqX09Q&amp;t=104s", "Go to time")</f>
        <v/>
      </c>
    </row>
    <row r="4152">
      <c r="A4152">
        <f>HYPERLINK("https://www.youtube.com/watch?v=EAIShbqX09Q", "Video")</f>
        <v/>
      </c>
      <c r="B4152" t="inlineStr">
        <is>
          <t>12:01</t>
        </is>
      </c>
      <c r="C4152" t="inlineStr">
        <is>
          <t>little bit more again you're not looking</t>
        </is>
      </c>
      <c r="D4152">
        <f>HYPERLINK("https://www.youtube.com/watch?v=EAIShbqX09Q&amp;t=721s", "Go to time")</f>
        <v/>
      </c>
    </row>
    <row r="4153">
      <c r="A4153">
        <f>HYPERLINK("https://www.youtube.com/watch?v=OR9-3P469U8", "Video")</f>
        <v/>
      </c>
      <c r="B4153" t="inlineStr">
        <is>
          <t>0:04</t>
        </is>
      </c>
      <c r="C4153" t="inlineStr">
        <is>
          <t>little bit about you where you're from</t>
        </is>
      </c>
      <c r="D4153">
        <f>HYPERLINK("https://www.youtube.com/watch?v=OR9-3P469U8&amp;t=4s", "Go to time")</f>
        <v/>
      </c>
    </row>
    <row r="4154">
      <c r="A4154">
        <f>HYPERLINK("https://www.youtube.com/watch?v=5yCh5pcpVbs", "Video")</f>
        <v/>
      </c>
      <c r="B4154" t="inlineStr">
        <is>
          <t>6:09</t>
        </is>
      </c>
      <c r="C4154" t="inlineStr">
        <is>
          <t>but they're just off by a little bit and</t>
        </is>
      </c>
      <c r="D4154">
        <f>HYPERLINK("https://www.youtube.com/watch?v=5yCh5pcpVbs&amp;t=369s", "Go to time")</f>
        <v/>
      </c>
    </row>
    <row r="4155">
      <c r="A4155">
        <f>HYPERLINK("https://www.youtube.com/watch?v=5yCh5pcpVbs", "Video")</f>
        <v/>
      </c>
      <c r="B4155" t="inlineStr">
        <is>
          <t>6:15</t>
        </is>
      </c>
      <c r="C4155" t="inlineStr">
        <is>
          <t>bit too General like what are you</t>
        </is>
      </c>
      <c r="D4155">
        <f>HYPERLINK("https://www.youtube.com/watch?v=5yCh5pcpVbs&amp;t=375s", "Go to time")</f>
        <v/>
      </c>
    </row>
    <row r="4156">
      <c r="A4156">
        <f>HYPERLINK("https://www.youtube.com/watch?v=5yCh5pcpVbs", "Video")</f>
        <v/>
      </c>
      <c r="B4156" t="inlineStr">
        <is>
          <t>10:57</t>
        </is>
      </c>
      <c r="C4156" t="inlineStr">
        <is>
          <t>two that might sound a bit weird but if</t>
        </is>
      </c>
      <c r="D4156">
        <f>HYPERLINK("https://www.youtube.com/watch?v=5yCh5pcpVbs&amp;t=657s", "Go to time")</f>
        <v/>
      </c>
    </row>
    <row r="4157">
      <c r="A4157">
        <f>HYPERLINK("https://www.youtube.com/watch?v=5yCh5pcpVbs", "Video")</f>
        <v/>
      </c>
      <c r="B4157" t="inlineStr">
        <is>
          <t>20:13</t>
        </is>
      </c>
      <c r="C4157" t="inlineStr">
        <is>
          <t>zoom out a little bit what can we also</t>
        </is>
      </c>
      <c r="D4157">
        <f>HYPERLINK("https://www.youtube.com/watch?v=5yCh5pcpVbs&amp;t=1213s", "Go to time")</f>
        <v/>
      </c>
    </row>
    <row r="4158">
      <c r="A4158">
        <f>HYPERLINK("https://www.youtube.com/watch?v=5yCh5pcpVbs", "Video")</f>
        <v/>
      </c>
      <c r="B4158" t="inlineStr">
        <is>
          <t>30:12</t>
        </is>
      </c>
      <c r="C4158" t="inlineStr">
        <is>
          <t>bit more accurate by using</t>
        </is>
      </c>
      <c r="D4158">
        <f>HYPERLINK("https://www.youtube.com/watch?v=5yCh5pcpVbs&amp;t=1812s", "Go to time")</f>
        <v/>
      </c>
    </row>
    <row r="4159">
      <c r="A4159">
        <f>HYPERLINK("https://www.youtube.com/watch?v=5yCh5pcpVbs", "Video")</f>
        <v/>
      </c>
      <c r="B4159" t="inlineStr">
        <is>
          <t>30:24</t>
        </is>
      </c>
      <c r="C4159" t="inlineStr">
        <is>
          <t>something with just a little bit more</t>
        </is>
      </c>
      <c r="D4159">
        <f>HYPERLINK("https://www.youtube.com/watch?v=5yCh5pcpVbs&amp;t=1824s", "Go to time")</f>
        <v/>
      </c>
    </row>
    <row r="4160">
      <c r="A4160">
        <f>HYPERLINK("https://www.youtube.com/watch?v=5yCh5pcpVbs", "Video")</f>
        <v/>
      </c>
      <c r="B4160" t="inlineStr">
        <is>
          <t>30:26</t>
        </is>
      </c>
      <c r="C4160" t="inlineStr">
        <is>
          <t>knowledge a little bit more practice a</t>
        </is>
      </c>
      <c r="D4160">
        <f>HYPERLINK("https://www.youtube.com/watch?v=5yCh5pcpVbs&amp;t=1826s", "Go to time")</f>
        <v/>
      </c>
    </row>
    <row r="4161">
      <c r="A4161">
        <f>HYPERLINK("https://www.youtube.com/watch?v=5yCh5pcpVbs", "Video")</f>
        <v/>
      </c>
      <c r="B4161" t="inlineStr">
        <is>
          <t>30:28</t>
        </is>
      </c>
      <c r="C4161" t="inlineStr">
        <is>
          <t>little bit more feedback now let's look</t>
        </is>
      </c>
      <c r="D4161">
        <f>HYPERLINK("https://www.youtube.com/watch?v=5yCh5pcpVbs&amp;t=1828s", "Go to time")</f>
        <v/>
      </c>
    </row>
    <row r="4162">
      <c r="A4162">
        <f>HYPERLINK("https://www.youtube.com/watch?v=mi-wug8weow", "Video")</f>
        <v/>
      </c>
      <c r="B4162" t="inlineStr">
        <is>
          <t>11:07</t>
        </is>
      </c>
      <c r="C4162" t="inlineStr">
        <is>
          <t>To help you out a little bit,</t>
        </is>
      </c>
      <c r="D4162">
        <f>HYPERLINK("https://www.youtube.com/watch?v=mi-wug8weow&amp;t=667s", "Go to time")</f>
        <v/>
      </c>
    </row>
    <row r="4163">
      <c r="A4163">
        <f>HYPERLINK("https://www.youtube.com/watch?v=u5zmVCfCb7o", "Video")</f>
        <v/>
      </c>
      <c r="B4163" t="inlineStr">
        <is>
          <t>5:50</t>
        </is>
      </c>
      <c r="C4163" t="inlineStr">
        <is>
          <t>talk about patience a little bit in part</t>
        </is>
      </c>
      <c r="D4163">
        <f>HYPERLINK("https://www.youtube.com/watch?v=u5zmVCfCb7o&amp;t=350s", "Go to time")</f>
        <v/>
      </c>
    </row>
    <row r="4164">
      <c r="A4164">
        <f>HYPERLINK("https://www.youtube.com/watch?v=u5zmVCfCb7o", "Video")</f>
        <v/>
      </c>
      <c r="B4164" t="inlineStr">
        <is>
          <t>8:55</t>
        </is>
      </c>
      <c r="C4164" t="inlineStr">
        <is>
          <t>joint, I think everyone's a bit</t>
        </is>
      </c>
      <c r="D4164">
        <f>HYPERLINK("https://www.youtube.com/watch?v=u5zmVCfCb7o&amp;t=535s", "Go to time")</f>
        <v/>
      </c>
    </row>
    <row r="4165">
      <c r="A4165">
        <f>HYPERLINK("https://www.youtube.com/watch?v=u5zmVCfCb7o", "Video")</f>
        <v/>
      </c>
      <c r="B4165" t="inlineStr">
        <is>
          <t>8:57</t>
        </is>
      </c>
      <c r="C4165" t="inlineStr">
        <is>
          <t>impatient. Even the workers are a bit</t>
        </is>
      </c>
      <c r="D4165">
        <f>HYPERLINK("https://www.youtube.com/watch?v=u5zmVCfCb7o&amp;t=537s", "Go to time")</f>
        <v/>
      </c>
    </row>
    <row r="4166">
      <c r="A4166">
        <f>HYPERLINK("https://www.youtube.com/watch?v=u5zmVCfCb7o", "Video")</f>
        <v/>
      </c>
      <c r="B4166" t="inlineStr">
        <is>
          <t>13:01</t>
        </is>
      </c>
      <c r="C4166" t="inlineStr">
        <is>
          <t>little bit uncomfortable." But even if</t>
        </is>
      </c>
      <c r="D4166">
        <f>HYPERLINK("https://www.youtube.com/watch?v=u5zmVCfCb7o&amp;t=781s", "Go to time")</f>
        <v/>
      </c>
    </row>
    <row r="4167">
      <c r="A4167">
        <f>HYPERLINK("https://www.youtube.com/watch?v=4nrG6SHM-rY", "Video")</f>
        <v/>
      </c>
      <c r="B4167" t="inlineStr">
        <is>
          <t>4:14</t>
        </is>
      </c>
      <c r="C4167" t="inlineStr">
        <is>
          <t>kind of fell off of that habit of</t>
        </is>
      </c>
      <c r="D4167">
        <f>HYPERLINK("https://www.youtube.com/watch?v=4nrG6SHM-rY&amp;t=254s", "Go to time")</f>
        <v/>
      </c>
    </row>
    <row r="4168">
      <c r="A4168">
        <f>HYPERLINK("https://www.youtube.com/watch?v=4nrG6SHM-rY", "Video")</f>
        <v/>
      </c>
      <c r="B4168" t="inlineStr">
        <is>
          <t>16:56</t>
        </is>
      </c>
      <c r="C4168" t="inlineStr">
        <is>
          <t>think explore the the topic a little bit</t>
        </is>
      </c>
      <c r="D4168">
        <f>HYPERLINK("https://www.youtube.com/watch?v=4nrG6SHM-rY&amp;t=1016s", "Go to time")</f>
        <v/>
      </c>
    </row>
    <row r="4169">
      <c r="A4169">
        <f>HYPERLINK("https://www.youtube.com/watch?v=4nrG6SHM-rY", "Video")</f>
        <v/>
      </c>
      <c r="B4169" t="inlineStr">
        <is>
          <t>17:14</t>
        </is>
      </c>
      <c r="C4169" t="inlineStr">
        <is>
          <t>bit um overall your fluency was</t>
        </is>
      </c>
      <c r="D4169">
        <f>HYPERLINK("https://www.youtube.com/watch?v=4nrG6SHM-rY&amp;t=1034s", "Go to time")</f>
        <v/>
      </c>
    </row>
    <row r="4170">
      <c r="A4170">
        <f>HYPERLINK("https://www.youtube.com/watch?v=4nrG6SHM-rY", "Video")</f>
        <v/>
      </c>
      <c r="B4170" t="inlineStr">
        <is>
          <t>17:23</t>
        </is>
      </c>
      <c r="C4170" t="inlineStr">
        <is>
          <t>people pause and hesitate a little bit</t>
        </is>
      </c>
      <c r="D4170">
        <f>HYPERLINK("https://www.youtube.com/watch?v=4nrG6SHM-rY&amp;t=1043s", "Go to time")</f>
        <v/>
      </c>
    </row>
    <row r="4171">
      <c r="A4171">
        <f>HYPERLINK("https://www.youtube.com/watch?v=-m5sJ_6WcYU", "Video")</f>
        <v/>
      </c>
      <c r="B4171" t="inlineStr">
        <is>
          <t>0:23</t>
        </is>
      </c>
      <c r="C4171" t="inlineStr">
        <is>
          <t>and let's talk a little bit about your</t>
        </is>
      </c>
      <c r="D4171">
        <f>HYPERLINK("https://www.youtube.com/watch?v=-m5sJ_6WcYU&amp;t=23s", "Go to time")</f>
        <v/>
      </c>
    </row>
    <row r="4172">
      <c r="A4172">
        <f>HYPERLINK("https://www.youtube.com/watch?v=-m5sJ_6WcYU", "Video")</f>
        <v/>
      </c>
      <c r="B4172" t="inlineStr">
        <is>
          <t>11:12</t>
        </is>
      </c>
      <c r="C4172" t="inlineStr">
        <is>
          <t>I can apply them a bit of a difference</t>
        </is>
      </c>
      <c r="D4172">
        <f>HYPERLINK("https://www.youtube.com/watch?v=-m5sJ_6WcYU&amp;t=672s", "Go to time")</f>
        <v/>
      </c>
    </row>
    <row r="4173">
      <c r="A4173">
        <f>HYPERLINK("https://www.youtube.com/watch?v=XxIaPp-B0bw", "Video")</f>
        <v/>
      </c>
      <c r="B4173" t="inlineStr">
        <is>
          <t>1:36</t>
        </is>
      </c>
      <c r="C4173" t="inlineStr">
        <is>
          <t>question statement so the bit here that</t>
        </is>
      </c>
      <c r="D4173">
        <f>HYPERLINK("https://www.youtube.com/watch?v=XxIaPp-B0bw&amp;t=96s", "Go to time")</f>
        <v/>
      </c>
    </row>
    <row r="4174">
      <c r="A4174">
        <f>HYPERLINK("https://www.youtube.com/watch?v=XxIaPp-B0bw", "Video")</f>
        <v/>
      </c>
      <c r="B4174" t="inlineStr">
        <is>
          <t>2:08</t>
        </is>
      </c>
      <c r="C4174" t="inlineStr">
        <is>
          <t>so there is a bit about world peace</t>
        </is>
      </c>
      <c r="D4174">
        <f>HYPERLINK("https://www.youtube.com/watch?v=XxIaPp-B0bw&amp;t=128s", "Go to time")</f>
        <v/>
      </c>
    </row>
    <row r="4175">
      <c r="A4175">
        <f>HYPERLINK("https://www.youtube.com/watch?v=XxIaPp-B0bw", "Video")</f>
        <v/>
      </c>
      <c r="B4175" t="inlineStr">
        <is>
          <t>2:12</t>
        </is>
      </c>
      <c r="C4175" t="inlineStr">
        <is>
          <t>there is a bit about cheap and clean</t>
        </is>
      </c>
      <c r="D4175">
        <f>HYPERLINK("https://www.youtube.com/watch?v=XxIaPp-B0bw&amp;t=132s", "Go to time")</f>
        <v/>
      </c>
    </row>
    <row r="4176">
      <c r="A4176">
        <f>HYPERLINK("https://www.youtube.com/watch?v=XxIaPp-B0bw", "Video")</f>
        <v/>
      </c>
      <c r="B4176" t="inlineStr">
        <is>
          <t>2:15</t>
        </is>
      </c>
      <c r="C4176" t="inlineStr">
        <is>
          <t>and there is a bit about the benefits</t>
        </is>
      </c>
      <c r="D4176">
        <f>HYPERLINK("https://www.youtube.com/watch?v=XxIaPp-B0bw&amp;t=135s", "Go to time")</f>
        <v/>
      </c>
    </row>
    <row r="4177">
      <c r="A4177">
        <f>HYPERLINK("https://www.youtube.com/watch?v=xQsDjcVWSZQ", "Video")</f>
        <v/>
      </c>
      <c r="B4177" t="inlineStr">
        <is>
          <t>4:14</t>
        </is>
      </c>
      <c r="C4177" t="inlineStr">
        <is>
          <t>kind of fell off of that habit of</t>
        </is>
      </c>
      <c r="D4177">
        <f>HYPERLINK("https://www.youtube.com/watch?v=xQsDjcVWSZQ&amp;t=254s", "Go to time")</f>
        <v/>
      </c>
    </row>
    <row r="4178">
      <c r="A4178">
        <f>HYPERLINK("https://www.youtube.com/watch?v=xQsDjcVWSZQ", "Video")</f>
        <v/>
      </c>
      <c r="B4178" t="inlineStr">
        <is>
          <t>16:53</t>
        </is>
      </c>
      <c r="C4178" t="inlineStr">
        <is>
          <t>love to work out a bit more frequently</t>
        </is>
      </c>
      <c r="D4178">
        <f>HYPERLINK("https://www.youtube.com/watch?v=xQsDjcVWSZQ&amp;t=1013s", "Go to time")</f>
        <v/>
      </c>
    </row>
    <row r="4179">
      <c r="A4179">
        <f>HYPERLINK("https://www.youtube.com/watch?v=xQsDjcVWSZQ", "Video")</f>
        <v/>
      </c>
      <c r="B4179" t="inlineStr">
        <is>
          <t>18:14</t>
        </is>
      </c>
      <c r="C4179" t="inlineStr">
        <is>
          <t>sound a bit cliche but friends really</t>
        </is>
      </c>
      <c r="D4179">
        <f>HYPERLINK("https://www.youtube.com/watch?v=xQsDjcVWSZQ&amp;t=1094s", "Go to time")</f>
        <v/>
      </c>
    </row>
    <row r="4180">
      <c r="A4180">
        <f>HYPERLINK("https://www.youtube.com/watch?v=xQsDjcVWSZQ", "Video")</f>
        <v/>
      </c>
      <c r="B4180" t="inlineStr">
        <is>
          <t>19:22</t>
        </is>
      </c>
      <c r="C4180" t="inlineStr">
        <is>
          <t>went to his wedding had a bit too much</t>
        </is>
      </c>
      <c r="D4180">
        <f>HYPERLINK("https://www.youtube.com/watch?v=xQsDjcVWSZQ&amp;t=1162s", "Go to time")</f>
        <v/>
      </c>
    </row>
    <row r="4181">
      <c r="A4181">
        <f>HYPERLINK("https://www.youtube.com/watch?v=xQsDjcVWSZQ", "Video")</f>
        <v/>
      </c>
      <c r="B4181" t="inlineStr">
        <is>
          <t>20:49</t>
        </is>
      </c>
      <c r="C4181" t="inlineStr">
        <is>
          <t>which can be a bit stressful at times</t>
        </is>
      </c>
      <c r="D4181">
        <f>HYPERLINK("https://www.youtube.com/watch?v=xQsDjcVWSZQ&amp;t=1249s", "Go to time")</f>
        <v/>
      </c>
    </row>
    <row r="4182">
      <c r="A4182">
        <f>HYPERLINK("https://www.youtube.com/watch?v=xQsDjcVWSZQ", "Video")</f>
        <v/>
      </c>
      <c r="B4182" t="inlineStr">
        <is>
          <t>21:25</t>
        </is>
      </c>
      <c r="C4182" t="inlineStr">
        <is>
          <t>be a bit stressful because the whole</t>
        </is>
      </c>
      <c r="D4182">
        <f>HYPERLINK("https://www.youtube.com/watch?v=xQsDjcVWSZQ&amp;t=1285s", "Go to time")</f>
        <v/>
      </c>
    </row>
    <row r="4183">
      <c r="A4183">
        <f>HYPERLINK("https://www.youtube.com/watch?v=xQsDjcVWSZQ", "Video")</f>
        <v/>
      </c>
      <c r="B4183" t="inlineStr">
        <is>
          <t>22:46</t>
        </is>
      </c>
      <c r="C4183" t="inlineStr">
        <is>
          <t>know it might sound a bit sexist but</t>
        </is>
      </c>
      <c r="D4183">
        <f>HYPERLINK("https://www.youtube.com/watch?v=xQsDjcVWSZQ&amp;t=1366s", "Go to time")</f>
        <v/>
      </c>
    </row>
    <row r="4184">
      <c r="A4184">
        <f>HYPERLINK("https://www.youtube.com/watch?v=xQsDjcVWSZQ", "Video")</f>
        <v/>
      </c>
      <c r="B4184" t="inlineStr">
        <is>
          <t>24:31</t>
        </is>
      </c>
      <c r="C4184" t="inlineStr">
        <is>
          <t>prefer purses that are a little bit on</t>
        </is>
      </c>
      <c r="D4184">
        <f>HYPERLINK("https://www.youtube.com/watch?v=xQsDjcVWSZQ&amp;t=1471s", "Go to time")</f>
        <v/>
      </c>
    </row>
    <row r="4185">
      <c r="A4185">
        <f>HYPERLINK("https://www.youtube.com/watch?v=xQsDjcVWSZQ", "Video")</f>
        <v/>
      </c>
      <c r="B4185" t="inlineStr">
        <is>
          <t>34:15</t>
        </is>
      </c>
      <c r="C4185" t="inlineStr">
        <is>
          <t>little bit</t>
        </is>
      </c>
      <c r="D4185">
        <f>HYPERLINK("https://www.youtube.com/watch?v=xQsDjcVWSZQ&amp;t=2055s", "Go to time")</f>
        <v/>
      </c>
    </row>
    <row r="4186">
      <c r="A4186">
        <f>HYPERLINK("https://www.youtube.com/watch?v=2oC-dXJUYqY", "Video")</f>
        <v/>
      </c>
      <c r="B4186" t="inlineStr">
        <is>
          <t>7:09</t>
        </is>
      </c>
      <c r="C4186" t="inlineStr">
        <is>
          <t>work on a little bit, but we can easily</t>
        </is>
      </c>
      <c r="D4186">
        <f>HYPERLINK("https://www.youtube.com/watch?v=2oC-dXJUYqY&amp;t=429s", "Go to time")</f>
        <v/>
      </c>
    </row>
    <row r="4187">
      <c r="A4187">
        <f>HYPERLINK("https://www.youtube.com/watch?v=2oC-dXJUYqY", "Video")</f>
        <v/>
      </c>
      <c r="B4187" t="inlineStr">
        <is>
          <t>8:05</t>
        </is>
      </c>
      <c r="C4187" t="inlineStr">
        <is>
          <t>that or give a little bit more detail or</t>
        </is>
      </c>
      <c r="D4187">
        <f>HYPERLINK("https://www.youtube.com/watch?v=2oC-dXJUYqY&amp;t=485s", "Go to time")</f>
        <v/>
      </c>
    </row>
    <row r="4188">
      <c r="A4188">
        <f>HYPERLINK("https://www.youtube.com/watch?v=2oC-dXJUYqY", "Video")</f>
        <v/>
      </c>
      <c r="B4188" t="inlineStr">
        <is>
          <t>8:10</t>
        </is>
      </c>
      <c r="C4188" t="inlineStr">
        <is>
          <t>you're you're a little bit of a closed</t>
        </is>
      </c>
      <c r="D4188">
        <f>HYPERLINK("https://www.youtube.com/watch?v=2oC-dXJUYqY&amp;t=490s", "Go to time")</f>
        <v/>
      </c>
    </row>
    <row r="4189">
      <c r="A4189">
        <f>HYPERLINK("https://www.youtube.com/watch?v=2oC-dXJUYqY", "Video")</f>
        <v/>
      </c>
      <c r="B4189" t="inlineStr">
        <is>
          <t>12:14</t>
        </is>
      </c>
      <c r="C4189" t="inlineStr">
        <is>
          <t>little bit more detail and then stop.</t>
        </is>
      </c>
      <c r="D4189">
        <f>HYPERLINK("https://www.youtube.com/watch?v=2oC-dXJUYqY&amp;t=734s", "Go to time")</f>
        <v/>
      </c>
    </row>
    <row r="4190">
      <c r="A4190">
        <f>HYPERLINK("https://www.youtube.com/watch?v=2oC-dXJUYqY", "Video")</f>
        <v/>
      </c>
      <c r="B4190" t="inlineStr">
        <is>
          <t>12:33</t>
        </is>
      </c>
      <c r="C4190" t="inlineStr">
        <is>
          <t>habits. Can you take me through your</t>
        </is>
      </c>
      <c r="D4190">
        <f>HYPERLINK("https://www.youtube.com/watch?v=2oC-dXJUYqY&amp;t=753s", "Go to time")</f>
        <v/>
      </c>
    </row>
    <row r="4191">
      <c r="A4191">
        <f>HYPERLINK("https://www.youtube.com/watch?v=2oC-dXJUYqY", "Video")</f>
        <v/>
      </c>
      <c r="B4191" t="inlineStr">
        <is>
          <t>18:21</t>
        </is>
      </c>
      <c r="C4191" t="inlineStr">
        <is>
          <t>half bitten apple. And instead of a long</t>
        </is>
      </c>
      <c r="D4191">
        <f>HYPERLINK("https://www.youtube.com/watch?v=2oC-dXJUYqY&amp;t=1101s", "Go to time")</f>
        <v/>
      </c>
    </row>
    <row r="4192">
      <c r="A4192">
        <f>HYPERLINK("https://www.youtube.com/watch?v=E4iUiRBVUa4", "Video")</f>
        <v/>
      </c>
      <c r="B4192" t="inlineStr">
        <is>
          <t>6:32</t>
        </is>
      </c>
      <c r="C4192" t="inlineStr">
        <is>
          <t>a bit of help from my cousin um I the</t>
        </is>
      </c>
      <c r="D4192">
        <f>HYPERLINK("https://www.youtube.com/watch?v=E4iUiRBVUa4&amp;t=392s", "Go to time")</f>
        <v/>
      </c>
    </row>
    <row r="4193">
      <c r="A4193">
        <f>HYPERLINK("https://www.youtube.com/watch?v=vpmJTSntyVw", "Video")</f>
        <v/>
      </c>
      <c r="B4193" t="inlineStr">
        <is>
          <t>9:09</t>
        </is>
      </c>
      <c r="C4193" t="inlineStr">
        <is>
          <t>answer this is a little bit difficult</t>
        </is>
      </c>
      <c r="D4193">
        <f>HYPERLINK("https://www.youtube.com/watch?v=vpmJTSntyVw&amp;t=549s", "Go to time")</f>
        <v/>
      </c>
    </row>
    <row r="4194">
      <c r="A4194">
        <f>HYPERLINK("https://www.youtube.com/watch?v=Kch2Tb_T2Pg", "Video")</f>
        <v/>
      </c>
      <c r="B4194" t="inlineStr">
        <is>
          <t>1:08</t>
        </is>
      </c>
      <c r="C4194" t="inlineStr">
        <is>
          <t>into the habit of really paying</t>
        </is>
      </c>
      <c r="D4194">
        <f>HYPERLINK("https://www.youtube.com/watch?v=Kch2Tb_T2Pg&amp;t=68s", "Go to time")</f>
        <v/>
      </c>
    </row>
    <row r="4195">
      <c r="A4195">
        <f>HYPERLINK("https://www.youtube.com/watch?v=hS7J1fNOulg", "Video")</f>
        <v/>
      </c>
      <c r="B4195" t="inlineStr">
        <is>
          <t>5:56</t>
        </is>
      </c>
      <c r="C4195" t="inlineStr">
        <is>
          <t>sit on the fence a little bit</t>
        </is>
      </c>
      <c r="D4195">
        <f>HYPERLINK("https://www.youtube.com/watch?v=hS7J1fNOulg&amp;t=356s", "Go to time")</f>
        <v/>
      </c>
    </row>
    <row r="4196">
      <c r="A4196">
        <f>HYPERLINK("https://www.youtube.com/watch?v=hS7J1fNOulg", "Video")</f>
        <v/>
      </c>
      <c r="B4196" t="inlineStr">
        <is>
          <t>8:38</t>
        </is>
      </c>
      <c r="C4196" t="inlineStr">
        <is>
          <t>a bit in the middle that kind of takes a</t>
        </is>
      </c>
      <c r="D4196">
        <f>HYPERLINK("https://www.youtube.com/watch?v=hS7J1fNOulg&amp;t=518s", "Go to time")</f>
        <v/>
      </c>
    </row>
    <row r="4197">
      <c r="A4197">
        <f>HYPERLINK("https://www.youtube.com/watch?v=hS7J1fNOulg", "Video")</f>
        <v/>
      </c>
      <c r="B4197" t="inlineStr">
        <is>
          <t>10:06</t>
        </is>
      </c>
      <c r="C4197" t="inlineStr">
        <is>
          <t>entertaining it's a little bit vague but</t>
        </is>
      </c>
      <c r="D4197">
        <f>HYPERLINK("https://www.youtube.com/watch?v=hS7J1fNOulg&amp;t=606s", "Go to time")</f>
        <v/>
      </c>
    </row>
    <row r="4198">
      <c r="A4198">
        <f>HYPERLINK("https://www.youtube.com/watch?v=hS7J1fNOulg", "Video")</f>
        <v/>
      </c>
      <c r="B4198" t="inlineStr">
        <is>
          <t>13:30</t>
        </is>
      </c>
      <c r="C4198" t="inlineStr">
        <is>
          <t>size make it a little bit more General</t>
        </is>
      </c>
      <c r="D4198">
        <f>HYPERLINK("https://www.youtube.com/watch?v=hS7J1fNOulg&amp;t=810s", "Go to time")</f>
        <v/>
      </c>
    </row>
    <row r="4199">
      <c r="A4199">
        <f>HYPERLINK("https://www.youtube.com/watch?v=hS7J1fNOulg", "Video")</f>
        <v/>
      </c>
      <c r="B4199" t="inlineStr">
        <is>
          <t>15:37</t>
        </is>
      </c>
      <c r="C4199" t="inlineStr">
        <is>
          <t>bit confused</t>
        </is>
      </c>
      <c r="D4199">
        <f>HYPERLINK("https://www.youtube.com/watch?v=hS7J1fNOulg&amp;t=937s", "Go to time")</f>
        <v/>
      </c>
    </row>
    <row r="4200">
      <c r="A4200">
        <f>HYPERLINK("https://www.youtube.com/watch?v=hS7J1fNOulg", "Video")</f>
        <v/>
      </c>
      <c r="B4200" t="inlineStr">
        <is>
          <t>16:02</t>
        </is>
      </c>
      <c r="C4200" t="inlineStr">
        <is>
          <t>I'm really a little bit confused when</t>
        </is>
      </c>
      <c r="D4200">
        <f>HYPERLINK("https://www.youtube.com/watch?v=hS7J1fNOulg&amp;t=962s", "Go to time")</f>
        <v/>
      </c>
    </row>
    <row r="4201">
      <c r="A4201">
        <f>HYPERLINK("https://www.youtube.com/watch?v=hS7J1fNOulg", "Video")</f>
        <v/>
      </c>
      <c r="B4201" t="inlineStr">
        <is>
          <t>16:54</t>
        </is>
      </c>
      <c r="C4201" t="inlineStr">
        <is>
          <t>been a little bit clearer in the</t>
        </is>
      </c>
      <c r="D4201">
        <f>HYPERLINK("https://www.youtube.com/watch?v=hS7J1fNOulg&amp;t=1014s", "Go to time")</f>
        <v/>
      </c>
    </row>
    <row r="4202">
      <c r="A4202">
        <f>HYPERLINK("https://www.youtube.com/watch?v=hS7J1fNOulg", "Video")</f>
        <v/>
      </c>
      <c r="B4202" t="inlineStr">
        <is>
          <t>17:39</t>
        </is>
      </c>
      <c r="C4202" t="inlineStr">
        <is>
          <t>they've given a little bit of an</t>
        </is>
      </c>
      <c r="D4202">
        <f>HYPERLINK("https://www.youtube.com/watch?v=hS7J1fNOulg&amp;t=1059s", "Go to time")</f>
        <v/>
      </c>
    </row>
    <row r="4203">
      <c r="A4203">
        <f>HYPERLINK("https://www.youtube.com/watch?v=hS7J1fNOulg", "Video")</f>
        <v/>
      </c>
      <c r="B4203" t="inlineStr">
        <is>
          <t>17:41</t>
        </is>
      </c>
      <c r="C4203" t="inlineStr">
        <is>
          <t>explanation a little bit of a</t>
        </is>
      </c>
      <c r="D4203">
        <f>HYPERLINK("https://www.youtube.com/watch?v=hS7J1fNOulg&amp;t=1061s", "Go to time")</f>
        <v/>
      </c>
    </row>
    <row r="4204">
      <c r="A4204">
        <f>HYPERLINK("https://www.youtube.com/watch?v=hS7J1fNOulg", "Video")</f>
        <v/>
      </c>
      <c r="B4204" t="inlineStr">
        <is>
          <t>20:42</t>
        </is>
      </c>
      <c r="C4204" t="inlineStr">
        <is>
          <t>need to do it a little bit differently</t>
        </is>
      </c>
      <c r="D4204">
        <f>HYPERLINK("https://www.youtube.com/watch?v=hS7J1fNOulg&amp;t=1242s", "Go to time")</f>
        <v/>
      </c>
    </row>
    <row r="4205">
      <c r="A4205">
        <f>HYPERLINK("https://www.youtube.com/watch?v=hS7J1fNOulg", "Video")</f>
        <v/>
      </c>
      <c r="B4205" t="inlineStr">
        <is>
          <t>22:25</t>
        </is>
      </c>
      <c r="C4205" t="inlineStr">
        <is>
          <t>but it could be made a little bit</t>
        </is>
      </c>
      <c r="D4205">
        <f>HYPERLINK("https://www.youtube.com/watch?v=hS7J1fNOulg&amp;t=1345s", "Go to time")</f>
        <v/>
      </c>
    </row>
    <row r="4206">
      <c r="A4206">
        <f>HYPERLINK("https://www.youtube.com/watch?v=hS7J1fNOulg", "Video")</f>
        <v/>
      </c>
      <c r="B4206" t="inlineStr">
        <is>
          <t>35:56</t>
        </is>
      </c>
      <c r="C4206" t="inlineStr">
        <is>
          <t>language that is a little bit more</t>
        </is>
      </c>
      <c r="D4206">
        <f>HYPERLINK("https://www.youtube.com/watch?v=hS7J1fNOulg&amp;t=2156s", "Go to time")</f>
        <v/>
      </c>
    </row>
    <row r="4207">
      <c r="A4207">
        <f>HYPERLINK("https://www.youtube.com/watch?v=hS7J1fNOulg", "Video")</f>
        <v/>
      </c>
      <c r="B4207" t="inlineStr">
        <is>
          <t>37:59</t>
        </is>
      </c>
      <c r="C4207" t="inlineStr">
        <is>
          <t>correct but it is a little bit informal</t>
        </is>
      </c>
      <c r="D4207">
        <f>HYPERLINK("https://www.youtube.com/watch?v=hS7J1fNOulg&amp;t=2279s", "Go to time")</f>
        <v/>
      </c>
    </row>
    <row r="4208">
      <c r="A4208">
        <f>HYPERLINK("https://www.youtube.com/watch?v=hS7J1fNOulg", "Video")</f>
        <v/>
      </c>
      <c r="B4208" t="inlineStr">
        <is>
          <t>38:02</t>
        </is>
      </c>
      <c r="C4208" t="inlineStr">
        <is>
          <t>a little bit less precise so I've</t>
        </is>
      </c>
      <c r="D4208">
        <f>HYPERLINK("https://www.youtube.com/watch?v=hS7J1fNOulg&amp;t=2282s", "Go to time")</f>
        <v/>
      </c>
    </row>
    <row r="4209">
      <c r="A4209">
        <f>HYPERLINK("https://www.youtube.com/watch?v=hS7J1fNOulg", "Video")</f>
        <v/>
      </c>
      <c r="B4209" t="inlineStr">
        <is>
          <t>41:10</t>
        </is>
      </c>
      <c r="C4209" t="inlineStr">
        <is>
          <t>explain this a bit more why should</t>
        </is>
      </c>
      <c r="D4209">
        <f>HYPERLINK("https://www.youtube.com/watch?v=hS7J1fNOulg&amp;t=2470s", "Go to time")</f>
        <v/>
      </c>
    </row>
    <row r="4210">
      <c r="A4210">
        <f>HYPERLINK("https://www.youtube.com/watch?v=q7xCHfDRdug", "Video")</f>
        <v/>
      </c>
      <c r="B4210" t="inlineStr">
        <is>
          <t>3:27</t>
        </is>
      </c>
      <c r="C4210" t="inlineStr">
        <is>
          <t>a little bit more difficult on the</t>
        </is>
      </c>
      <c r="D4210">
        <f>HYPERLINK("https://www.youtube.com/watch?v=q7xCHfDRdug&amp;t=207s", "Go to time")</f>
        <v/>
      </c>
    </row>
    <row r="4211">
      <c r="A4211">
        <f>HYPERLINK("https://www.youtube.com/watch?v=q7xCHfDRdug", "Video")</f>
        <v/>
      </c>
      <c r="B4211" t="inlineStr">
        <is>
          <t>4:40</t>
        </is>
      </c>
      <c r="C4211" t="inlineStr">
        <is>
          <t>part 3 gets a little bit more difficult</t>
        </is>
      </c>
      <c r="D4211">
        <f>HYPERLINK("https://www.youtube.com/watch?v=q7xCHfDRdug&amp;t=280s", "Go to time")</f>
        <v/>
      </c>
    </row>
    <row r="4212">
      <c r="A4212">
        <f>HYPERLINK("https://www.youtube.com/watch?v=q7xCHfDRdug", "Video")</f>
        <v/>
      </c>
      <c r="B4212" t="inlineStr">
        <is>
          <t>20:19</t>
        </is>
      </c>
      <c r="C4212" t="inlineStr">
        <is>
          <t>bit easier so first of all you have to</t>
        </is>
      </c>
      <c r="D4212">
        <f>HYPERLINK("https://www.youtube.com/watch?v=q7xCHfDRdug&amp;t=1219s", "Go to time")</f>
        <v/>
      </c>
    </row>
    <row r="4213">
      <c r="A4213">
        <f>HYPERLINK("https://www.youtube.com/watch?v=q7xCHfDRdug", "Video")</f>
        <v/>
      </c>
      <c r="B4213" t="inlineStr">
        <is>
          <t>31:50</t>
        </is>
      </c>
      <c r="C4213" t="inlineStr">
        <is>
          <t>little bit more detail because being</t>
        </is>
      </c>
      <c r="D4213">
        <f>HYPERLINK("https://www.youtube.com/watch?v=q7xCHfDRdug&amp;t=1910s", "Go to time")</f>
        <v/>
      </c>
    </row>
    <row r="4214">
      <c r="A4214">
        <f>HYPERLINK("https://www.youtube.com/watch?v=q7xCHfDRdug", "Video")</f>
        <v/>
      </c>
      <c r="B4214" t="inlineStr">
        <is>
          <t>32:12</t>
        </is>
      </c>
      <c r="C4214" t="inlineStr">
        <is>
          <t>annoyed with you a little bit for not</t>
        </is>
      </c>
      <c r="D4214">
        <f>HYPERLINK("https://www.youtube.com/watch?v=q7xCHfDRdug&amp;t=1932s", "Go to time")</f>
        <v/>
      </c>
    </row>
    <row r="4215">
      <c r="A4215">
        <f>HYPERLINK("https://www.youtube.com/watch?v=q7xCHfDRdug", "Video")</f>
        <v/>
      </c>
      <c r="B4215" t="inlineStr">
        <is>
          <t>32:57</t>
        </is>
      </c>
      <c r="C4215" t="inlineStr">
        <is>
          <t>it gives you a little bit of a break</t>
        </is>
      </c>
      <c r="D4215">
        <f>HYPERLINK("https://www.youtube.com/watch?v=q7xCHfDRdug&amp;t=1977s", "Go to time")</f>
        <v/>
      </c>
    </row>
    <row r="4216">
      <c r="A4216">
        <f>HYPERLINK("https://www.youtube.com/watch?v=q7xCHfDRdug", "Video")</f>
        <v/>
      </c>
      <c r="B4216" t="inlineStr">
        <is>
          <t>61:27</t>
        </is>
      </c>
      <c r="C4216" t="inlineStr">
        <is>
          <t>is ielts.org it's a wee bit more</t>
        </is>
      </c>
      <c r="D4216">
        <f>HYPERLINK("https://www.youtube.com/watch?v=q7xCHfDRdug&amp;t=3687s", "Go to time")</f>
        <v/>
      </c>
    </row>
    <row r="4217">
      <c r="A4217">
        <f>HYPERLINK("https://www.youtube.com/watch?v=q7xCHfDRdug", "Video")</f>
        <v/>
      </c>
      <c r="B4217" t="inlineStr">
        <is>
          <t>71:39</t>
        </is>
      </c>
      <c r="C4217" t="inlineStr">
        <is>
          <t>strategy until it becomes habit until it</t>
        </is>
      </c>
      <c r="D4217">
        <f>HYPERLINK("https://www.youtube.com/watch?v=q7xCHfDRdug&amp;t=4299s", "Go to time")</f>
        <v/>
      </c>
    </row>
    <row r="4218">
      <c r="A4218">
        <f>HYPERLINK("https://www.youtube.com/watch?v=q7xCHfDRdug", "Video")</f>
        <v/>
      </c>
      <c r="B4218" t="inlineStr">
        <is>
          <t>77:45</t>
        </is>
      </c>
      <c r="C4218" t="inlineStr">
        <is>
          <t>don't read instructions make it a habit</t>
        </is>
      </c>
      <c r="D4218">
        <f>HYPERLINK("https://www.youtube.com/watch?v=q7xCHfDRdug&amp;t=4665s", "Go to time")</f>
        <v/>
      </c>
    </row>
    <row r="4219">
      <c r="A4219">
        <f>HYPERLINK("https://www.youtube.com/watch?v=q7xCHfDRdug", "Video")</f>
        <v/>
      </c>
      <c r="B4219" t="inlineStr">
        <is>
          <t>86:49</t>
        </is>
      </c>
      <c r="C4219" t="inlineStr">
        <is>
          <t>maps and then get a little bit faster a</t>
        </is>
      </c>
      <c r="D4219">
        <f>HYPERLINK("https://www.youtube.com/watch?v=q7xCHfDRdug&amp;t=5209s", "Go to time")</f>
        <v/>
      </c>
    </row>
    <row r="4220">
      <c r="A4220">
        <f>HYPERLINK("https://www.youtube.com/watch?v=q7xCHfDRdug", "Video")</f>
        <v/>
      </c>
      <c r="B4220" t="inlineStr">
        <is>
          <t>86:51</t>
        </is>
      </c>
      <c r="C4220" t="inlineStr">
        <is>
          <t>little bit faster until you are at exam</t>
        </is>
      </c>
      <c r="D4220">
        <f>HYPERLINK("https://www.youtube.com/watch?v=q7xCHfDRdug&amp;t=5211s", "Go to time")</f>
        <v/>
      </c>
    </row>
    <row r="4221">
      <c r="A4221">
        <f>HYPERLINK("https://www.youtube.com/watch?v=q7xCHfDRdug", "Video")</f>
        <v/>
      </c>
      <c r="B4221" t="inlineStr">
        <is>
          <t>95:24</t>
        </is>
      </c>
      <c r="C4221" t="inlineStr">
        <is>
          <t>answer this is a little bit difficult</t>
        </is>
      </c>
      <c r="D4221">
        <f>HYPERLINK("https://www.youtube.com/watch?v=q7xCHfDRdug&amp;t=5724s", "Go to time")</f>
        <v/>
      </c>
    </row>
    <row r="4222">
      <c r="A4222">
        <f>HYPERLINK("https://www.youtube.com/watch?v=q7xCHfDRdug", "Video")</f>
        <v/>
      </c>
      <c r="B4222" t="inlineStr">
        <is>
          <t>99:07</t>
        </is>
      </c>
      <c r="C4222" t="inlineStr">
        <is>
          <t>special exhibits on tour next year</t>
        </is>
      </c>
      <c r="D4222">
        <f>HYPERLINK("https://www.youtube.com/watch?v=q7xCHfDRdug&amp;t=5947s", "Go to time")</f>
        <v/>
      </c>
    </row>
    <row r="4223">
      <c r="A4223">
        <f>HYPERLINK("https://www.youtube.com/watch?v=q7xCHfDRdug", "Video")</f>
        <v/>
      </c>
      <c r="B4223" t="inlineStr">
        <is>
          <t>100:45</t>
        </is>
      </c>
      <c r="C4223" t="inlineStr">
        <is>
          <t>this is a bit embarrassing actually</t>
        </is>
      </c>
      <c r="D4223">
        <f>HYPERLINK("https://www.youtube.com/watch?v=q7xCHfDRdug&amp;t=6045s", "Go to time")</f>
        <v/>
      </c>
    </row>
    <row r="4224">
      <c r="A4224">
        <f>HYPERLINK("https://www.youtube.com/watch?v=q7xCHfDRdug", "Video")</f>
        <v/>
      </c>
      <c r="B4224" t="inlineStr">
        <is>
          <t>104:11</t>
        </is>
      </c>
      <c r="C4224" t="inlineStr">
        <is>
          <t>quite a bit it's the equivalent of 60</t>
        </is>
      </c>
      <c r="D4224">
        <f>HYPERLINK("https://www.youtube.com/watch?v=q7xCHfDRdug&amp;t=6251s", "Go to time")</f>
        <v/>
      </c>
    </row>
    <row r="4225">
      <c r="A4225">
        <f>HYPERLINK("https://www.youtube.com/watch?v=q7xCHfDRdug", "Video")</f>
        <v/>
      </c>
      <c r="B4225" t="inlineStr">
        <is>
          <t>111:00</t>
        </is>
      </c>
      <c r="C4225" t="inlineStr">
        <is>
          <t>farm shrimp is in these wild habitats in</t>
        </is>
      </c>
      <c r="D4225">
        <f>HYPERLINK("https://www.youtube.com/watch?v=q7xCHfDRdug&amp;t=6660s", "Go to time")</f>
        <v/>
      </c>
    </row>
    <row r="4226">
      <c r="A4226">
        <f>HYPERLINK("https://www.youtube.com/watch?v=q7xCHfDRdug", "Video")</f>
        <v/>
      </c>
      <c r="B4226" t="inlineStr">
        <is>
          <t>111:09</t>
        </is>
      </c>
      <c r="C4226" t="inlineStr">
        <is>
          <t>coasts create habitats for all sort of</t>
        </is>
      </c>
      <c r="D4226">
        <f>HYPERLINK("https://www.youtube.com/watch?v=q7xCHfDRdug&amp;t=6669s", "Go to time")</f>
        <v/>
      </c>
    </row>
    <row r="4227">
      <c r="A4227">
        <f>HYPERLINK("https://www.youtube.com/watch?v=q7xCHfDRdug", "Video")</f>
        <v/>
      </c>
      <c r="B4227" t="inlineStr">
        <is>
          <t>114:38</t>
        </is>
      </c>
      <c r="C4227" t="inlineStr">
        <is>
          <t>it's a little bit of a cheat because if</t>
        </is>
      </c>
      <c r="D4227">
        <f>HYPERLINK("https://www.youtube.com/watch?v=q7xCHfDRdug&amp;t=6878s", "Go to time")</f>
        <v/>
      </c>
    </row>
    <row r="4228">
      <c r="A4228">
        <f>HYPERLINK("https://www.youtube.com/watch?v=Rv79dEpaiX4", "Video")</f>
        <v/>
      </c>
      <c r="B4228" t="inlineStr">
        <is>
          <t>0:57</t>
        </is>
      </c>
      <c r="C4228" t="inlineStr">
        <is>
          <t>of am a bit more of ANS ever not that I</t>
        </is>
      </c>
      <c r="D4228">
        <f>HYPERLINK("https://www.youtube.com/watch?v=Rv79dEpaiX4&amp;t=57s", "Go to time")</f>
        <v/>
      </c>
    </row>
    <row r="4229">
      <c r="A4229">
        <f>HYPERLINK("https://www.youtube.com/watch?v=Rv79dEpaiX4", "Video")</f>
        <v/>
      </c>
      <c r="B4229" t="inlineStr">
        <is>
          <t>2:34</t>
        </is>
      </c>
      <c r="C4229" t="inlineStr">
        <is>
          <t>cream to stiffen uh it melts a bit but</t>
        </is>
      </c>
      <c r="D4229">
        <f>HYPERLINK("https://www.youtube.com/watch?v=Rv79dEpaiX4&amp;t=154s", "Go to time")</f>
        <v/>
      </c>
    </row>
    <row r="4230">
      <c r="A4230">
        <f>HYPERLINK("https://www.youtube.com/watch?v=Rv79dEpaiX4", "Video")</f>
        <v/>
      </c>
      <c r="B4230" t="inlineStr">
        <is>
          <t>3:38</t>
        </is>
      </c>
      <c r="C4230" t="inlineStr">
        <is>
          <t>being a bit extra then</t>
        </is>
      </c>
      <c r="D4230">
        <f>HYPERLINK("https://www.youtube.com/watch?v=Rv79dEpaiX4&amp;t=218s", "Go to time")</f>
        <v/>
      </c>
    </row>
    <row r="4231">
      <c r="A4231">
        <f>HYPERLINK("https://www.youtube.com/watch?v=RherynZ236o", "Video")</f>
        <v/>
      </c>
      <c r="B4231" t="inlineStr">
        <is>
          <t>3:23</t>
        </is>
      </c>
      <c r="C4231" t="inlineStr">
        <is>
          <t>little bit and enjoy the entire journey</t>
        </is>
      </c>
      <c r="D4231">
        <f>HYPERLINK("https://www.youtube.com/watch?v=RherynZ236o&amp;t=203s", "Go to time")</f>
        <v/>
      </c>
    </row>
    <row r="4232">
      <c r="A4232">
        <f>HYPERLINK("https://www.youtube.com/watch?v=RherynZ236o", "Video")</f>
        <v/>
      </c>
      <c r="B4232" t="inlineStr">
        <is>
          <t>4:53</t>
        </is>
      </c>
      <c r="C4232" t="inlineStr">
        <is>
          <t>little bit of fiction as well so I</t>
        </is>
      </c>
      <c r="D4232">
        <f>HYPERLINK("https://www.youtube.com/watch?v=RherynZ236o&amp;t=293s", "Go to time")</f>
        <v/>
      </c>
    </row>
    <row r="4233">
      <c r="A4233">
        <f>HYPERLINK("https://www.youtube.com/watch?v=RherynZ236o", "Video")</f>
        <v/>
      </c>
      <c r="B4233" t="inlineStr">
        <is>
          <t>6:20</t>
        </is>
      </c>
      <c r="C4233" t="inlineStr">
        <is>
          <t>history bit as well like I've I think</t>
        </is>
      </c>
      <c r="D4233">
        <f>HYPERLINK("https://www.youtube.com/watch?v=RherynZ236o&amp;t=380s", "Go to time")</f>
        <v/>
      </c>
    </row>
    <row r="4234">
      <c r="A4234">
        <f>HYPERLINK("https://www.youtube.com/watch?v=RherynZ236o", "Video")</f>
        <v/>
      </c>
      <c r="B4234" t="inlineStr">
        <is>
          <t>10:36</t>
        </is>
      </c>
      <c r="C4234" t="inlineStr">
        <is>
          <t>they get a little bit late if it's only</t>
        </is>
      </c>
      <c r="D4234">
        <f>HYPERLINK("https://www.youtube.com/watch?v=RherynZ236o&amp;t=636s", "Go to time")</f>
        <v/>
      </c>
    </row>
    <row r="4235">
      <c r="A4235">
        <f>HYPERLINK("https://www.youtube.com/watch?v=RherynZ236o", "Video")</f>
        <v/>
      </c>
      <c r="B4235" t="inlineStr">
        <is>
          <t>11:40</t>
        </is>
      </c>
      <c r="C4235" t="inlineStr">
        <is>
          <t>habit of constantly being late that ways</t>
        </is>
      </c>
      <c r="D4235">
        <f>HYPERLINK("https://www.youtube.com/watch?v=RherynZ236o&amp;t=700s", "Go to time")</f>
        <v/>
      </c>
    </row>
    <row r="4236">
      <c r="A4236">
        <f>HYPERLINK("https://www.youtube.com/watch?v=RherynZ236o", "Video")</f>
        <v/>
      </c>
      <c r="B4236" t="inlineStr">
        <is>
          <t>17:05</t>
        </is>
      </c>
      <c r="C4236" t="inlineStr">
        <is>
          <t>little bit I think the key Hallmark of a</t>
        </is>
      </c>
      <c r="D4236">
        <f>HYPERLINK("https://www.youtube.com/watch?v=RherynZ236o&amp;t=1025s", "Go to time")</f>
        <v/>
      </c>
    </row>
    <row r="4237">
      <c r="A4237">
        <f>HYPERLINK("https://www.youtube.com/watch?v=RherynZ236o", "Video")</f>
        <v/>
      </c>
      <c r="B4237" t="inlineStr">
        <is>
          <t>18:18</t>
        </is>
      </c>
      <c r="C4237" t="inlineStr">
        <is>
          <t>little bit more abstract so we would</t>
        </is>
      </c>
      <c r="D4237">
        <f>HYPERLINK("https://www.youtube.com/watch?v=RherynZ236o&amp;t=1098s", "Go to time")</f>
        <v/>
      </c>
    </row>
    <row r="4238">
      <c r="A4238">
        <f>HYPERLINK("https://www.youtube.com/watch?v=RherynZ236o", "Video")</f>
        <v/>
      </c>
      <c r="B4238" t="inlineStr">
        <is>
          <t>20:18</t>
        </is>
      </c>
      <c r="C4238" t="inlineStr">
        <is>
          <t>little bit with with those ideas but the</t>
        </is>
      </c>
      <c r="D4238">
        <f>HYPERLINK("https://www.youtube.com/watch?v=RherynZ236o&amp;t=1218s", "Go to time")</f>
        <v/>
      </c>
    </row>
    <row r="4239">
      <c r="A4239">
        <f>HYPERLINK("https://www.youtube.com/watch?v=RherynZ236o", "Video")</f>
        <v/>
      </c>
      <c r="B4239" t="inlineStr">
        <is>
          <t>24:29</t>
        </is>
      </c>
      <c r="C4239" t="inlineStr">
        <is>
          <t>little bit more quickly now sometimes</t>
        </is>
      </c>
      <c r="D4239">
        <f>HYPERLINK("https://www.youtube.com/watch?v=RherynZ236o&amp;t=1469s", "Go to time")</f>
        <v/>
      </c>
    </row>
    <row r="4240">
      <c r="A4240">
        <f>HYPERLINK("https://www.youtube.com/watch?v=RherynZ236o", "Video")</f>
        <v/>
      </c>
      <c r="B4240" t="inlineStr">
        <is>
          <t>24:44</t>
        </is>
      </c>
      <c r="C4240" t="inlineStr">
        <is>
          <t>you're nervous a little bit sometimes</t>
        </is>
      </c>
      <c r="D4240">
        <f>HYPERLINK("https://www.youtube.com/watch?v=RherynZ236o&amp;t=1484s", "Go to time")</f>
        <v/>
      </c>
    </row>
    <row r="4241">
      <c r="A4241">
        <f>HYPERLINK("https://www.youtube.com/watch?v=RherynZ236o", "Video")</f>
        <v/>
      </c>
      <c r="B4241" t="inlineStr">
        <is>
          <t>24:46</t>
        </is>
      </c>
      <c r="C4241" t="inlineStr">
        <is>
          <t>and you do speak a little bit quickly um</t>
        </is>
      </c>
      <c r="D4241">
        <f>HYPERLINK("https://www.youtube.com/watch?v=RherynZ236o&amp;t=1486s", "Go to time")</f>
        <v/>
      </c>
    </row>
    <row r="4242">
      <c r="A4242">
        <f>HYPERLINK("https://www.youtube.com/watch?v=RherynZ236o", "Video")</f>
        <v/>
      </c>
      <c r="B4242" t="inlineStr">
        <is>
          <t>25:09</t>
        </is>
      </c>
      <c r="C4242" t="inlineStr">
        <is>
          <t>sounds a little bit um it's very common</t>
        </is>
      </c>
      <c r="D4242">
        <f>HYPERLINK("https://www.youtube.com/watch?v=RherynZ236o&amp;t=1509s", "Go to time")</f>
        <v/>
      </c>
    </row>
    <row r="4243">
      <c r="A4243">
        <f>HYPERLINK("https://www.youtube.com/watch?v=RherynZ236o", "Video")</f>
        <v/>
      </c>
      <c r="B4243" t="inlineStr">
        <is>
          <t>26:22</t>
        </is>
      </c>
      <c r="C4243" t="inlineStr">
        <is>
          <t>correct but phone would be a little bit</t>
        </is>
      </c>
      <c r="D4243">
        <f>HYPERLINK("https://www.youtube.com/watch?v=RherynZ236o&amp;t=1582s", "Go to time")</f>
        <v/>
      </c>
    </row>
    <row r="4244">
      <c r="A4244">
        <f>HYPERLINK("https://www.youtube.com/watch?v=nJJyilEPwpk", "Video")</f>
        <v/>
      </c>
      <c r="B4244" t="inlineStr">
        <is>
          <t>1:36</t>
        </is>
      </c>
      <c r="C4244" t="inlineStr">
        <is>
          <t>prefer purses that are a little bit on</t>
        </is>
      </c>
      <c r="D4244">
        <f>HYPERLINK("https://www.youtube.com/watch?v=nJJyilEPwpk&amp;t=96s", "Go to time")</f>
        <v/>
      </c>
    </row>
    <row r="4245">
      <c r="A4245">
        <f>HYPERLINK("https://www.youtube.com/watch?v=nJJyilEPwpk", "Video")</f>
        <v/>
      </c>
      <c r="B4245" t="inlineStr">
        <is>
          <t>11:49</t>
        </is>
      </c>
      <c r="C4245" t="inlineStr">
        <is>
          <t>little bit</t>
        </is>
      </c>
      <c r="D4245">
        <f>HYPERLINK("https://www.youtube.com/watch?v=nJJyilEPwpk&amp;t=709s", "Go to time")</f>
        <v/>
      </c>
    </row>
    <row r="4246">
      <c r="A4246">
        <f>HYPERLINK("https://www.youtube.com/watch?v=nJJyilEPwpk", "Video")</f>
        <v/>
      </c>
      <c r="B4246" t="inlineStr">
        <is>
          <t>13:12</t>
        </is>
      </c>
      <c r="C4246" t="inlineStr">
        <is>
          <t>each part is a little bit different give</t>
        </is>
      </c>
      <c r="D4246">
        <f>HYPERLINK("https://www.youtube.com/watch?v=nJJyilEPwpk&amp;t=792s", "Go to time")</f>
        <v/>
      </c>
    </row>
    <row r="4247">
      <c r="A4247">
        <f>HYPERLINK("https://www.youtube.com/watch?v=80oOFoohRBc", "Video")</f>
        <v/>
      </c>
      <c r="B4247" t="inlineStr">
        <is>
          <t>0:22</t>
        </is>
      </c>
      <c r="C4247" t="inlineStr">
        <is>
          <t>just a little bit of background</t>
        </is>
      </c>
      <c r="D4247">
        <f>HYPERLINK("https://www.youtube.com/watch?v=80oOFoohRBc&amp;t=22s", "Go to time")</f>
        <v/>
      </c>
    </row>
    <row r="4248">
      <c r="A4248">
        <f>HYPERLINK("https://www.youtube.com/watch?v=80oOFoohRBc", "Video")</f>
        <v/>
      </c>
      <c r="B4248" t="inlineStr">
        <is>
          <t>4:01</t>
        </is>
      </c>
      <c r="C4248" t="inlineStr">
        <is>
          <t>speaking and but they want to go a bit</t>
        </is>
      </c>
      <c r="D4248">
        <f>HYPERLINK("https://www.youtube.com/watch?v=80oOFoohRBc&amp;t=241s", "Go to time")</f>
        <v/>
      </c>
    </row>
    <row r="4249">
      <c r="A4249">
        <f>HYPERLINK("https://www.youtube.com/watch?v=L0tUq-GUdUY", "Video")</f>
        <v/>
      </c>
      <c r="B4249" t="inlineStr">
        <is>
          <t>10:48</t>
        </is>
      </c>
      <c r="C4249" t="inlineStr">
        <is>
          <t>going to be a little bit lost at this</t>
        </is>
      </c>
      <c r="D4249">
        <f>HYPERLINK("https://www.youtube.com/watch?v=L0tUq-GUdUY&amp;t=648s", "Go to time")</f>
        <v/>
      </c>
    </row>
    <row r="4250">
      <c r="A4250">
        <f>HYPERLINK("https://www.youtube.com/watch?v=tgwibVefUKk", "Video")</f>
        <v/>
      </c>
      <c r="B4250" t="inlineStr">
        <is>
          <t>5:17</t>
        </is>
      </c>
      <c r="C4250" t="inlineStr">
        <is>
          <t>detail it's a little bit more detailed</t>
        </is>
      </c>
      <c r="D4250">
        <f>HYPERLINK("https://www.youtube.com/watch?v=tgwibVefUKk&amp;t=317s", "Go to time")</f>
        <v/>
      </c>
    </row>
    <row r="4251">
      <c r="A4251">
        <f>HYPERLINK("https://www.youtube.com/watch?v=WP2LcgMq-_8", "Video")</f>
        <v/>
      </c>
      <c r="B4251" t="inlineStr">
        <is>
          <t>8:56</t>
        </is>
      </c>
      <c r="C4251" t="inlineStr">
        <is>
          <t>bit more complicated in part two and</t>
        </is>
      </c>
      <c r="D4251">
        <f>HYPERLINK("https://www.youtube.com/watch?v=WP2LcgMq-_8&amp;t=536s", "Go to time")</f>
        <v/>
      </c>
    </row>
    <row r="4252">
      <c r="A4252">
        <f>HYPERLINK("https://www.youtube.com/watch?v=WP2LcgMq-_8", "Video")</f>
        <v/>
      </c>
      <c r="B4252" t="inlineStr">
        <is>
          <t>9:31</t>
        </is>
      </c>
      <c r="C4252" t="inlineStr">
        <is>
          <t>seven so we're getting a little bit more</t>
        </is>
      </c>
      <c r="D4252">
        <f>HYPERLINK("https://www.youtube.com/watch?v=WP2LcgMq-_8&amp;t=571s", "Go to time")</f>
        <v/>
      </c>
    </row>
    <row r="4253">
      <c r="A4253">
        <f>HYPERLINK("https://www.youtube.com/watch?v=WP2LcgMq-_8", "Video")</f>
        <v/>
      </c>
      <c r="B4253" t="inlineStr">
        <is>
          <t>10:31</t>
        </is>
      </c>
      <c r="C4253" t="inlineStr">
        <is>
          <t>three demands a bit more analysis</t>
        </is>
      </c>
      <c r="D4253">
        <f>HYPERLINK("https://www.youtube.com/watch?v=WP2LcgMq-_8&amp;t=631s", "Go to time")</f>
        <v/>
      </c>
    </row>
    <row r="4254">
      <c r="A4254">
        <f>HYPERLINK("https://www.youtube.com/watch?v=WP2LcgMq-_8", "Video")</f>
        <v/>
      </c>
      <c r="B4254" t="inlineStr">
        <is>
          <t>13:42</t>
        </is>
      </c>
      <c r="C4254" t="inlineStr">
        <is>
          <t>bit nervous but if you do that on exam</t>
        </is>
      </c>
      <c r="D4254">
        <f>HYPERLINK("https://www.youtube.com/watch?v=WP2LcgMq-_8&amp;t=822s", "Go to time")</f>
        <v/>
      </c>
    </row>
    <row r="4255">
      <c r="A4255">
        <f>HYPERLINK("https://www.youtube.com/watch?v=9nuZbYP4_sM", "Video")</f>
        <v/>
      </c>
      <c r="B4255" t="inlineStr">
        <is>
          <t>3:44</t>
        </is>
      </c>
      <c r="C4255" t="inlineStr">
        <is>
          <t>into the habit of asking yourself those</t>
        </is>
      </c>
      <c r="D4255">
        <f>HYPERLINK("https://www.youtube.com/watch?v=9nuZbYP4_sM&amp;t=224s", "Go to time")</f>
        <v/>
      </c>
    </row>
    <row r="4256">
      <c r="A4256">
        <f>HYPERLINK("https://www.youtube.com/watch?v=9nuZbYP4_sM", "Video")</f>
        <v/>
      </c>
      <c r="B4256" t="inlineStr">
        <is>
          <t>6:39</t>
        </is>
      </c>
      <c r="C4256" t="inlineStr">
        <is>
          <t>little bit outside the box by thinking</t>
        </is>
      </c>
      <c r="D4256">
        <f>HYPERLINK("https://www.youtube.com/watch?v=9nuZbYP4_sM&amp;t=399s", "Go to time")</f>
        <v/>
      </c>
    </row>
    <row r="4257">
      <c r="A4257">
        <f>HYPERLINK("https://www.youtube.com/watch?v=9nuZbYP4_sM", "Video")</f>
        <v/>
      </c>
      <c r="B4257" t="inlineStr">
        <is>
          <t>8:52</t>
        </is>
      </c>
      <c r="C4257" t="inlineStr">
        <is>
          <t>method you might take a little bit</t>
        </is>
      </c>
      <c r="D4257">
        <f>HYPERLINK("https://www.youtube.com/watch?v=9nuZbYP4_sM&amp;t=532s", "Go to time")</f>
        <v/>
      </c>
    </row>
    <row r="4258">
      <c r="A4258">
        <f>HYPERLINK("https://www.youtube.com/watch?v=9nuZbYP4_sM", "Video")</f>
        <v/>
      </c>
      <c r="B4258" t="inlineStr">
        <is>
          <t>8:59</t>
        </is>
      </c>
      <c r="C4258" t="inlineStr">
        <is>
          <t>bit longer but if you continue to</t>
        </is>
      </c>
      <c r="D4258">
        <f>HYPERLINK("https://www.youtube.com/watch?v=9nuZbYP4_sM&amp;t=539s", "Go to time")</f>
        <v/>
      </c>
    </row>
    <row r="4259">
      <c r="A4259">
        <f>HYPERLINK("https://www.youtube.com/watch?v=9nuZbYP4_sM", "Video")</f>
        <v/>
      </c>
      <c r="B4259" t="inlineStr">
        <is>
          <t>16:28</t>
        </is>
      </c>
      <c r="C4259" t="inlineStr">
        <is>
          <t>little bit for you here topic sentence</t>
        </is>
      </c>
      <c r="D4259">
        <f>HYPERLINK("https://www.youtube.com/watch?v=9nuZbYP4_sM&amp;t=988s", "Go to time")</f>
        <v/>
      </c>
    </row>
    <row r="4260">
      <c r="A4260">
        <f>HYPERLINK("https://www.youtube.com/watch?v=5HEmQahtJyY", "Video")</f>
        <v/>
      </c>
      <c r="B4260" t="inlineStr">
        <is>
          <t>16:44</t>
        </is>
      </c>
      <c r="C4260" t="inlineStr">
        <is>
          <t>have habits and you know same with</t>
        </is>
      </c>
      <c r="D4260">
        <f>HYPERLINK("https://www.youtube.com/watch?v=5HEmQahtJyY&amp;t=1004s", "Go to time")</f>
        <v/>
      </c>
    </row>
    <row r="4261">
      <c r="A4261">
        <f>HYPERLINK("https://www.youtube.com/watch?v=2Zp2uiu4ij8", "Video")</f>
        <v/>
      </c>
      <c r="B4261" t="inlineStr">
        <is>
          <t>7:51</t>
        </is>
      </c>
      <c r="C4261" t="inlineStr">
        <is>
          <t>technology for a little bit and we're</t>
        </is>
      </c>
      <c r="D4261">
        <f>HYPERLINK("https://www.youtube.com/watch?v=2Zp2uiu4ij8&amp;t=471s", "Go to time")</f>
        <v/>
      </c>
    </row>
    <row r="4262">
      <c r="A4262">
        <f>HYPERLINK("https://www.youtube.com/watch?v=2Zp2uiu4ij8", "Video")</f>
        <v/>
      </c>
      <c r="B4262" t="inlineStr">
        <is>
          <t>11:48</t>
        </is>
      </c>
      <c r="C4262" t="inlineStr">
        <is>
          <t>and give up a little bit of social</t>
        </is>
      </c>
      <c r="D4262">
        <f>HYPERLINK("https://www.youtube.com/watch?v=2Zp2uiu4ij8&amp;t=708s", "Go to time")</f>
        <v/>
      </c>
    </row>
    <row r="4263">
      <c r="A4263">
        <f>HYPERLINK("https://www.youtube.com/watch?v=2Zp2uiu4ij8", "Video")</f>
        <v/>
      </c>
      <c r="B4263" t="inlineStr">
        <is>
          <t>13:43</t>
        </is>
      </c>
      <c r="C4263" t="inlineStr">
        <is>
          <t>a little bit with writing at the minute</t>
        </is>
      </c>
      <c r="D4263">
        <f>HYPERLINK("https://www.youtube.com/watch?v=2Zp2uiu4ij8&amp;t=823s", "Go to time")</f>
        <v/>
      </c>
    </row>
    <row r="4264">
      <c r="A4264">
        <f>HYPERLINK("https://www.youtube.com/watch?v=2Zp2uiu4ij8", "Video")</f>
        <v/>
      </c>
      <c r="B4264" t="inlineStr">
        <is>
          <t>13:57</t>
        </is>
      </c>
      <c r="C4264" t="inlineStr">
        <is>
          <t>or they they just are a little bit</t>
        </is>
      </c>
      <c r="D4264">
        <f>HYPERLINK("https://www.youtube.com/watch?v=2Zp2uiu4ij8&amp;t=837s", "Go to time")</f>
        <v/>
      </c>
    </row>
    <row r="4265">
      <c r="A4265">
        <f>HYPERLINK("https://www.youtube.com/watch?v=2Zp2uiu4ij8", "Video")</f>
        <v/>
      </c>
      <c r="B4265" t="inlineStr">
        <is>
          <t>14:22</t>
        </is>
      </c>
      <c r="C4265" t="inlineStr">
        <is>
          <t>um where you were a little bit nervous</t>
        </is>
      </c>
      <c r="D4265">
        <f>HYPERLINK("https://www.youtube.com/watch?v=2Zp2uiu4ij8&amp;t=862s", "Go to time")</f>
        <v/>
      </c>
    </row>
    <row r="4266">
      <c r="A4266">
        <f>HYPERLINK("https://www.youtube.com/watch?v=2Zp2uiu4ij8", "Video")</f>
        <v/>
      </c>
      <c r="B4266" t="inlineStr">
        <is>
          <t>14:27</t>
        </is>
      </c>
      <c r="C4266" t="inlineStr">
        <is>
          <t>about work you were a little bit more</t>
        </is>
      </c>
      <c r="D4266">
        <f>HYPERLINK("https://www.youtube.com/watch?v=2Zp2uiu4ij8&amp;t=867s", "Go to time")</f>
        <v/>
      </c>
    </row>
    <row r="4267">
      <c r="A4267">
        <f>HYPERLINK("https://www.youtube.com/watch?v=2Zp2uiu4ij8", "Video")</f>
        <v/>
      </c>
      <c r="B4267" t="inlineStr">
        <is>
          <t>15:31</t>
        </is>
      </c>
      <c r="C4267" t="inlineStr">
        <is>
          <t>answers that were a little bit let's say</t>
        </is>
      </c>
      <c r="D4267">
        <f>HYPERLINK("https://www.youtube.com/watch?v=2Zp2uiu4ij8&amp;t=931s", "Go to time")</f>
        <v/>
      </c>
    </row>
    <row r="4268">
      <c r="A4268">
        <f>HYPERLINK("https://www.youtube.com/watch?v=2Zp2uiu4ij8", "Video")</f>
        <v/>
      </c>
      <c r="B4268" t="inlineStr">
        <is>
          <t>15:32</t>
        </is>
      </c>
      <c r="C4268" t="inlineStr">
        <is>
          <t>they were a little bit short fluency a</t>
        </is>
      </c>
      <c r="D4268">
        <f>HYPERLINK("https://www.youtube.com/watch?v=2Zp2uiu4ij8&amp;t=932s", "Go to time")</f>
        <v/>
      </c>
    </row>
    <row r="4269">
      <c r="A4269">
        <f>HYPERLINK("https://www.youtube.com/watch?v=2Zp2uiu4ij8", "Video")</f>
        <v/>
      </c>
      <c r="B4269" t="inlineStr">
        <is>
          <t>15:34</t>
        </is>
      </c>
      <c r="C4269" t="inlineStr">
        <is>
          <t>little bit hesitant they would never</t>
        </is>
      </c>
      <c r="D4269">
        <f>HYPERLINK("https://www.youtube.com/watch?v=2Zp2uiu4ij8&amp;t=934s", "Go to time")</f>
        <v/>
      </c>
    </row>
    <row r="4270">
      <c r="A4270">
        <f>HYPERLINK("https://www.youtube.com/watch?v=2Zp2uiu4ij8", "Video")</f>
        <v/>
      </c>
      <c r="B4270" t="inlineStr">
        <is>
          <t>16:19</t>
        </is>
      </c>
      <c r="C4270" t="inlineStr">
        <is>
          <t>you struggled with a little bit</t>
        </is>
      </c>
      <c r="D4270">
        <f>HYPERLINK("https://www.youtube.com/watch?v=2Zp2uiu4ij8&amp;t=979s", "Go to time")</f>
        <v/>
      </c>
    </row>
    <row r="4271">
      <c r="A4271">
        <f>HYPERLINK("https://www.youtube.com/watch?v=2Zp2uiu4ij8", "Video")</f>
        <v/>
      </c>
      <c r="B4271" t="inlineStr">
        <is>
          <t>18:51</t>
        </is>
      </c>
      <c r="C4271" t="inlineStr">
        <is>
          <t>versus hardware and go a little bit</t>
        </is>
      </c>
      <c r="D4271">
        <f>HYPERLINK("https://www.youtube.com/watch?v=2Zp2uiu4ij8&amp;t=1131s", "Go to time")</f>
        <v/>
      </c>
    </row>
    <row r="4272">
      <c r="A4272">
        <f>HYPERLINK("https://www.youtube.com/watch?v=2Zp2uiu4ij8", "Video")</f>
        <v/>
      </c>
      <c r="B4272" t="inlineStr">
        <is>
          <t>20:31</t>
        </is>
      </c>
      <c r="C4272" t="inlineStr">
        <is>
          <t>my main bit of advice to go deep on a</t>
        </is>
      </c>
      <c r="D4272">
        <f>HYPERLINK("https://www.youtube.com/watch?v=2Zp2uiu4ij8&amp;t=1231s", "Go to time")</f>
        <v/>
      </c>
    </row>
    <row r="4273">
      <c r="A4273">
        <f>HYPERLINK("https://www.youtube.com/watch?v=2Zp2uiu4ij8", "Video")</f>
        <v/>
      </c>
      <c r="B4273" t="inlineStr">
        <is>
          <t>24:10</t>
        </is>
      </c>
      <c r="C4273" t="inlineStr">
        <is>
          <t>in part three dropped a little bit in</t>
        </is>
      </c>
      <c r="D4273">
        <f>HYPERLINK("https://www.youtube.com/watch?v=2Zp2uiu4ij8&amp;t=1450s", "Go to time")</f>
        <v/>
      </c>
    </row>
    <row r="4274">
      <c r="A4274">
        <f>HYPERLINK("https://www.youtube.com/watch?v=2Zp2uiu4ij8", "Video")</f>
        <v/>
      </c>
      <c r="B4274" t="inlineStr">
        <is>
          <t>25:46</t>
        </is>
      </c>
      <c r="C4274" t="inlineStr">
        <is>
          <t>is something that you know a little bit</t>
        </is>
      </c>
      <c r="D4274">
        <f>HYPERLINK("https://www.youtube.com/watch?v=2Zp2uiu4ij8&amp;t=1546s", "Go to time")</f>
        <v/>
      </c>
    </row>
    <row r="4275">
      <c r="A4275">
        <f>HYPERLINK("https://www.youtube.com/watch?v=SMCwpfJMdMo", "Video")</f>
        <v/>
      </c>
      <c r="B4275" t="inlineStr">
        <is>
          <t>1:03</t>
        </is>
      </c>
      <c r="C4275" t="inlineStr">
        <is>
          <t>bit too simple for a band 7even eight</t>
        </is>
      </c>
      <c r="D4275">
        <f>HYPERLINK("https://www.youtube.com/watch?v=SMCwpfJMdMo&amp;t=63s", "Go to time")</f>
        <v/>
      </c>
    </row>
    <row r="4276">
      <c r="A4276">
        <f>HYPERLINK("https://www.youtube.com/watch?v=HouS9iKd8io", "Video")</f>
        <v/>
      </c>
      <c r="B4276" t="inlineStr">
        <is>
          <t>5:11</t>
        </is>
      </c>
      <c r="C4276" t="inlineStr">
        <is>
          <t>a little bit differently your goal here</t>
        </is>
      </c>
      <c r="D4276">
        <f>HYPERLINK("https://www.youtube.com/watch?v=HouS9iKd8io&amp;t=311s", "Go to time")</f>
        <v/>
      </c>
    </row>
    <row r="4277">
      <c r="A4277">
        <f>HYPERLINK("https://www.youtube.com/watch?v=9-E8VUGMiqA", "Video")</f>
        <v/>
      </c>
      <c r="B4277" t="inlineStr">
        <is>
          <t>4:28</t>
        </is>
      </c>
      <c r="C4277" t="inlineStr">
        <is>
          <t>If you get into the habit of
asking yourself those three</t>
        </is>
      </c>
      <c r="D4277">
        <f>HYPERLINK("https://www.youtube.com/watch?v=9-E8VUGMiqA&amp;t=268s", "Go to time")</f>
        <v/>
      </c>
    </row>
    <row r="4278">
      <c r="A4278">
        <f>HYPERLINK("https://www.youtube.com/watch?v=9-E8VUGMiqA", "Video")</f>
        <v/>
      </c>
      <c r="B4278" t="inlineStr">
        <is>
          <t>6:59</t>
        </is>
      </c>
      <c r="C4278" t="inlineStr">
        <is>
          <t>try and think a little bit
outside the box by thinking</t>
        </is>
      </c>
      <c r="D4278">
        <f>HYPERLINK("https://www.youtube.com/watch?v=9-E8VUGMiqA&amp;t=419s", "Go to time")</f>
        <v/>
      </c>
    </row>
    <row r="4279">
      <c r="A4279">
        <f>HYPERLINK("https://www.youtube.com/watch?v=9-E8VUGMiqA", "Video")</f>
        <v/>
      </c>
      <c r="B4279" t="inlineStr">
        <is>
          <t>10:03</t>
        </is>
      </c>
      <c r="C4279" t="inlineStr">
        <is>
          <t>And if you try this method,
you might take a little bit</t>
        </is>
      </c>
      <c r="D4279">
        <f>HYPERLINK("https://www.youtube.com/watch?v=9-E8VUGMiqA&amp;t=603s", "Go to time")</f>
        <v/>
      </c>
    </row>
    <row r="4280">
      <c r="A4280">
        <f>HYPERLINK("https://www.youtube.com/watch?v=9-E8VUGMiqA", "Video")</f>
        <v/>
      </c>
      <c r="B4280" t="inlineStr">
        <is>
          <t>10:10</t>
        </is>
      </c>
      <c r="C4280" t="inlineStr">
        <is>
          <t>it will take you a little bit longer.</t>
        </is>
      </c>
      <c r="D4280">
        <f>HYPERLINK("https://www.youtube.com/watch?v=9-E8VUGMiqA&amp;t=610s", "Go to time")</f>
        <v/>
      </c>
    </row>
    <row r="4281">
      <c r="A4281">
        <f>HYPERLINK("https://www.youtube.com/watch?v=9-E8VUGMiqA", "Video")</f>
        <v/>
      </c>
      <c r="B4281" t="inlineStr">
        <is>
          <t>17:16</t>
        </is>
      </c>
      <c r="C4281" t="inlineStr">
        <is>
          <t>bit for you here.</t>
        </is>
      </c>
      <c r="D4281">
        <f>HYPERLINK("https://www.youtube.com/watch?v=9-E8VUGMiqA&amp;t=1036s", "Go to time")</f>
        <v/>
      </c>
    </row>
    <row r="4282">
      <c r="A4282">
        <f>HYPERLINK("https://www.youtube.com/watch?v=5hAEajljN24", "Video")</f>
        <v/>
      </c>
      <c r="B4282" t="inlineStr">
        <is>
          <t>3:13</t>
        </is>
      </c>
      <c r="C4282" t="inlineStr">
        <is>
          <t>he developed bad habits and every time</t>
        </is>
      </c>
      <c r="D4282">
        <f>HYPERLINK("https://www.youtube.com/watch?v=5hAEajljN24&amp;t=193s", "Go to time")</f>
        <v/>
      </c>
    </row>
    <row r="4283">
      <c r="A4283">
        <f>HYPERLINK("https://www.youtube.com/watch?v=5hAEajljN24", "Video")</f>
        <v/>
      </c>
      <c r="B4283" t="inlineStr">
        <is>
          <t>3:18</t>
        </is>
      </c>
      <c r="C4283" t="inlineStr">
        <is>
          <t>these bad habits worse this is exactly</t>
        </is>
      </c>
      <c r="D4283">
        <f>HYPERLINK("https://www.youtube.com/watch?v=5hAEajljN24&amp;t=198s", "Go to time")</f>
        <v/>
      </c>
    </row>
    <row r="4284">
      <c r="A4284">
        <f>HYPERLINK("https://www.youtube.com/watch?v=5hAEajljN24", "Video")</f>
        <v/>
      </c>
      <c r="B4284" t="inlineStr">
        <is>
          <t>3:24</t>
        </is>
      </c>
      <c r="C4284" t="inlineStr">
        <is>
          <t>they have bad habits they're doing</t>
        </is>
      </c>
      <c r="D4284">
        <f>HYPERLINK("https://www.youtube.com/watch?v=5hAEajljN24&amp;t=204s", "Go to time")</f>
        <v/>
      </c>
    </row>
    <row r="4285">
      <c r="A4285">
        <f>HYPERLINK("https://www.youtube.com/watch?v=5hAEajljN24", "Video")</f>
        <v/>
      </c>
      <c r="B4285" t="inlineStr">
        <is>
          <t>7:39</t>
        </is>
      </c>
      <c r="C4285" t="inlineStr">
        <is>
          <t>and then you will speed up bit by bit by</t>
        </is>
      </c>
      <c r="D4285">
        <f>HYPERLINK("https://www.youtube.com/watch?v=5hAEajljN24&amp;t=459s", "Go to time")</f>
        <v/>
      </c>
    </row>
    <row r="4286">
      <c r="A4286">
        <f>HYPERLINK("https://www.youtube.com/watch?v=5hAEajljN24", "Video")</f>
        <v/>
      </c>
      <c r="B4286" t="inlineStr">
        <is>
          <t>7:42</t>
        </is>
      </c>
      <c r="C4286" t="inlineStr">
        <is>
          <t>bit but when you are establishing your</t>
        </is>
      </c>
      <c r="D4286">
        <f>HYPERLINK("https://www.youtube.com/watch?v=5hAEajljN24&amp;t=462s", "Go to time")</f>
        <v/>
      </c>
    </row>
    <row r="4287">
      <c r="A4287">
        <f>HYPERLINK("https://www.youtube.com/watch?v=sR4mnzJatOc", "Video")</f>
        <v/>
      </c>
      <c r="B4287" t="inlineStr">
        <is>
          <t>0:08</t>
        </is>
      </c>
      <c r="C4287" t="inlineStr">
        <is>
          <t>to add a little bit of a challenge in it</t>
        </is>
      </c>
      <c r="D4287">
        <f>HYPERLINK("https://www.youtube.com/watch?v=sR4mnzJatOc&amp;t=8s", "Go to time")</f>
        <v/>
      </c>
    </row>
    <row r="4288">
      <c r="A4288">
        <f>HYPERLINK("https://www.youtube.com/watch?v=sR4mnzJatOc", "Video")</f>
        <v/>
      </c>
      <c r="B4288" t="inlineStr">
        <is>
          <t>3:57</t>
        </is>
      </c>
      <c r="C4288" t="inlineStr">
        <is>
          <t>little bit of detail all right so we</t>
        </is>
      </c>
      <c r="D4288">
        <f>HYPERLINK("https://www.youtube.com/watch?v=sR4mnzJatOc&amp;t=237s", "Go to time")</f>
        <v/>
      </c>
    </row>
    <row r="4289">
      <c r="A4289">
        <f>HYPERLINK("https://www.youtube.com/watch?v=sR4mnzJatOc", "Video")</f>
        <v/>
      </c>
      <c r="B4289" t="inlineStr">
        <is>
          <t>7:06</t>
        </is>
      </c>
      <c r="C4289" t="inlineStr">
        <is>
          <t>them will be a little bit shorter some</t>
        </is>
      </c>
      <c r="D4289">
        <f>HYPERLINK("https://www.youtube.com/watch?v=sR4mnzJatOc&amp;t=426s", "Go to time")</f>
        <v/>
      </c>
    </row>
    <row r="4290">
      <c r="A4290">
        <f>HYPERLINK("https://www.youtube.com/watch?v=sR4mnzJatOc", "Video")</f>
        <v/>
      </c>
      <c r="B4290" t="inlineStr">
        <is>
          <t>7:08</t>
        </is>
      </c>
      <c r="C4290" t="inlineStr">
        <is>
          <t>of them will be a little bit longer but</t>
        </is>
      </c>
      <c r="D4290">
        <f>HYPERLINK("https://www.youtube.com/watch?v=sR4mnzJatOc&amp;t=428s", "Go to time")</f>
        <v/>
      </c>
    </row>
    <row r="4291">
      <c r="A4291">
        <f>HYPERLINK("https://www.youtube.com/watch?v=sR4mnzJatOc", "Video")</f>
        <v/>
      </c>
      <c r="B4291" t="inlineStr">
        <is>
          <t>8:15</t>
        </is>
      </c>
      <c r="C4291" t="inlineStr">
        <is>
          <t>add a little bit more in here what do</t>
        </is>
      </c>
      <c r="D4291">
        <f>HYPERLINK("https://www.youtube.com/watch?v=sR4mnzJatOc&amp;t=495s", "Go to time")</f>
        <v/>
      </c>
    </row>
    <row r="4292">
      <c r="A4292">
        <f>HYPERLINK("https://www.youtube.com/watch?v=sR4mnzJatOc", "Video")</f>
        <v/>
      </c>
      <c r="B4292" t="inlineStr">
        <is>
          <t>10:48</t>
        </is>
      </c>
      <c r="C4292" t="inlineStr">
        <is>
          <t>in a little bit more detail to help the</t>
        </is>
      </c>
      <c r="D4292">
        <f>HYPERLINK("https://www.youtube.com/watch?v=sR4mnzJatOc&amp;t=648s", "Go to time")</f>
        <v/>
      </c>
    </row>
    <row r="4293">
      <c r="A4293">
        <f>HYPERLINK("https://www.youtube.com/watch?v=sR4mnzJatOc", "Video")</f>
        <v/>
      </c>
      <c r="B4293" t="inlineStr">
        <is>
          <t>13:34</t>
        </is>
      </c>
      <c r="C4293" t="inlineStr">
        <is>
          <t>name cuz that'll look a bit weird Okay</t>
        </is>
      </c>
      <c r="D4293">
        <f>HYPERLINK("https://www.youtube.com/watch?v=sR4mnzJatOc&amp;t=814s", "Go to time")</f>
        <v/>
      </c>
    </row>
    <row r="4294">
      <c r="A4294">
        <f>HYPERLINK("https://www.youtube.com/watch?v=sR4mnzJatOc", "Video")</f>
        <v/>
      </c>
      <c r="B4294" t="inlineStr">
        <is>
          <t>15:10</t>
        </is>
      </c>
      <c r="C4294" t="inlineStr">
        <is>
          <t>it was a little bit more forgive me I'm</t>
        </is>
      </c>
      <c r="D4294">
        <f>HYPERLINK("https://www.youtube.com/watch?v=sR4mnzJatOc&amp;t=910s", "Go to time")</f>
        <v/>
      </c>
    </row>
    <row r="4295">
      <c r="A4295">
        <f>HYPERLINK("https://www.youtube.com/watch?v=OBNBe-c5ObA", "Video")</f>
        <v/>
      </c>
      <c r="B4295" t="inlineStr">
        <is>
          <t>0:39</t>
        </is>
      </c>
      <c r="C4295" t="inlineStr">
        <is>
          <t>so the first idiom is to bite the bullet</t>
        </is>
      </c>
      <c r="D4295">
        <f>HYPERLINK("https://www.youtube.com/watch?v=OBNBe-c5ObA&amp;t=39s", "Go to time")</f>
        <v/>
      </c>
    </row>
    <row r="4296">
      <c r="A4296">
        <f>HYPERLINK("https://www.youtube.com/watch?v=OBNBe-c5ObA", "Video")</f>
        <v/>
      </c>
      <c r="B4296" t="inlineStr">
        <is>
          <t>0:42</t>
        </is>
      </c>
      <c r="C4296" t="inlineStr">
        <is>
          <t>bite as in to bite something and a</t>
        </is>
      </c>
      <c r="D4296">
        <f>HYPERLINK("https://www.youtube.com/watch?v=OBNBe-c5ObA&amp;t=42s", "Go to time")</f>
        <v/>
      </c>
    </row>
    <row r="4297">
      <c r="A4297">
        <f>HYPERLINK("https://www.youtube.com/watch?v=OBNBe-c5ObA", "Video")</f>
        <v/>
      </c>
      <c r="B4297" t="inlineStr">
        <is>
          <t>0:47</t>
        </is>
      </c>
      <c r="C4297" t="inlineStr">
        <is>
          <t>to bite the bullet what to bite the</t>
        </is>
      </c>
      <c r="D4297">
        <f>HYPERLINK("https://www.youtube.com/watch?v=OBNBe-c5ObA&amp;t=47s", "Go to time")</f>
        <v/>
      </c>
    </row>
    <row r="4298">
      <c r="A4298">
        <f>HYPERLINK("https://www.youtube.com/watch?v=OBNBe-c5ObA", "Video")</f>
        <v/>
      </c>
      <c r="B4298" t="inlineStr">
        <is>
          <t>1:31</t>
        </is>
      </c>
      <c r="C4298" t="inlineStr">
        <is>
          <t>bite down on that bullet I don't know if</t>
        </is>
      </c>
      <c r="D4298">
        <f>HYPERLINK("https://www.youtube.com/watch?v=OBNBe-c5ObA&amp;t=91s", "Go to time")</f>
        <v/>
      </c>
    </row>
    <row r="4299">
      <c r="A4299">
        <f>HYPERLINK("https://www.youtube.com/watch?v=OBNBe-c5ObA", "Video")</f>
        <v/>
      </c>
      <c r="B4299" t="inlineStr">
        <is>
          <t>1:47</t>
        </is>
      </c>
      <c r="C4299" t="inlineStr">
        <is>
          <t>answer it and use to bite the bullet in</t>
        </is>
      </c>
      <c r="D4299">
        <f>HYPERLINK("https://www.youtube.com/watch?v=OBNBe-c5ObA&amp;t=107s", "Go to time")</f>
        <v/>
      </c>
    </row>
    <row r="4300">
      <c r="A4300">
        <f>HYPERLINK("https://www.youtube.com/watch?v=OBNBe-c5ObA", "Video")</f>
        <v/>
      </c>
      <c r="B4300" t="inlineStr">
        <is>
          <t>2:12</t>
        </is>
      </c>
      <c r="C4300" t="inlineStr">
        <is>
          <t>decided just to bite the bullet and</t>
        </is>
      </c>
      <c r="D4300">
        <f>HYPERLINK("https://www.youtube.com/watch?v=OBNBe-c5ObA&amp;t=132s", "Go to time")</f>
        <v/>
      </c>
    </row>
    <row r="4301">
      <c r="A4301">
        <f>HYPERLINK("https://www.youtube.com/watch?v=OBNBe-c5ObA", "Video")</f>
        <v/>
      </c>
      <c r="B4301" t="inlineStr">
        <is>
          <t>2:18</t>
        </is>
      </c>
      <c r="C4301" t="inlineStr">
        <is>
          <t>this idiom are to bite the bullet it's</t>
        </is>
      </c>
      <c r="D4301">
        <f>HYPERLINK("https://www.youtube.com/watch?v=OBNBe-c5ObA&amp;t=138s", "Go to time")</f>
        <v/>
      </c>
    </row>
    <row r="4302">
      <c r="A4302">
        <f>HYPERLINK("https://www.youtube.com/watch?v=OBNBe-c5ObA", "Video")</f>
        <v/>
      </c>
      <c r="B4302" t="inlineStr">
        <is>
          <t>2:21</t>
        </is>
      </c>
      <c r="C4302" t="inlineStr">
        <is>
          <t>normally to bite the bullet not bite the</t>
        </is>
      </c>
      <c r="D4302">
        <f>HYPERLINK("https://www.youtube.com/watch?v=OBNBe-c5ObA&amp;t=141s", "Go to time")</f>
        <v/>
      </c>
    </row>
    <row r="4303">
      <c r="A4303">
        <f>HYPERLINK("https://www.youtube.com/watch?v=OBNBe-c5ObA", "Video")</f>
        <v/>
      </c>
      <c r="B4303" t="inlineStr">
        <is>
          <t>2:23</t>
        </is>
      </c>
      <c r="C4303" t="inlineStr">
        <is>
          <t>bullet I decided to bite the bullet I</t>
        </is>
      </c>
      <c r="D4303">
        <f>HYPERLINK("https://www.youtube.com/watch?v=OBNBe-c5ObA&amp;t=143s", "Go to time")</f>
        <v/>
      </c>
    </row>
    <row r="4304">
      <c r="A4304">
        <f>HYPERLINK("https://www.youtube.com/watch?v=OBNBe-c5ObA", "Video")</f>
        <v/>
      </c>
      <c r="B4304" t="inlineStr">
        <is>
          <t>2:27</t>
        </is>
      </c>
      <c r="C4304" t="inlineStr">
        <is>
          <t>chose to bite the bullet and I had to</t>
        </is>
      </c>
      <c r="D4304">
        <f>HYPERLINK("https://www.youtube.com/watch?v=OBNBe-c5ObA&amp;t=147s", "Go to time")</f>
        <v/>
      </c>
    </row>
    <row r="4305">
      <c r="A4305">
        <f>HYPERLINK("https://www.youtube.com/watch?v=OBNBe-c5ObA", "Video")</f>
        <v/>
      </c>
      <c r="B4305" t="inlineStr">
        <is>
          <t>2:30</t>
        </is>
      </c>
      <c r="C4305" t="inlineStr">
        <is>
          <t>bite the bullet and the correct</t>
        </is>
      </c>
      <c r="D4305">
        <f>HYPERLINK("https://www.youtube.com/watch?v=OBNBe-c5ObA&amp;t=150s", "Go to time")</f>
        <v/>
      </c>
    </row>
    <row r="4306">
      <c r="A4306">
        <f>HYPERLINK("https://www.youtube.com/watch?v=OBNBe-c5ObA", "Video")</f>
        <v/>
      </c>
      <c r="B4306" t="inlineStr">
        <is>
          <t>2:34</t>
        </is>
      </c>
      <c r="C4306" t="inlineStr">
        <is>
          <t>emphasize bite bite the bullet not bite</t>
        </is>
      </c>
      <c r="D4306">
        <f>HYPERLINK("https://www.youtube.com/watch?v=OBNBe-c5ObA&amp;t=154s", "Go to time")</f>
        <v/>
      </c>
    </row>
    <row r="4307">
      <c r="A4307">
        <f>HYPERLINK("https://www.youtube.com/watch?v=OBNBe-c5ObA", "Video")</f>
        <v/>
      </c>
      <c r="B4307" t="inlineStr">
        <is>
          <t>7:18</t>
        </is>
      </c>
      <c r="C4307" t="inlineStr">
        <is>
          <t>bit but it was still a very nice gift</t>
        </is>
      </c>
      <c r="D4307">
        <f>HYPERLINK("https://www.youtube.com/watch?v=OBNBe-c5ObA&amp;t=438s", "Go to time")</f>
        <v/>
      </c>
    </row>
    <row r="4308">
      <c r="A4308">
        <f>HYPERLINK("https://www.youtube.com/watch?v=OBNBe-c5ObA", "Video")</f>
        <v/>
      </c>
      <c r="B4308" t="inlineStr">
        <is>
          <t>20:14</t>
        </is>
      </c>
      <c r="C4308" t="inlineStr">
        <is>
          <t>little bit of bread but my wife will</t>
        </is>
      </c>
      <c r="D4308">
        <f>HYPERLINK("https://www.youtube.com/watch?v=OBNBe-c5ObA&amp;t=1214s", "Go to time")</f>
        <v/>
      </c>
    </row>
    <row r="4309">
      <c r="A4309">
        <f>HYPERLINK("https://www.youtube.com/watch?v=OBNBe-c5ObA", "Video")</f>
        <v/>
      </c>
      <c r="B4309" t="inlineStr">
        <is>
          <t>20:45</t>
        </is>
      </c>
      <c r="C4309" t="inlineStr">
        <is>
          <t>to rain cats and dogs now there's a bit</t>
        </is>
      </c>
      <c r="D4309">
        <f>HYPERLINK("https://www.youtube.com/watch?v=OBNBe-c5ObA&amp;t=1245s", "Go to time")</f>
        <v/>
      </c>
    </row>
    <row r="4310">
      <c r="A4310">
        <f>HYPERLINK("https://www.youtube.com/watch?v=OBNBe-c5ObA", "Video")</f>
        <v/>
      </c>
      <c r="B4310" t="inlineStr">
        <is>
          <t>30:58</t>
        </is>
      </c>
      <c r="C4310" t="inlineStr">
        <is>
          <t>in the video if you don't watch this bit</t>
        </is>
      </c>
      <c r="D4310">
        <f>HYPERLINK("https://www.youtube.com/watch?v=OBNBe-c5ObA&amp;t=1858s", "Go to time")</f>
        <v/>
      </c>
    </row>
    <row r="4311">
      <c r="A4311">
        <f>HYPERLINK("https://www.youtube.com/watch?v=vLD_AphY10E", "Video")</f>
        <v/>
      </c>
      <c r="B4311" t="inlineStr">
        <is>
          <t>5:20</t>
        </is>
      </c>
      <c r="C4311" t="inlineStr">
        <is>
          <t>habit you really are giving your opinion</t>
        </is>
      </c>
      <c r="D4311">
        <f>HYPERLINK("https://www.youtube.com/watch?v=vLD_AphY10E&amp;t=320s", "Go to time")</f>
        <v/>
      </c>
    </row>
    <row r="4312">
      <c r="A4312">
        <f>HYPERLINK("https://www.youtube.com/watch?v=gnQZ4kov8tM", "Video")</f>
        <v/>
      </c>
      <c r="B4312" t="inlineStr">
        <is>
          <t>1:54</t>
        </is>
      </c>
      <c r="C4312" t="inlineStr">
        <is>
          <t>substantial is a little bit different to</t>
        </is>
      </c>
      <c r="D4312">
        <f>HYPERLINK("https://www.youtube.com/watch?v=gnQZ4kov8tM&amp;t=114s", "Go to time")</f>
        <v/>
      </c>
    </row>
    <row r="4313">
      <c r="A4313">
        <f>HYPERLINK("https://www.youtube.com/watch?v=OtmUQwPVLko", "Video")</f>
        <v/>
      </c>
      <c r="B4313" t="inlineStr">
        <is>
          <t>2:50</t>
        </is>
      </c>
      <c r="C4313" t="inlineStr">
        <is>
          <t>section section two gets a little bit</t>
        </is>
      </c>
      <c r="D4313">
        <f>HYPERLINK("https://www.youtube.com/watch?v=OtmUQwPVLko&amp;t=170s", "Go to time")</f>
        <v/>
      </c>
    </row>
    <row r="4314">
      <c r="A4314">
        <f>HYPERLINK("https://www.youtube.com/watch?v=OtmUQwPVLko", "Video")</f>
        <v/>
      </c>
      <c r="B4314" t="inlineStr">
        <is>
          <t>39:38</t>
        </is>
      </c>
      <c r="C4314" t="inlineStr">
        <is>
          <t>might be a little bit tricky in 2023 but</t>
        </is>
      </c>
      <c r="D4314">
        <f>HYPERLINK("https://www.youtube.com/watch?v=OtmUQwPVLko&amp;t=2378s", "Go to time")</f>
        <v/>
      </c>
    </row>
    <row r="4315">
      <c r="A4315">
        <f>HYPERLINK("https://www.youtube.com/watch?v=OtmUQwPVLko", "Video")</f>
        <v/>
      </c>
      <c r="B4315" t="inlineStr">
        <is>
          <t>42:24</t>
        </is>
      </c>
      <c r="C4315" t="inlineStr">
        <is>
          <t>reading a little bit too much what they</t>
        </is>
      </c>
      <c r="D4315">
        <f>HYPERLINK("https://www.youtube.com/watch?v=OtmUQwPVLko&amp;t=2544s", "Go to time")</f>
        <v/>
      </c>
    </row>
    <row r="4316">
      <c r="A4316">
        <f>HYPERLINK("https://www.youtube.com/watch?v=OtmUQwPVLko", "Video")</f>
        <v/>
      </c>
      <c r="B4316" t="inlineStr">
        <is>
          <t>73:42</t>
        </is>
      </c>
      <c r="C4316" t="inlineStr">
        <is>
          <t>Photosphere is actually the bit below</t>
        </is>
      </c>
      <c r="D4316">
        <f>HYPERLINK("https://www.youtube.com/watch?v=OtmUQwPVLko&amp;t=4422s", "Go to time")</f>
        <v/>
      </c>
    </row>
    <row r="4317">
      <c r="A4317">
        <f>HYPERLINK("https://www.youtube.com/watch?v=OtmUQwPVLko", "Video")</f>
        <v/>
      </c>
      <c r="B4317" t="inlineStr">
        <is>
          <t>75:00</t>
        </is>
      </c>
      <c r="C4317" t="inlineStr">
        <is>
          <t>this bit outside of the Sun or around</t>
        </is>
      </c>
      <c r="D4317">
        <f>HYPERLINK("https://www.youtube.com/watch?v=OtmUQwPVLko&amp;t=4500s", "Go to time")</f>
        <v/>
      </c>
    </row>
    <row r="4318">
      <c r="A4318">
        <f>HYPERLINK("https://www.youtube.com/watch?v=OtmUQwPVLko", "Video")</f>
        <v/>
      </c>
      <c r="B4318" t="inlineStr">
        <is>
          <t>77:15</t>
        </is>
      </c>
      <c r="C4318" t="inlineStr">
        <is>
          <t>core and a little bit further out the</t>
        </is>
      </c>
      <c r="D4318">
        <f>HYPERLINK("https://www.youtube.com/watch?v=OtmUQwPVLko&amp;t=4635s", "Go to time")</f>
        <v/>
      </c>
    </row>
    <row r="4319">
      <c r="A4319">
        <f>HYPERLINK("https://www.youtube.com/watch?v=OtmUQwPVLko", "Video")</f>
        <v/>
      </c>
      <c r="B4319" t="inlineStr">
        <is>
          <t>77:18</t>
        </is>
      </c>
      <c r="C4319" t="inlineStr">
        <is>
          <t>radiated Zone and then a little bit</t>
        </is>
      </c>
      <c r="D4319">
        <f>HYPERLINK("https://www.youtube.com/watch?v=OtmUQwPVLko&amp;t=4638s", "Go to time")</f>
        <v/>
      </c>
    </row>
    <row r="4320">
      <c r="A4320">
        <f>HYPERLINK("https://www.youtube.com/watch?v=OtmUQwPVLko", "Video")</f>
        <v/>
      </c>
      <c r="B4320" t="inlineStr">
        <is>
          <t>77:34</t>
        </is>
      </c>
      <c r="C4320" t="inlineStr">
        <is>
          <t>little bit more detail this is the</t>
        </is>
      </c>
      <c r="D4320">
        <f>HYPERLINK("https://www.youtube.com/watch?v=OtmUQwPVLko&amp;t=4654s", "Go to time")</f>
        <v/>
      </c>
    </row>
    <row r="4321">
      <c r="A4321">
        <f>HYPERLINK("https://www.youtube.com/watch?v=OtmUQwPVLko", "Video")</f>
        <v/>
      </c>
      <c r="B4321" t="inlineStr">
        <is>
          <t>97:29</t>
        </is>
      </c>
      <c r="C4321" t="inlineStr">
        <is>
          <t>we'll do is we will act a little bit</t>
        </is>
      </c>
      <c r="D4321">
        <f>HYPERLINK("https://www.youtube.com/watch?v=OtmUQwPVLko&amp;t=5849s", "Go to time")</f>
        <v/>
      </c>
    </row>
    <row r="4322">
      <c r="A4322">
        <f>HYPERLINK("https://www.youtube.com/watch?v=OtmUQwPVLko", "Video")</f>
        <v/>
      </c>
      <c r="B4322" t="inlineStr">
        <is>
          <t>107:43</t>
        </is>
      </c>
      <c r="C4322" t="inlineStr">
        <is>
          <t>so we need to read carefully the bit</t>
        </is>
      </c>
      <c r="D4322">
        <f>HYPERLINK("https://www.youtube.com/watch?v=OtmUQwPVLko&amp;t=6463s", "Go to time")</f>
        <v/>
      </c>
    </row>
    <row r="4323">
      <c r="A4323">
        <f>HYPERLINK("https://www.youtube.com/watch?v=OtmUQwPVLko", "Video")</f>
        <v/>
      </c>
      <c r="B4323" t="inlineStr">
        <is>
          <t>114:30</t>
        </is>
      </c>
      <c r="C4323" t="inlineStr">
        <is>
          <t>Spain's Imperial Ambitions began so the</t>
        </is>
      </c>
      <c r="D4323">
        <f>HYPERLINK("https://www.youtube.com/watch?v=OtmUQwPVLko&amp;t=6870s", "Go to time")</f>
        <v/>
      </c>
    </row>
    <row r="4324">
      <c r="A4324">
        <f>HYPERLINK("https://www.youtube.com/watch?v=OtmUQwPVLko", "Video")</f>
        <v/>
      </c>
      <c r="B4324" t="inlineStr">
        <is>
          <t>114:45</t>
        </is>
      </c>
      <c r="C4324" t="inlineStr">
        <is>
          <t>High Spain's imperialist Ambitions the</t>
        </is>
      </c>
      <c r="D4324">
        <f>HYPERLINK("https://www.youtube.com/watch?v=OtmUQwPVLko&amp;t=6885s", "Go to time")</f>
        <v/>
      </c>
    </row>
    <row r="4325">
      <c r="A4325">
        <f>HYPERLINK("https://www.youtube.com/watch?v=OtmUQwPVLko", "Video")</f>
        <v/>
      </c>
      <c r="B4325" t="inlineStr">
        <is>
          <t>117:09</t>
        </is>
      </c>
      <c r="C4325" t="inlineStr">
        <is>
          <t>let's narrow it down a little bit by</t>
        </is>
      </c>
      <c r="D4325">
        <f>HYPERLINK("https://www.youtube.com/watch?v=OtmUQwPVLko&amp;t=7029s", "Go to time")</f>
        <v/>
      </c>
    </row>
    <row r="4326">
      <c r="A4326">
        <f>HYPERLINK("https://www.youtube.com/watch?v=_Bfh5HVh0js", "Video")</f>
        <v/>
      </c>
      <c r="B4326" t="inlineStr">
        <is>
          <t>7:35</t>
        </is>
      </c>
      <c r="C4326" t="inlineStr">
        <is>
          <t>bit confusing and overwhelming so what</t>
        </is>
      </c>
      <c r="D4326">
        <f>HYPERLINK("https://www.youtube.com/watch?v=_Bfh5HVh0js&amp;t=455s", "Go to time")</f>
        <v/>
      </c>
    </row>
    <row r="4327">
      <c r="A4327">
        <f>HYPERLINK("https://www.youtube.com/watch?v=_Bfh5HVh0js", "Video")</f>
        <v/>
      </c>
      <c r="B4327" t="inlineStr">
        <is>
          <t>11:01</t>
        </is>
      </c>
      <c r="C4327" t="inlineStr">
        <is>
          <t>little bit of knowledge and would they</t>
        </is>
      </c>
      <c r="D4327">
        <f>HYPERLINK("https://www.youtube.com/watch?v=_Bfh5HVh0js&amp;t=661s", "Go to time")</f>
        <v/>
      </c>
    </row>
    <row r="4328">
      <c r="A4328">
        <f>HYPERLINK("https://www.youtube.com/watch?v=_Bfh5HVh0js", "Video")</f>
        <v/>
      </c>
      <c r="B4328" t="inlineStr">
        <is>
          <t>11:08</t>
        </is>
      </c>
      <c r="C4328" t="inlineStr">
        <is>
          <t>words is a dangerous thing a little bit</t>
        </is>
      </c>
      <c r="D4328">
        <f>HYPERLINK("https://www.youtube.com/watch?v=_Bfh5HVh0js&amp;t=668s", "Go to time")</f>
        <v/>
      </c>
    </row>
    <row r="4329">
      <c r="A4329">
        <f>HYPERLINK("https://www.youtube.com/watch?v=_Bfh5HVh0js", "Video")</f>
        <v/>
      </c>
      <c r="B4329" t="inlineStr">
        <is>
          <t>26:49</t>
        </is>
      </c>
      <c r="C4329" t="inlineStr">
        <is>
          <t>bit um in on task to so what I'm reading</t>
        </is>
      </c>
      <c r="D4329">
        <f>HYPERLINK("https://www.youtube.com/watch?v=_Bfh5HVh0js&amp;t=1609s", "Go to time")</f>
        <v/>
      </c>
    </row>
    <row r="4330">
      <c r="A4330">
        <f>HYPERLINK("https://www.youtube.com/watch?v=_Bfh5HVh0js", "Video")</f>
        <v/>
      </c>
      <c r="B4330" t="inlineStr">
        <is>
          <t>27:00</t>
        </is>
      </c>
      <c r="C4330" t="inlineStr">
        <is>
          <t>words or words that seem a little bit</t>
        </is>
      </c>
      <c r="D4330">
        <f>HYPERLINK("https://www.youtube.com/watch?v=_Bfh5HVh0js&amp;t=1620s", "Go to time")</f>
        <v/>
      </c>
    </row>
    <row r="4331">
      <c r="A4331">
        <f>HYPERLINK("https://www.youtube.com/watch?v=_Bfh5HVh0js", "Video")</f>
        <v/>
      </c>
      <c r="B4331" t="inlineStr">
        <is>
          <t>27:11</t>
        </is>
      </c>
      <c r="C4331" t="inlineStr">
        <is>
          <t>seems a little bit strange commercial</t>
        </is>
      </c>
      <c r="D4331">
        <f>HYPERLINK("https://www.youtube.com/watch?v=_Bfh5HVh0js&amp;t=1631s", "Go to time")</f>
        <v/>
      </c>
    </row>
    <row r="4332">
      <c r="A4332">
        <f>HYPERLINK("https://www.youtube.com/watch?v=_Bfh5HVh0js", "Video")</f>
        <v/>
      </c>
      <c r="B4332" t="inlineStr">
        <is>
          <t>33:35</t>
        </is>
      </c>
      <c r="C4332" t="inlineStr">
        <is>
          <t>this a habit all right so make it like</t>
        </is>
      </c>
      <c r="D4332">
        <f>HYPERLINK("https://www.youtube.com/watch?v=_Bfh5HVh0js&amp;t=2015s", "Go to time")</f>
        <v/>
      </c>
    </row>
    <row r="4333">
      <c r="A4333">
        <f>HYPERLINK("https://www.youtube.com/watch?v=_Bfh5HVh0js", "Video")</f>
        <v/>
      </c>
      <c r="B4333" t="inlineStr">
        <is>
          <t>54:10</t>
        </is>
      </c>
      <c r="C4333" t="inlineStr">
        <is>
          <t>little bit more difficult but as you can</t>
        </is>
      </c>
      <c r="D4333">
        <f>HYPERLINK("https://www.youtube.com/watch?v=_Bfh5HVh0js&amp;t=3250s", "Go to time")</f>
        <v/>
      </c>
    </row>
    <row r="4334">
      <c r="A4334">
        <f>HYPERLINK("https://www.youtube.com/watch?v=qHH7rfC_f5k", "Video")</f>
        <v/>
      </c>
      <c r="B4334" t="inlineStr">
        <is>
          <t>1:54</t>
        </is>
      </c>
      <c r="C4334" t="inlineStr">
        <is>
          <t>ambitions and fulfilling social or</t>
        </is>
      </c>
      <c r="D4334">
        <f>HYPERLINK("https://www.youtube.com/watch?v=qHH7rfC_f5k&amp;t=114s", "Go to time")</f>
        <v/>
      </c>
    </row>
    <row r="4335">
      <c r="A4335">
        <f>HYPERLINK("https://www.youtube.com/watch?v=qHH7rfC_f5k", "Video")</f>
        <v/>
      </c>
      <c r="B4335" t="inlineStr">
        <is>
          <t>2:08</t>
        </is>
      </c>
      <c r="C4335" t="inlineStr">
        <is>
          <t>ambitions and fulfilling social or</t>
        </is>
      </c>
      <c r="D4335">
        <f>HYPERLINK("https://www.youtube.com/watch?v=qHH7rfC_f5k&amp;t=128s", "Go to time")</f>
        <v/>
      </c>
    </row>
    <row r="4336">
      <c r="A4336">
        <f>HYPERLINK("https://www.youtube.com/watch?v=qHH7rfC_f5k", "Video")</f>
        <v/>
      </c>
      <c r="B4336" t="inlineStr">
        <is>
          <t>2:16</t>
        </is>
      </c>
      <c r="C4336" t="inlineStr">
        <is>
          <t>have a lot of personal ambitions but my</t>
        </is>
      </c>
      <c r="D4336">
        <f>HYPERLINK("https://www.youtube.com/watch?v=qHH7rfC_f5k&amp;t=136s", "Go to time")</f>
        <v/>
      </c>
    </row>
    <row r="4337">
      <c r="A4337">
        <f>HYPERLINK("https://www.youtube.com/watch?v=qHH7rfC_f5k", "Video")</f>
        <v/>
      </c>
      <c r="B4337" t="inlineStr">
        <is>
          <t>2:19</t>
        </is>
      </c>
      <c r="C4337" t="inlineStr">
        <is>
          <t>biggest personal ambition probably</t>
        </is>
      </c>
      <c r="D4337">
        <f>HYPERLINK("https://www.youtube.com/watch?v=qHH7rfC_f5k&amp;t=139s", "Go to time")</f>
        <v/>
      </c>
    </row>
    <row r="4338">
      <c r="A4338">
        <f>HYPERLINK("https://www.youtube.com/watch?v=qHH7rfC_f5k", "Video")</f>
        <v/>
      </c>
      <c r="B4338" t="inlineStr">
        <is>
          <t>8:22</t>
        </is>
      </c>
      <c r="C4338" t="inlineStr">
        <is>
          <t>then that gives me that little bit of</t>
        </is>
      </c>
      <c r="D4338">
        <f>HYPERLINK("https://www.youtube.com/watch?v=qHH7rfC_f5k&amp;t=502s", "Go to time")</f>
        <v/>
      </c>
    </row>
    <row r="4339">
      <c r="A4339">
        <f>HYPERLINK("https://www.youtube.com/watch?v=qHH7rfC_f5k", "Video")</f>
        <v/>
      </c>
      <c r="B4339" t="inlineStr">
        <is>
          <t>13:26</t>
        </is>
      </c>
      <c r="C4339" t="inlineStr">
        <is>
          <t>little bit healthier in the future. So,</t>
        </is>
      </c>
      <c r="D4339">
        <f>HYPERLINK("https://www.youtube.com/watch?v=qHH7rfC_f5k&amp;t=806s", "Go to time")</f>
        <v/>
      </c>
    </row>
    <row r="4340">
      <c r="A4340">
        <f>HYPERLINK("https://www.youtube.com/watch?v=1IVFRWCpNxE", "Video")</f>
        <v/>
      </c>
      <c r="B4340" t="inlineStr">
        <is>
          <t>4:52</t>
        </is>
      </c>
      <c r="C4340" t="inlineStr">
        <is>
          <t>little bit more detail so we could talk</t>
        </is>
      </c>
      <c r="D4340">
        <f>HYPERLINK("https://www.youtube.com/watch?v=1IVFRWCpNxE&amp;t=292s", "Go to time")</f>
        <v/>
      </c>
    </row>
    <row r="4341">
      <c r="A4341">
        <f>HYPERLINK("https://www.youtube.com/watch?v=1IVFRWCpNxE", "Video")</f>
        <v/>
      </c>
      <c r="B4341" t="inlineStr">
        <is>
          <t>8:52</t>
        </is>
      </c>
      <c r="C4341" t="inlineStr">
        <is>
          <t>this question a little bit just for</t>
        </is>
      </c>
      <c r="D4341">
        <f>HYPERLINK("https://www.youtube.com/watch?v=1IVFRWCpNxE&amp;t=532s", "Go to time")</f>
        <v/>
      </c>
    </row>
    <row r="4342">
      <c r="A4342">
        <f>HYPERLINK("https://www.youtube.com/watch?v=jWxeXGyP7-g", "Video")</f>
        <v/>
      </c>
      <c r="B4342" t="inlineStr">
        <is>
          <t>1:35</t>
        </is>
      </c>
      <c r="C4342" t="inlineStr">
        <is>
          <t>be doing is doing a little bit of work</t>
        </is>
      </c>
      <c r="D4342">
        <f>HYPERLINK("https://www.youtube.com/watch?v=jWxeXGyP7-g&amp;t=95s", "Go to time")</f>
        <v/>
      </c>
    </row>
    <row r="4343">
      <c r="A4343">
        <f>HYPERLINK("https://www.youtube.com/watch?v=jWxeXGyP7-g", "Video")</f>
        <v/>
      </c>
      <c r="B4343" t="inlineStr">
        <is>
          <t>2:05</t>
        </is>
      </c>
      <c r="C4343" t="inlineStr">
        <is>
          <t>bad habits and you wouldn't really learn</t>
        </is>
      </c>
      <c r="D4343">
        <f>HYPERLINK("https://www.youtube.com/watch?v=jWxeXGyP7-g&amp;t=125s", "Go to time")</f>
        <v/>
      </c>
    </row>
    <row r="4344">
      <c r="A4344">
        <f>HYPERLINK("https://www.youtube.com/watch?v=xGtKdsVxV8A", "Video")</f>
        <v/>
      </c>
      <c r="B4344" t="inlineStr">
        <is>
          <t>2:16</t>
        </is>
      </c>
      <c r="C4344" t="inlineStr">
        <is>
          <t>you're learning lots of bad habits but</t>
        </is>
      </c>
      <c r="D4344">
        <f>HYPERLINK("https://www.youtube.com/watch?v=xGtKdsVxV8A&amp;t=136s", "Go to time")</f>
        <v/>
      </c>
    </row>
    <row r="4345">
      <c r="A4345">
        <f>HYPERLINK("https://www.youtube.com/watch?v=xGtKdsVxV8A", "Video")</f>
        <v/>
      </c>
      <c r="B4345" t="inlineStr">
        <is>
          <t>12:34</t>
        </is>
      </c>
      <c r="C4345" t="inlineStr">
        <is>
          <t>little bit more again you're not looking</t>
        </is>
      </c>
      <c r="D4345">
        <f>HYPERLINK("https://www.youtube.com/watch?v=xGtKdsVxV8A&amp;t=754s", "Go to time")</f>
        <v/>
      </c>
    </row>
    <row r="4346">
      <c r="A4346">
        <f>HYPERLINK("https://www.youtube.com/watch?v=xGtKdsVxV8A", "Video")</f>
        <v/>
      </c>
      <c r="B4346" t="inlineStr">
        <is>
          <t>25:31</t>
        </is>
      </c>
      <c r="C4346" t="inlineStr">
        <is>
          <t>that need a little bit of work and then</t>
        </is>
      </c>
      <c r="D4346">
        <f>HYPERLINK("https://www.youtube.com/watch?v=xGtKdsVxV8A&amp;t=1531s", "Go to time")</f>
        <v/>
      </c>
    </row>
    <row r="4347">
      <c r="A4347">
        <f>HYPERLINK("https://www.youtube.com/watch?v=xGtKdsVxV8A", "Video")</f>
        <v/>
      </c>
      <c r="B4347" t="inlineStr">
        <is>
          <t>31:07</t>
        </is>
      </c>
      <c r="C4347" t="inlineStr">
        <is>
          <t>getting a little bit more um popular and</t>
        </is>
      </c>
      <c r="D4347">
        <f>HYPERLINK("https://www.youtube.com/watch?v=xGtKdsVxV8A&amp;t=1867s", "Go to time")</f>
        <v/>
      </c>
    </row>
    <row r="4348">
      <c r="A4348">
        <f>HYPERLINK("https://www.youtube.com/watch?v=xGtKdsVxV8A", "Video")</f>
        <v/>
      </c>
      <c r="B4348" t="inlineStr">
        <is>
          <t>35:00</t>
        </is>
      </c>
      <c r="C4348" t="inlineStr">
        <is>
          <t>going to be a bit of a</t>
        </is>
      </c>
      <c r="D4348">
        <f>HYPERLINK("https://www.youtube.com/watch?v=xGtKdsVxV8A&amp;t=2100s", "Go to time")</f>
        <v/>
      </c>
    </row>
    <row r="4349">
      <c r="A4349">
        <f>HYPERLINK("https://www.youtube.com/watch?v=xGtKdsVxV8A", "Video")</f>
        <v/>
      </c>
      <c r="B4349" t="inlineStr">
        <is>
          <t>37:47</t>
        </is>
      </c>
      <c r="C4349" t="inlineStr">
        <is>
          <t>bit deeper and think about what the</t>
        </is>
      </c>
      <c r="D4349">
        <f>HYPERLINK("https://www.youtube.com/watch?v=xGtKdsVxV8A&amp;t=2267s", "Go to time")</f>
        <v/>
      </c>
    </row>
    <row r="4350">
      <c r="A4350">
        <f>HYPERLINK("https://www.youtube.com/watch?v=xGtKdsVxV8A", "Video")</f>
        <v/>
      </c>
      <c r="B4350" t="inlineStr">
        <is>
          <t>38:18</t>
        </is>
      </c>
      <c r="C4350" t="inlineStr">
        <is>
          <t>little bit deeper what the specific um</t>
        </is>
      </c>
      <c r="D4350">
        <f>HYPERLINK("https://www.youtube.com/watch?v=xGtKdsVxV8A&amp;t=2298s", "Go to time")</f>
        <v/>
      </c>
    </row>
    <row r="4351">
      <c r="A4351">
        <f>HYPERLINK("https://www.youtube.com/watch?v=xGtKdsVxV8A", "Video")</f>
        <v/>
      </c>
      <c r="B4351" t="inlineStr">
        <is>
          <t>49:14</t>
        </is>
      </c>
      <c r="C4351" t="inlineStr">
        <is>
          <t>little bit more this really does work</t>
        </is>
      </c>
      <c r="D4351">
        <f>HYPERLINK("https://www.youtube.com/watch?v=xGtKdsVxV8A&amp;t=2954s", "Go to time")</f>
        <v/>
      </c>
    </row>
    <row r="4352">
      <c r="A4352">
        <f>HYPERLINK("https://www.youtube.com/watch?v=xGtKdsVxV8A", "Video")</f>
        <v/>
      </c>
      <c r="B4352" t="inlineStr">
        <is>
          <t>51:46</t>
        </is>
      </c>
      <c r="C4352" t="inlineStr">
        <is>
          <t>them take a bit longer but I hope that</t>
        </is>
      </c>
      <c r="D4352">
        <f>HYPERLINK("https://www.youtube.com/watch?v=xGtKdsVxV8A&amp;t=3106s", "Go to time")</f>
        <v/>
      </c>
    </row>
    <row r="4353">
      <c r="A4353">
        <f>HYPERLINK("https://www.youtube.com/watch?v=xGtKdsVxV8A", "Video")</f>
        <v/>
      </c>
      <c r="B4353" t="inlineStr">
        <is>
          <t>55:10</t>
        </is>
      </c>
      <c r="C4353" t="inlineStr">
        <is>
          <t>you need to go a little bit farther and</t>
        </is>
      </c>
      <c r="D4353">
        <f>HYPERLINK("https://www.youtube.com/watch?v=xGtKdsVxV8A&amp;t=3310s", "Go to time")</f>
        <v/>
      </c>
    </row>
    <row r="4354">
      <c r="A4354">
        <f>HYPERLINK("https://www.youtube.com/watch?v=xGtKdsVxV8A", "Video")</f>
        <v/>
      </c>
      <c r="B4354" t="inlineStr">
        <is>
          <t>62:41</t>
        </is>
      </c>
      <c r="C4354" t="inlineStr">
        <is>
          <t>structure a little bit so most of the</t>
        </is>
      </c>
      <c r="D4354">
        <f>HYPERLINK("https://www.youtube.com/watch?v=xGtKdsVxV8A&amp;t=3761s", "Go to time")</f>
        <v/>
      </c>
    </row>
    <row r="4355">
      <c r="A4355">
        <f>HYPERLINK("https://www.youtube.com/watch?v=xGtKdsVxV8A", "Video")</f>
        <v/>
      </c>
      <c r="B4355" t="inlineStr">
        <is>
          <t>87:09</t>
        </is>
      </c>
      <c r="C4355" t="inlineStr">
        <is>
          <t>so let's review lesson one a little bit</t>
        </is>
      </c>
      <c r="D4355">
        <f>HYPERLINK("https://www.youtube.com/watch?v=xGtKdsVxV8A&amp;t=5229s", "Go to time")</f>
        <v/>
      </c>
    </row>
    <row r="4356">
      <c r="A4356">
        <f>HYPERLINK("https://www.youtube.com/watch?v=xGtKdsVxV8A", "Video")</f>
        <v/>
      </c>
      <c r="B4356" t="inlineStr">
        <is>
          <t>88:07</t>
        </is>
      </c>
      <c r="C4356" t="inlineStr">
        <is>
          <t>work so if we break it down um the bit</t>
        </is>
      </c>
      <c r="D4356">
        <f>HYPERLINK("https://www.youtube.com/watch?v=xGtKdsVxV8A&amp;t=5287s", "Go to time")</f>
        <v/>
      </c>
    </row>
    <row r="4357">
      <c r="A4357">
        <f>HYPERLINK("https://www.youtube.com/watch?v=xGtKdsVxV8A", "Video")</f>
        <v/>
      </c>
      <c r="B4357" t="inlineStr">
        <is>
          <t>88:14</t>
        </is>
      </c>
      <c r="C4357" t="inlineStr">
        <is>
          <t>the two bits here these are our two main</t>
        </is>
      </c>
      <c r="D4357">
        <f>HYPERLINK("https://www.youtube.com/watch?v=xGtKdsVxV8A&amp;t=5294s", "Go to time")</f>
        <v/>
      </c>
    </row>
    <row r="4358">
      <c r="A4358">
        <f>HYPERLINK("https://www.youtube.com/watch?v=xGtKdsVxV8A", "Video")</f>
        <v/>
      </c>
      <c r="B4358" t="inlineStr">
        <is>
          <t>111:25</t>
        </is>
      </c>
      <c r="C4358" t="inlineStr">
        <is>
          <t>a little bit overwhelmed um at the</t>
        </is>
      </c>
      <c r="D4358">
        <f>HYPERLINK("https://www.youtube.com/watch?v=xGtKdsVxV8A&amp;t=6685s", "Go to time")</f>
        <v/>
      </c>
    </row>
    <row r="4359">
      <c r="A4359">
        <f>HYPERLINK("https://www.youtube.com/watch?v=xGtKdsVxV8A", "Video")</f>
        <v/>
      </c>
      <c r="B4359" t="inlineStr">
        <is>
          <t>114:10</t>
        </is>
      </c>
      <c r="C4359" t="inlineStr">
        <is>
          <t>Tesla cars I read about them quite a bit</t>
        </is>
      </c>
      <c r="D4359">
        <f>HYPERLINK("https://www.youtube.com/watch?v=xGtKdsVxV8A&amp;t=6850s", "Go to time")</f>
        <v/>
      </c>
    </row>
    <row r="4360">
      <c r="A4360">
        <f>HYPERLINK("https://www.youtube.com/watch?v=xGtKdsVxV8A", "Video")</f>
        <v/>
      </c>
      <c r="B4360" t="inlineStr">
        <is>
          <t>118:55</t>
        </is>
      </c>
      <c r="C4360" t="inlineStr">
        <is>
          <t>you wanted to add a little bit of</t>
        </is>
      </c>
      <c r="D4360">
        <f>HYPERLINK("https://www.youtube.com/watch?v=xGtKdsVxV8A&amp;t=7135s", "Go to time")</f>
        <v/>
      </c>
    </row>
    <row r="4361">
      <c r="A4361">
        <f>HYPERLINK("https://www.youtube.com/watch?v=xGtKdsVxV8A", "Video")</f>
        <v/>
      </c>
      <c r="B4361" t="inlineStr">
        <is>
          <t>121:59</t>
        </is>
      </c>
      <c r="C4361" t="inlineStr">
        <is>
          <t>that um I have to be a little bit</t>
        </is>
      </c>
      <c r="D4361">
        <f>HYPERLINK("https://www.youtube.com/watch?v=xGtKdsVxV8A&amp;t=7319s", "Go to time")</f>
        <v/>
      </c>
    </row>
    <row r="4362">
      <c r="A4362">
        <f>HYPERLINK("https://www.youtube.com/watch?v=xGtKdsVxV8A", "Video")</f>
        <v/>
      </c>
      <c r="B4362" t="inlineStr">
        <is>
          <t>142:19</t>
        </is>
      </c>
      <c r="C4362" t="inlineStr">
        <is>
          <t>to look at time management a little bit</t>
        </is>
      </c>
      <c r="D4362">
        <f>HYPERLINK("https://www.youtube.com/watch?v=xGtKdsVxV8A&amp;t=8539s", "Go to time")</f>
        <v/>
      </c>
    </row>
    <row r="4363">
      <c r="A4363">
        <f>HYPERLINK("https://www.youtube.com/watch?v=xGtKdsVxV8A", "Video")</f>
        <v/>
      </c>
      <c r="B4363" t="inlineStr">
        <is>
          <t>157:51</t>
        </is>
      </c>
      <c r="C4363" t="inlineStr">
        <is>
          <t>need to run a bit faster this is exactly</t>
        </is>
      </c>
      <c r="D4363">
        <f>HYPERLINK("https://www.youtube.com/watch?v=xGtKdsVxV8A&amp;t=9471s", "Go to time")</f>
        <v/>
      </c>
    </row>
    <row r="4364">
      <c r="A4364">
        <f>HYPERLINK("https://www.youtube.com/watch?v=xGtKdsVxV8A", "Video")</f>
        <v/>
      </c>
      <c r="B4364" t="inlineStr">
        <is>
          <t>163:51</t>
        </is>
      </c>
      <c r="C4364" t="inlineStr">
        <is>
          <t>course and I'll tell you a little bit</t>
        </is>
      </c>
      <c r="D4364">
        <f>HYPERLINK("https://www.youtube.com/watch?v=xGtKdsVxV8A&amp;t=9831s", "Go to time")</f>
        <v/>
      </c>
    </row>
    <row r="4365">
      <c r="A4365">
        <f>HYPERLINK("https://www.youtube.com/watch?v=xGtKdsVxV8A", "Video")</f>
        <v/>
      </c>
      <c r="B4365" t="inlineStr">
        <is>
          <t>193:31</t>
        </is>
      </c>
      <c r="C4365" t="inlineStr">
        <is>
          <t>question a little bit this does not</t>
        </is>
      </c>
      <c r="D4365">
        <f>HYPERLINK("https://www.youtube.com/watch?v=xGtKdsVxV8A&amp;t=11611s", "Go to time")</f>
        <v/>
      </c>
    </row>
    <row r="4366">
      <c r="A4366">
        <f>HYPERLINK("https://www.youtube.com/watch?v=xGtKdsVxV8A", "Video")</f>
        <v/>
      </c>
      <c r="B4366" t="inlineStr">
        <is>
          <t>201:58</t>
        </is>
      </c>
      <c r="C4366" t="inlineStr">
        <is>
          <t>little bit so what you do is just check</t>
        </is>
      </c>
      <c r="D4366">
        <f>HYPERLINK("https://www.youtube.com/watch?v=xGtKdsVxV8A&amp;t=12118s", "Go to time")</f>
        <v/>
      </c>
    </row>
    <row r="4367">
      <c r="A4367">
        <f>HYPERLINK("https://www.youtube.com/watch?v=xGtKdsVxV8A", "Video")</f>
        <v/>
      </c>
      <c r="B4367" t="inlineStr">
        <is>
          <t>206:38</t>
        </is>
      </c>
      <c r="C4367" t="inlineStr">
        <is>
          <t>probably need a little bit of extra help</t>
        </is>
      </c>
      <c r="D4367">
        <f>HYPERLINK("https://www.youtube.com/watch?v=xGtKdsVxV8A&amp;t=12398s", "Go to time")</f>
        <v/>
      </c>
    </row>
    <row r="4368">
      <c r="A4368">
        <f>HYPERLINK("https://www.youtube.com/watch?v=xGtKdsVxV8A", "Video")</f>
        <v/>
      </c>
      <c r="B4368" t="inlineStr">
        <is>
          <t>241:10</t>
        </is>
      </c>
      <c r="C4368" t="inlineStr">
        <is>
          <t>you're going to feel a little bit</t>
        </is>
      </c>
      <c r="D4368">
        <f>HYPERLINK("https://www.youtube.com/watch?v=xGtKdsVxV8A&amp;t=14470s", "Go to time")</f>
        <v/>
      </c>
    </row>
    <row r="4369">
      <c r="A4369">
        <f>HYPERLINK("https://www.youtube.com/watch?v=xGtKdsVxV8A", "Video")</f>
        <v/>
      </c>
      <c r="B4369" t="inlineStr">
        <is>
          <t>241:45</t>
        </is>
      </c>
      <c r="C4369" t="inlineStr">
        <is>
          <t>just elaborated a little bit I added a</t>
        </is>
      </c>
      <c r="D4369">
        <f>HYPERLINK("https://www.youtube.com/watch?v=xGtKdsVxV8A&amp;t=14505s", "Go to time")</f>
        <v/>
      </c>
    </row>
    <row r="4370">
      <c r="A4370">
        <f>HYPERLINK("https://www.youtube.com/watch?v=xGtKdsVxV8A", "Video")</f>
        <v/>
      </c>
      <c r="B4370" t="inlineStr">
        <is>
          <t>241:47</t>
        </is>
      </c>
      <c r="C4370" t="inlineStr">
        <is>
          <t>little bit more detail you could add</t>
        </is>
      </c>
      <c r="D4370">
        <f>HYPERLINK("https://www.youtube.com/watch?v=xGtKdsVxV8A&amp;t=14507s", "Go to time")</f>
        <v/>
      </c>
    </row>
    <row r="4371">
      <c r="A4371">
        <f>HYPERLINK("https://www.youtube.com/watch?v=xGtKdsVxV8A", "Video")</f>
        <v/>
      </c>
      <c r="B4371" t="inlineStr">
        <is>
          <t>241:51</t>
        </is>
      </c>
      <c r="C4371" t="inlineStr">
        <is>
          <t>could add an example just a little bit</t>
        </is>
      </c>
      <c r="D4371">
        <f>HYPERLINK("https://www.youtube.com/watch?v=xGtKdsVxV8A&amp;t=14511s", "Go to time")</f>
        <v/>
      </c>
    </row>
    <row r="4372">
      <c r="A4372">
        <f>HYPERLINK("https://www.youtube.com/watch?v=xGtKdsVxV8A", "Video")</f>
        <v/>
      </c>
      <c r="B4372" t="inlineStr">
        <is>
          <t>241:57</t>
        </is>
      </c>
      <c r="C4372" t="inlineStr">
        <is>
          <t>question and add a little bit more to</t>
        </is>
      </c>
      <c r="D4372">
        <f>HYPERLINK("https://www.youtube.com/watch?v=xGtKdsVxV8A&amp;t=14517s", "Go to time")</f>
        <v/>
      </c>
    </row>
    <row r="4373">
      <c r="A4373">
        <f>HYPERLINK("https://www.youtube.com/watch?v=xGtKdsVxV8A", "Video")</f>
        <v/>
      </c>
      <c r="B4373" t="inlineStr">
        <is>
          <t>242:52</t>
        </is>
      </c>
      <c r="C4373" t="inlineStr">
        <is>
          <t>bit and they speak to the examiner like</t>
        </is>
      </c>
      <c r="D4373">
        <f>HYPERLINK("https://www.youtube.com/watch?v=xGtKdsVxV8A&amp;t=14572s", "Go to time")</f>
        <v/>
      </c>
    </row>
    <row r="4374">
      <c r="A4374">
        <f>HYPERLINK("https://www.youtube.com/watch?v=xGtKdsVxV8A", "Video")</f>
        <v/>
      </c>
      <c r="B4374" t="inlineStr">
        <is>
          <t>252:52</t>
        </is>
      </c>
      <c r="C4374" t="inlineStr">
        <is>
          <t>some of them could do with a little bit</t>
        </is>
      </c>
      <c r="D4374">
        <f>HYPERLINK("https://www.youtube.com/watch?v=xGtKdsVxV8A&amp;t=15172s", "Go to time")</f>
        <v/>
      </c>
    </row>
    <row r="4375">
      <c r="A4375">
        <f>HYPERLINK("https://www.youtube.com/watch?v=xGtKdsVxV8A", "Video")</f>
        <v/>
      </c>
      <c r="B4375" t="inlineStr">
        <is>
          <t>263:07</t>
        </is>
      </c>
      <c r="C4375" t="inlineStr">
        <is>
          <t>do it's a little bit more complicated</t>
        </is>
      </c>
      <c r="D4375">
        <f>HYPERLINK("https://www.youtube.com/watch?v=xGtKdsVxV8A&amp;t=15787s", "Go to time")</f>
        <v/>
      </c>
    </row>
    <row r="4376">
      <c r="A4376">
        <f>HYPERLINK("https://www.youtube.com/watch?v=xGtKdsVxV8A", "Video")</f>
        <v/>
      </c>
      <c r="B4376" t="inlineStr">
        <is>
          <t>270:54</t>
        </is>
      </c>
      <c r="C4376" t="inlineStr">
        <is>
          <t>bit more detail I'm going to take you</t>
        </is>
      </c>
      <c r="D4376">
        <f>HYPERLINK("https://www.youtube.com/watch?v=xGtKdsVxV8A&amp;t=16254s", "Go to time")</f>
        <v/>
      </c>
    </row>
    <row r="4377">
      <c r="A4377">
        <f>HYPERLINK("https://www.youtube.com/watch?v=xGtKdsVxV8A", "Video")</f>
        <v/>
      </c>
      <c r="B4377" t="inlineStr">
        <is>
          <t>288:21</t>
        </is>
      </c>
      <c r="C4377" t="inlineStr">
        <is>
          <t>bit more okay so let's have a look at</t>
        </is>
      </c>
      <c r="D4377">
        <f>HYPERLINK("https://www.youtube.com/watch?v=xGtKdsVxV8A&amp;t=17301s", "Go to time")</f>
        <v/>
      </c>
    </row>
    <row r="4378">
      <c r="A4378">
        <f>HYPERLINK("https://www.youtube.com/watch?v=xGtKdsVxV8A", "Video")</f>
        <v/>
      </c>
      <c r="B4378" t="inlineStr">
        <is>
          <t>288:51</t>
        </is>
      </c>
      <c r="C4378" t="inlineStr">
        <is>
          <t>to add a little bit more detail maybe an</t>
        </is>
      </c>
      <c r="D4378">
        <f>HYPERLINK("https://www.youtube.com/watch?v=xGtKdsVxV8A&amp;t=17331s", "Go to time")</f>
        <v/>
      </c>
    </row>
    <row r="4379">
      <c r="A4379">
        <f>HYPERLINK("https://www.youtube.com/watch?v=xGtKdsVxV8A", "Video")</f>
        <v/>
      </c>
      <c r="B4379" t="inlineStr">
        <is>
          <t>295:04</t>
        </is>
      </c>
      <c r="C4379" t="inlineStr">
        <is>
          <t>once you start to get in the habit of</t>
        </is>
      </c>
      <c r="D4379">
        <f>HYPERLINK("https://www.youtube.com/watch?v=xGtKdsVxV8A&amp;t=17704s", "Go to time")</f>
        <v/>
      </c>
    </row>
    <row r="4380">
      <c r="A4380">
        <f>HYPERLINK("https://www.youtube.com/watch?v=xGtKdsVxV8A", "Video")</f>
        <v/>
      </c>
      <c r="B4380" t="inlineStr">
        <is>
          <t>297:05</t>
        </is>
      </c>
      <c r="C4380" t="inlineStr">
        <is>
          <t>bit stressed out and then it'll affect</t>
        </is>
      </c>
      <c r="D4380">
        <f>HYPERLINK("https://www.youtube.com/watch?v=xGtKdsVxV8A&amp;t=17825s", "Go to time")</f>
        <v/>
      </c>
    </row>
    <row r="4381">
      <c r="A4381">
        <f>HYPERLINK("https://www.youtube.com/watch?v=xGtKdsVxV8A", "Video")</f>
        <v/>
      </c>
      <c r="B4381" t="inlineStr">
        <is>
          <t>298:00</t>
        </is>
      </c>
      <c r="C4381" t="inlineStr">
        <is>
          <t>a little bit of shopping and they can</t>
        </is>
      </c>
      <c r="D4381">
        <f>HYPERLINK("https://www.youtube.com/watch?v=xGtKdsVxV8A&amp;t=17880s", "Go to time")</f>
        <v/>
      </c>
    </row>
    <row r="4382">
      <c r="A4382">
        <f>HYPERLINK("https://www.youtube.com/watch?v=xGtKdsVxV8A", "Video")</f>
        <v/>
      </c>
      <c r="B4382" t="inlineStr">
        <is>
          <t>310:40</t>
        </is>
      </c>
      <c r="C4382" t="inlineStr">
        <is>
          <t>developed bad habits and every time that</t>
        </is>
      </c>
      <c r="D4382">
        <f>HYPERLINK("https://www.youtube.com/watch?v=xGtKdsVxV8A&amp;t=18640s", "Go to time")</f>
        <v/>
      </c>
    </row>
    <row r="4383">
      <c r="A4383">
        <f>HYPERLINK("https://www.youtube.com/watch?v=xGtKdsVxV8A", "Video")</f>
        <v/>
      </c>
      <c r="B4383" t="inlineStr">
        <is>
          <t>310:45</t>
        </is>
      </c>
      <c r="C4383" t="inlineStr">
        <is>
          <t>bad habits worse this is exactly the</t>
        </is>
      </c>
      <c r="D4383">
        <f>HYPERLINK("https://www.youtube.com/watch?v=xGtKdsVxV8A&amp;t=18645s", "Go to time")</f>
        <v/>
      </c>
    </row>
    <row r="4384">
      <c r="A4384">
        <f>HYPERLINK("https://www.youtube.com/watch?v=xGtKdsVxV8A", "Video")</f>
        <v/>
      </c>
      <c r="B4384" t="inlineStr">
        <is>
          <t>310:50</t>
        </is>
      </c>
      <c r="C4384" t="inlineStr">
        <is>
          <t>have bad habits they're doing things</t>
        </is>
      </c>
      <c r="D4384">
        <f>HYPERLINK("https://www.youtube.com/watch?v=xGtKdsVxV8A&amp;t=18650s", "Go to time")</f>
        <v/>
      </c>
    </row>
    <row r="4385">
      <c r="A4385">
        <f>HYPERLINK("https://www.youtube.com/watch?v=xGtKdsVxV8A", "Video")</f>
        <v/>
      </c>
      <c r="B4385" t="inlineStr">
        <is>
          <t>315:06</t>
        </is>
      </c>
      <c r="C4385" t="inlineStr">
        <is>
          <t>speed up bit by bit by bit but when you</t>
        </is>
      </c>
      <c r="D4385">
        <f>HYPERLINK("https://www.youtube.com/watch?v=xGtKdsVxV8A&amp;t=18906s", "Go to time")</f>
        <v/>
      </c>
    </row>
    <row r="4386">
      <c r="A4386">
        <f>HYPERLINK("https://www.youtube.com/watch?v=xGtKdsVxV8A", "Video")</f>
        <v/>
      </c>
      <c r="B4386" t="inlineStr">
        <is>
          <t>333:08</t>
        </is>
      </c>
      <c r="C4386" t="inlineStr">
        <is>
          <t>little bit about why vocabulary is</t>
        </is>
      </c>
      <c r="D4386">
        <f>HYPERLINK("https://www.youtube.com/watch?v=xGtKdsVxV8A&amp;t=19988s", "Go to time")</f>
        <v/>
      </c>
    </row>
    <row r="4387">
      <c r="A4387">
        <f>HYPERLINK("https://www.youtube.com/watch?v=xGtKdsVxV8A", "Video")</f>
        <v/>
      </c>
      <c r="B4387" t="inlineStr">
        <is>
          <t>338:50</t>
        </is>
      </c>
      <c r="C4387" t="inlineStr">
        <is>
          <t>improve it might improve a little bit</t>
        </is>
      </c>
      <c r="D4387">
        <f>HYPERLINK("https://www.youtube.com/watch?v=xGtKdsVxV8A&amp;t=20330s", "Go to time")</f>
        <v/>
      </c>
    </row>
    <row r="4388">
      <c r="A4388">
        <f>HYPERLINK("https://www.youtube.com/watch?v=xGtKdsVxV8A", "Video")</f>
        <v/>
      </c>
      <c r="B4388" t="inlineStr">
        <is>
          <t>338:58</t>
        </is>
      </c>
      <c r="C4388" t="inlineStr">
        <is>
          <t>need to think a little bit more</t>
        </is>
      </c>
      <c r="D4388">
        <f>HYPERLINK("https://www.youtube.com/watch?v=xGtKdsVxV8A&amp;t=20338s", "Go to time")</f>
        <v/>
      </c>
    </row>
    <row r="4389">
      <c r="A4389">
        <f>HYPERLINK("https://www.youtube.com/watch?v=xGtKdsVxV8A", "Video")</f>
        <v/>
      </c>
      <c r="B4389" t="inlineStr">
        <is>
          <t>339:03</t>
        </is>
      </c>
      <c r="C4389" t="inlineStr">
        <is>
          <t>bit more strategic</t>
        </is>
      </c>
      <c r="D4389">
        <f>HYPERLINK("https://www.youtube.com/watch?v=xGtKdsVxV8A&amp;t=20343s", "Go to time")</f>
        <v/>
      </c>
    </row>
    <row r="4390">
      <c r="A4390">
        <f>HYPERLINK("https://www.youtube.com/watch?v=xGtKdsVxV8A", "Video")</f>
        <v/>
      </c>
      <c r="B4390" t="inlineStr">
        <is>
          <t>340:43</t>
        </is>
      </c>
      <c r="C4390" t="inlineStr">
        <is>
          <t>habit so if you're trying to make</t>
        </is>
      </c>
      <c r="D4390">
        <f>HYPERLINK("https://www.youtube.com/watch?v=xGtKdsVxV8A&amp;t=20443s", "Go to time")</f>
        <v/>
      </c>
    </row>
    <row r="4391">
      <c r="A4391">
        <f>HYPERLINK("https://www.youtube.com/watch?v=xGtKdsVxV8A", "Video")</f>
        <v/>
      </c>
      <c r="B4391" t="inlineStr">
        <is>
          <t>340:45</t>
        </is>
      </c>
      <c r="C4391" t="inlineStr">
        <is>
          <t>something a habit you're trying to do</t>
        </is>
      </c>
      <c r="D4391">
        <f>HYPERLINK("https://www.youtube.com/watch?v=xGtKdsVxV8A&amp;t=20445s", "Go to time")</f>
        <v/>
      </c>
    </row>
    <row r="4392">
      <c r="A4392">
        <f>HYPERLINK("https://www.youtube.com/watch?v=xGtKdsVxV8A", "Video")</f>
        <v/>
      </c>
      <c r="B4392" t="inlineStr">
        <is>
          <t>347:17</t>
        </is>
      </c>
      <c r="C4392" t="inlineStr">
        <is>
          <t>a little bit many of you will be like</t>
        </is>
      </c>
      <c r="D4392">
        <f>HYPERLINK("https://www.youtube.com/watch?v=xGtKdsVxV8A&amp;t=20837s", "Go to time")</f>
        <v/>
      </c>
    </row>
    <row r="4393">
      <c r="A4393">
        <f>HYPERLINK("https://www.youtube.com/watch?v=xGtKdsVxV8A", "Video")</f>
        <v/>
      </c>
      <c r="B4393" t="inlineStr">
        <is>
          <t>347:47</t>
        </is>
      </c>
      <c r="C4393" t="inlineStr">
        <is>
          <t>I should make it a habit and schedule it</t>
        </is>
      </c>
      <c r="D4393">
        <f>HYPERLINK("https://www.youtube.com/watch?v=xGtKdsVxV8A&amp;t=20867s", "Go to time")</f>
        <v/>
      </c>
    </row>
    <row r="4394">
      <c r="A4394">
        <f>HYPERLINK("https://www.youtube.com/watch?v=xGtKdsVxV8A", "Video")</f>
        <v/>
      </c>
      <c r="B4394" t="inlineStr">
        <is>
          <t>348:02</t>
        </is>
      </c>
      <c r="C4394" t="inlineStr">
        <is>
          <t>vocabulary and a little bit about</t>
        </is>
      </c>
      <c r="D4394">
        <f>HYPERLINK("https://www.youtube.com/watch?v=xGtKdsVxV8A&amp;t=20882s", "Go to time")</f>
        <v/>
      </c>
    </row>
    <row r="4395">
      <c r="A4395">
        <f>HYPERLINK("https://www.youtube.com/watch?v=xGtKdsVxV8A", "Video")</f>
        <v/>
      </c>
      <c r="B4395" t="inlineStr">
        <is>
          <t>351:10</t>
        </is>
      </c>
      <c r="C4395" t="inlineStr">
        <is>
          <t>bit more detail so look for New York so</t>
        </is>
      </c>
      <c r="D4395">
        <f>HYPERLINK("https://www.youtube.com/watch?v=xGtKdsVxV8A&amp;t=21070s", "Go to time")</f>
        <v/>
      </c>
    </row>
    <row r="4396">
      <c r="A4396">
        <f>HYPERLINK("https://www.youtube.com/watch?v=xGtKdsVxV8A", "Video")</f>
        <v/>
      </c>
      <c r="B4396" t="inlineStr">
        <is>
          <t>352:21</t>
        </is>
      </c>
      <c r="C4396" t="inlineStr">
        <is>
          <t>Center okay so we did a little bit of</t>
        </is>
      </c>
      <c r="D4396">
        <f>HYPERLINK("https://www.youtube.com/watch?v=xGtKdsVxV8A&amp;t=21141s", "Go to time")</f>
        <v/>
      </c>
    </row>
    <row r="4397">
      <c r="A4397">
        <f>HYPERLINK("https://www.youtube.com/watch?v=xGtKdsVxV8A", "Video")</f>
        <v/>
      </c>
      <c r="B4397" t="inlineStr">
        <is>
          <t>352:24</t>
        </is>
      </c>
      <c r="C4397" t="inlineStr">
        <is>
          <t>scanning a little bit of skimming to</t>
        </is>
      </c>
      <c r="D4397">
        <f>HYPERLINK("https://www.youtube.com/watch?v=xGtKdsVxV8A&amp;t=21144s", "Go to time")</f>
        <v/>
      </c>
    </row>
    <row r="4398">
      <c r="A4398">
        <f>HYPERLINK("https://www.youtube.com/watch?v=xGtKdsVxV8A", "Video")</f>
        <v/>
      </c>
      <c r="B4398" t="inlineStr">
        <is>
          <t>355:52</t>
        </is>
      </c>
      <c r="C4398" t="inlineStr">
        <is>
          <t>need to look at it in a little bit more</t>
        </is>
      </c>
      <c r="D4398">
        <f>HYPERLINK("https://www.youtube.com/watch?v=xGtKdsVxV8A&amp;t=21352s", "Go to time")</f>
        <v/>
      </c>
    </row>
    <row r="4399">
      <c r="A4399">
        <f>HYPERLINK("https://www.youtube.com/watch?v=xGtKdsVxV8A", "Video")</f>
        <v/>
      </c>
      <c r="B4399" t="inlineStr">
        <is>
          <t>360:48</t>
        </is>
      </c>
      <c r="C4399" t="inlineStr">
        <is>
          <t>in a little bit more detail scanning is</t>
        </is>
      </c>
      <c r="D4399">
        <f>HYPERLINK("https://www.youtube.com/watch?v=xGtKdsVxV8A&amp;t=21648s", "Go to time")</f>
        <v/>
      </c>
    </row>
    <row r="4400">
      <c r="A4400">
        <f>HYPERLINK("https://www.youtube.com/watch?v=xGtKdsVxV8A", "Video")</f>
        <v/>
      </c>
      <c r="B4400" t="inlineStr">
        <is>
          <t>374:18</t>
        </is>
      </c>
      <c r="C4400" t="inlineStr">
        <is>
          <t>little bit instead of just sitting back</t>
        </is>
      </c>
      <c r="D4400">
        <f>HYPERLINK("https://www.youtube.com/watch?v=xGtKdsVxV8A&amp;t=22458s", "Go to time")</f>
        <v/>
      </c>
    </row>
    <row r="4401">
      <c r="A4401">
        <f>HYPERLINK("https://www.youtube.com/watch?v=xGtKdsVxV8A", "Video")</f>
        <v/>
      </c>
      <c r="B4401" t="inlineStr">
        <is>
          <t>375:46</t>
        </is>
      </c>
      <c r="C4401" t="inlineStr">
        <is>
          <t>that are a bit more strategic about</t>
        </is>
      </c>
      <c r="D4401">
        <f>HYPERLINK("https://www.youtube.com/watch?v=xGtKdsVxV8A&amp;t=22546s", "Go to time")</f>
        <v/>
      </c>
    </row>
    <row r="4402">
      <c r="A4402">
        <f>HYPERLINK("https://www.youtube.com/watch?v=xGtKdsVxV8A", "Video")</f>
        <v/>
      </c>
      <c r="B4402" t="inlineStr">
        <is>
          <t>381:28</t>
        </is>
      </c>
      <c r="C4402" t="inlineStr">
        <is>
          <t>bit confused and it can also lead to</t>
        </is>
      </c>
      <c r="D4402">
        <f>HYPERLINK("https://www.youtube.com/watch?v=xGtKdsVxV8A&amp;t=22888s", "Go to time")</f>
        <v/>
      </c>
    </row>
    <row r="4403">
      <c r="A4403">
        <f>HYPERLINK("https://www.youtube.com/watch?v=xGtKdsVxV8A", "Video")</f>
        <v/>
      </c>
      <c r="B4403" t="inlineStr">
        <is>
          <t>397:54</t>
        </is>
      </c>
      <c r="C4403" t="inlineStr">
        <is>
          <t>it's a little bit more difficult so I</t>
        </is>
      </c>
      <c r="D4403">
        <f>HYPERLINK("https://www.youtube.com/watch?v=xGtKdsVxV8A&amp;t=23874s", "Go to time")</f>
        <v/>
      </c>
    </row>
    <row r="4404">
      <c r="A4404">
        <f>HYPERLINK("https://www.youtube.com/watch?v=xGtKdsVxV8A", "Video")</f>
        <v/>
      </c>
      <c r="B4404" t="inlineStr">
        <is>
          <t>403:37</t>
        </is>
      </c>
      <c r="C4404" t="inlineStr">
        <is>
          <t>you never do that that might be a bit of</t>
        </is>
      </c>
      <c r="D4404">
        <f>HYPERLINK("https://www.youtube.com/watch?v=xGtKdsVxV8A&amp;t=24217s", "Go to time")</f>
        <v/>
      </c>
    </row>
    <row r="4405">
      <c r="A4405">
        <f>HYPERLINK("https://www.youtube.com/watch?v=xGtKdsVxV8A", "Video")</f>
        <v/>
      </c>
      <c r="B4405" t="inlineStr">
        <is>
          <t>404:26</t>
        </is>
      </c>
      <c r="C4405" t="inlineStr">
        <is>
          <t>oh I listen to a little bit of music or</t>
        </is>
      </c>
      <c r="D4405">
        <f>HYPERLINK("https://www.youtube.com/watch?v=xGtKdsVxV8A&amp;t=24266s", "Go to time")</f>
        <v/>
      </c>
    </row>
    <row r="4406">
      <c r="A4406">
        <f>HYPERLINK("https://www.youtube.com/watch?v=xGtKdsVxV8A", "Video")</f>
        <v/>
      </c>
      <c r="B4406" t="inlineStr">
        <is>
          <t>404:31</t>
        </is>
      </c>
      <c r="C4406" t="inlineStr">
        <is>
          <t>sometimes hear a little bit of English</t>
        </is>
      </c>
      <c r="D4406">
        <f>HYPERLINK("https://www.youtube.com/watch?v=xGtKdsVxV8A&amp;t=24271s", "Go to time")</f>
        <v/>
      </c>
    </row>
    <row r="4407">
      <c r="A4407">
        <f>HYPERLINK("https://www.youtube.com/watch?v=xGtKdsVxV8A", "Video")</f>
        <v/>
      </c>
      <c r="B4407" t="inlineStr">
        <is>
          <t>406:40</t>
        </is>
      </c>
      <c r="C4407" t="inlineStr">
        <is>
          <t>have to do a little bit of work um</t>
        </is>
      </c>
      <c r="D4407">
        <f>HYPERLINK("https://www.youtube.com/watch?v=xGtKdsVxV8A&amp;t=24400s", "Go to time")</f>
        <v/>
      </c>
    </row>
    <row r="4408">
      <c r="A4408">
        <f>HYPERLINK("https://www.youtube.com/watch?v=xGtKdsVxV8A", "Video")</f>
        <v/>
      </c>
      <c r="B4408" t="inlineStr">
        <is>
          <t>406:58</t>
        </is>
      </c>
      <c r="C4408" t="inlineStr">
        <is>
          <t>that this is a little bit Petty they're</t>
        </is>
      </c>
      <c r="D4408">
        <f>HYPERLINK("https://www.youtube.com/watch?v=xGtKdsVxV8A&amp;t=24418s", "Go to time")</f>
        <v/>
      </c>
    </row>
    <row r="4409">
      <c r="A4409">
        <f>HYPERLINK("https://www.youtube.com/watch?v=xGtKdsVxV8A", "Video")</f>
        <v/>
      </c>
      <c r="B4409" t="inlineStr">
        <is>
          <t>411:17</t>
        </is>
      </c>
      <c r="C4409" t="inlineStr">
        <is>
          <t>make things a little bit too easy for</t>
        </is>
      </c>
      <c r="D4409">
        <f>HYPERLINK("https://www.youtube.com/watch?v=xGtKdsVxV8A&amp;t=24677s", "Go to time")</f>
        <v/>
      </c>
    </row>
    <row r="4410">
      <c r="A4410">
        <f>HYPERLINK("https://www.youtube.com/watch?v=xGtKdsVxV8A", "Video")</f>
        <v/>
      </c>
      <c r="B4410" t="inlineStr">
        <is>
          <t>424:52</t>
        </is>
      </c>
      <c r="C4410" t="inlineStr">
        <is>
          <t>a little bit overwhelming for you right</t>
        </is>
      </c>
      <c r="D4410">
        <f>HYPERLINK("https://www.youtube.com/watch?v=xGtKdsVxV8A&amp;t=25492s", "Go to time")</f>
        <v/>
      </c>
    </row>
    <row r="4411">
      <c r="A4411">
        <f>HYPERLINK("https://www.youtube.com/watch?v=xGtKdsVxV8A", "Video")</f>
        <v/>
      </c>
      <c r="B4411" t="inlineStr">
        <is>
          <t>451:13</t>
        </is>
      </c>
      <c r="C4411" t="inlineStr">
        <is>
          <t>for me to share her story a little bit</t>
        </is>
      </c>
      <c r="D4411">
        <f>HYPERLINK("https://www.youtube.com/watch?v=xGtKdsVxV8A&amp;t=27073s", "Go to time")</f>
        <v/>
      </c>
    </row>
    <row r="4412">
      <c r="A4412">
        <f>HYPERLINK("https://www.youtube.com/watch?v=xGtKdsVxV8A", "Video")</f>
        <v/>
      </c>
      <c r="B4412" t="inlineStr">
        <is>
          <t>451:31</t>
        </is>
      </c>
      <c r="C4412" t="inlineStr">
        <is>
          <t>little bit of background information um</t>
        </is>
      </c>
      <c r="D4412">
        <f>HYPERLINK("https://www.youtube.com/watch?v=xGtKdsVxV8A&amp;t=27091s", "Go to time")</f>
        <v/>
      </c>
    </row>
    <row r="4413">
      <c r="A4413">
        <f>HYPERLINK("https://www.youtube.com/watch?v=xGtKdsVxV8A", "Video")</f>
        <v/>
      </c>
      <c r="B4413" t="inlineStr">
        <is>
          <t>463:03</t>
        </is>
      </c>
      <c r="C4413" t="inlineStr">
        <is>
          <t>little bit different than other exams</t>
        </is>
      </c>
      <c r="D4413">
        <f>HYPERLINK("https://www.youtube.com/watch?v=xGtKdsVxV8A&amp;t=27783s", "Go to time")</f>
        <v/>
      </c>
    </row>
    <row r="4414">
      <c r="A4414">
        <f>HYPERLINK("https://www.youtube.com/watch?v=xGtKdsVxV8A", "Video")</f>
        <v/>
      </c>
      <c r="B4414" t="inlineStr">
        <is>
          <t>468:02</t>
        </is>
      </c>
      <c r="C4414" t="inlineStr">
        <is>
          <t>important bits like you know opposite</t>
        </is>
      </c>
      <c r="D4414">
        <f>HYPERLINK("https://www.youtube.com/watch?v=xGtKdsVxV8A&amp;t=28082s", "Go to time")</f>
        <v/>
      </c>
    </row>
    <row r="4415">
      <c r="A4415">
        <f>HYPERLINK("https://www.youtube.com/watch?v=xGtKdsVxV8A", "Video")</f>
        <v/>
      </c>
      <c r="B4415" t="inlineStr">
        <is>
          <t>473:58</t>
        </is>
      </c>
      <c r="C4415" t="inlineStr">
        <is>
          <t>grammar bit like you know I was</t>
        </is>
      </c>
      <c r="D4415">
        <f>HYPERLINK("https://www.youtube.com/watch?v=xGtKdsVxV8A&amp;t=28438s", "Go to time")</f>
        <v/>
      </c>
    </row>
    <row r="4416">
      <c r="A4416">
        <f>HYPERLINK("https://www.youtube.com/watch?v=xGtKdsVxV8A", "Video")</f>
        <v/>
      </c>
      <c r="B4416" t="inlineStr">
        <is>
          <t>474:00</t>
        </is>
      </c>
      <c r="C4416" t="inlineStr">
        <is>
          <t>struggling with the grammar bit to be</t>
        </is>
      </c>
      <c r="D4416">
        <f>HYPERLINK("https://www.youtube.com/watch?v=xGtKdsVxV8A&amp;t=28440s", "Go to time")</f>
        <v/>
      </c>
    </row>
    <row r="4417">
      <c r="A4417">
        <f>HYPERLINK("https://www.youtube.com/watch?v=xGtKdsVxV8A", "Video")</f>
        <v/>
      </c>
      <c r="B4417" t="inlineStr">
        <is>
          <t>476:38</t>
        </is>
      </c>
      <c r="C4417" t="inlineStr">
        <is>
          <t>because it's a bit like if you for</t>
        </is>
      </c>
      <c r="D4417">
        <f>HYPERLINK("https://www.youtube.com/watch?v=xGtKdsVxV8A&amp;t=28598s", "Go to time")</f>
        <v/>
      </c>
    </row>
    <row r="4418">
      <c r="A4418">
        <f>HYPERLINK("https://www.youtube.com/watch?v=xGtKdsVxV8A", "Video")</f>
        <v/>
      </c>
      <c r="B4418" t="inlineStr">
        <is>
          <t>478:17</t>
        </is>
      </c>
      <c r="C4418" t="inlineStr">
        <is>
          <t>I decided to do things a little bit</t>
        </is>
      </c>
      <c r="D4418">
        <f>HYPERLINK("https://www.youtube.com/watch?v=xGtKdsVxV8A&amp;t=28697s", "Go to time")</f>
        <v/>
      </c>
    </row>
    <row r="4419">
      <c r="A4419">
        <f>HYPERLINK("https://www.youtube.com/watch?v=xGtKdsVxV8A", "Video")</f>
        <v/>
      </c>
      <c r="B4419" t="inlineStr">
        <is>
          <t>480:00</t>
        </is>
      </c>
      <c r="C4419" t="inlineStr">
        <is>
          <t>actually should be promoted a bit you</t>
        </is>
      </c>
      <c r="D4419">
        <f>HYPERLINK("https://www.youtube.com/watch?v=xGtKdsVxV8A&amp;t=28800s", "Go to time")</f>
        <v/>
      </c>
    </row>
    <row r="4420">
      <c r="A4420">
        <f>HYPERLINK("https://www.youtube.com/watch?v=xGtKdsVxV8A", "Video")</f>
        <v/>
      </c>
      <c r="B4420" t="inlineStr">
        <is>
          <t>480:04</t>
        </is>
      </c>
      <c r="C4420" t="inlineStr">
        <is>
          <t>know a bit more but uh I decided to</t>
        </is>
      </c>
      <c r="D4420">
        <f>HYPERLINK("https://www.youtube.com/watch?v=xGtKdsVxV8A&amp;t=28804s", "Go to time")</f>
        <v/>
      </c>
    </row>
    <row r="4421">
      <c r="A4421">
        <f>HYPERLINK("https://www.youtube.com/watch?v=xGtKdsVxV8A", "Video")</f>
        <v/>
      </c>
      <c r="B4421" t="inlineStr">
        <is>
          <t>491:48</t>
        </is>
      </c>
      <c r="C4421" t="inlineStr">
        <is>
          <t>writing that bit Frankly Speaking I was</t>
        </is>
      </c>
      <c r="D4421">
        <f>HYPERLINK("https://www.youtube.com/watch?v=xGtKdsVxV8A&amp;t=29508s", "Go to time")</f>
        <v/>
      </c>
    </row>
    <row r="4422">
      <c r="A4422">
        <f>HYPERLINK("https://www.youtube.com/watch?v=xGtKdsVxV8A", "Video")</f>
        <v/>
      </c>
      <c r="B4422" t="inlineStr">
        <is>
          <t>491:53</t>
        </is>
      </c>
      <c r="C4422" t="inlineStr">
        <is>
          <t>I know about this topic and a bit show</t>
        </is>
      </c>
      <c r="D4422">
        <f>HYPERLINK("https://www.youtube.com/watch?v=xGtKdsVxV8A&amp;t=29513s", "Go to time")</f>
        <v/>
      </c>
    </row>
    <row r="4423">
      <c r="A4423">
        <f>HYPERLINK("https://www.youtube.com/watch?v=xGtKdsVxV8A", "Video")</f>
        <v/>
      </c>
      <c r="B4423" t="inlineStr">
        <is>
          <t>493:16</t>
        </is>
      </c>
      <c r="C4423" t="inlineStr">
        <is>
          <t>bit strategic with your timing so what</t>
        </is>
      </c>
      <c r="D4423">
        <f>HYPERLINK("https://www.youtube.com/watch?v=xGtKdsVxV8A&amp;t=29596s", "Go to time")</f>
        <v/>
      </c>
    </row>
    <row r="4424">
      <c r="A4424">
        <f>HYPERLINK("https://www.youtube.com/watch?v=xGtKdsVxV8A", "Video")</f>
        <v/>
      </c>
      <c r="B4424" t="inlineStr">
        <is>
          <t>531:56</t>
        </is>
      </c>
      <c r="C4424" t="inlineStr">
        <is>
          <t>around you would really bad habits um</t>
        </is>
      </c>
      <c r="D4424">
        <f>HYPERLINK("https://www.youtube.com/watch?v=xGtKdsVxV8A&amp;t=31916s", "Go to time")</f>
        <v/>
      </c>
    </row>
    <row r="4425">
      <c r="A4425">
        <f>HYPERLINK("https://www.youtube.com/watch?v=xGtKdsVxV8A", "Video")</f>
        <v/>
      </c>
      <c r="B4425" t="inlineStr">
        <is>
          <t>541:08</t>
        </is>
      </c>
      <c r="C4425" t="inlineStr">
        <is>
          <t>how to do it so you felt a little bit</t>
        </is>
      </c>
      <c r="D4425">
        <f>HYPERLINK("https://www.youtube.com/watch?v=xGtKdsVxV8A&amp;t=32468s", "Go to time")</f>
        <v/>
      </c>
    </row>
    <row r="4426">
      <c r="A4426">
        <f>HYPERLINK("https://www.youtube.com/watch?v=xGtKdsVxV8A", "Video")</f>
        <v/>
      </c>
      <c r="B4426" t="inlineStr">
        <is>
          <t>545:25</t>
        </is>
      </c>
      <c r="C4426" t="inlineStr">
        <is>
          <t>little bit more VIP but it wasn't</t>
        </is>
      </c>
      <c r="D4426">
        <f>HYPERLINK("https://www.youtube.com/watch?v=xGtKdsVxV8A&amp;t=32725s", "Go to time")</f>
        <v/>
      </c>
    </row>
    <row r="4427">
      <c r="A4427">
        <f>HYPERLINK("https://www.youtube.com/watch?v=xGtKdsVxV8A", "Video")</f>
        <v/>
      </c>
      <c r="B4427" t="inlineStr">
        <is>
          <t>553:29</t>
        </is>
      </c>
      <c r="C4427" t="inlineStr">
        <is>
          <t>on this lady is a little bit crazy yeah</t>
        </is>
      </c>
      <c r="D4427">
        <f>HYPERLINK("https://www.youtube.com/watch?v=xGtKdsVxV8A&amp;t=33209s", "Go to time")</f>
        <v/>
      </c>
    </row>
    <row r="4428">
      <c r="A4428">
        <f>HYPERLINK("https://www.youtube.com/watch?v=xGtKdsVxV8A", "Video")</f>
        <v/>
      </c>
      <c r="B4428" t="inlineStr">
        <is>
          <t>556:10</t>
        </is>
      </c>
      <c r="C4428" t="inlineStr">
        <is>
          <t>let's let's talk a little bit about</t>
        </is>
      </c>
      <c r="D4428">
        <f>HYPERLINK("https://www.youtube.com/watch?v=xGtKdsVxV8A&amp;t=33370s", "Go to time")</f>
        <v/>
      </c>
    </row>
    <row r="4429">
      <c r="A4429">
        <f>HYPERLINK("https://www.youtube.com/watch?v=xGtKdsVxV8A", "Video")</f>
        <v/>
      </c>
      <c r="B4429" t="inlineStr">
        <is>
          <t>573:45</t>
        </is>
      </c>
      <c r="C4429" t="inlineStr">
        <is>
          <t>such bad habits so he had practice for</t>
        </is>
      </c>
      <c r="D4429">
        <f>HYPERLINK("https://www.youtube.com/watch?v=xGtKdsVxV8A&amp;t=34425s", "Go to time")</f>
        <v/>
      </c>
    </row>
    <row r="4430">
      <c r="A4430">
        <f>HYPERLINK("https://www.youtube.com/watch?v=xGtKdsVxV8A", "Video")</f>
        <v/>
      </c>
      <c r="B4430" t="inlineStr">
        <is>
          <t>581:32</t>
        </is>
      </c>
      <c r="C4430" t="inlineStr">
        <is>
          <t>little bit darn or demotivated try and</t>
        </is>
      </c>
      <c r="D4430">
        <f>HYPERLINK("https://www.youtube.com/watch?v=xGtKdsVxV8A&amp;t=34892s", "Go to time")</f>
        <v/>
      </c>
    </row>
    <row r="4431">
      <c r="A4431">
        <f>HYPERLINK("https://www.youtube.com/watch?v=xGtKdsVxV8A", "Video")</f>
        <v/>
      </c>
      <c r="B4431" t="inlineStr">
        <is>
          <t>584:00</t>
        </is>
      </c>
      <c r="C4431" t="inlineStr">
        <is>
          <t>every day a little bit yeah a little bit</t>
        </is>
      </c>
      <c r="D4431">
        <f>HYPERLINK("https://www.youtube.com/watch?v=xGtKdsVxV8A&amp;t=35040s", "Go to time")</f>
        <v/>
      </c>
    </row>
    <row r="4432">
      <c r="A4432">
        <f>HYPERLINK("https://www.youtube.com/watch?v=xGtKdsVxV8A", "Video")</f>
        <v/>
      </c>
      <c r="B4432" t="inlineStr">
        <is>
          <t>585:58</t>
        </is>
      </c>
      <c r="C4432" t="inlineStr">
        <is>
          <t>bit about your I Journey so like how</t>
        </is>
      </c>
      <c r="D4432">
        <f>HYPERLINK("https://www.youtube.com/watch?v=xGtKdsVxV8A&amp;t=35158s", "Go to time")</f>
        <v/>
      </c>
    </row>
    <row r="4433">
      <c r="A4433">
        <f>HYPERLINK("https://www.youtube.com/watch?v=xGtKdsVxV8A", "Video")</f>
        <v/>
      </c>
      <c r="B4433" t="inlineStr">
        <is>
          <t>589:54</t>
        </is>
      </c>
      <c r="C4433" t="inlineStr">
        <is>
          <t>back to listening a little bit when you</t>
        </is>
      </c>
      <c r="D4433">
        <f>HYPERLINK("https://www.youtube.com/watch?v=xGtKdsVxV8A&amp;t=35394s", "Go to time")</f>
        <v/>
      </c>
    </row>
    <row r="4434">
      <c r="A4434">
        <f>HYPERLINK("https://www.youtube.com/watch?v=xGtKdsVxV8A", "Video")</f>
        <v/>
      </c>
      <c r="B4434" t="inlineStr">
        <is>
          <t>591:14</t>
        </is>
      </c>
      <c r="C4434" t="inlineStr">
        <is>
          <t>that just being a little bit more</t>
        </is>
      </c>
      <c r="D4434">
        <f>HYPERLINK("https://www.youtube.com/watch?v=xGtKdsVxV8A&amp;t=35474s", "Go to time")</f>
        <v/>
      </c>
    </row>
    <row r="4435">
      <c r="A4435">
        <f>HYPERLINK("https://www.youtube.com/watch?v=xGtKdsVxV8A", "Video")</f>
        <v/>
      </c>
      <c r="B4435" t="inlineStr">
        <is>
          <t>593:23</t>
        </is>
      </c>
      <c r="C4435" t="inlineStr">
        <is>
          <t>little bit more and then you're 7K then</t>
        </is>
      </c>
      <c r="D4435">
        <f>HYPERLINK("https://www.youtube.com/watch?v=xGtKdsVxV8A&amp;t=35603s", "Go to time")</f>
        <v/>
      </c>
    </row>
    <row r="4436">
      <c r="A4436">
        <f>HYPERLINK("https://www.youtube.com/watch?v=xGtKdsVxV8A", "Video")</f>
        <v/>
      </c>
      <c r="B4436" t="inlineStr">
        <is>
          <t>594:41</t>
        </is>
      </c>
      <c r="C4436" t="inlineStr">
        <is>
          <t>a habit for me so I keep reading books</t>
        </is>
      </c>
      <c r="D4436">
        <f>HYPERLINK("https://www.youtube.com/watch?v=xGtKdsVxV8A&amp;t=35681s", "Go to time")</f>
        <v/>
      </c>
    </row>
    <row r="4437">
      <c r="A4437">
        <f>HYPERLINK("https://www.youtube.com/watch?v=xGtKdsVxV8A", "Video")</f>
        <v/>
      </c>
      <c r="B4437" t="inlineStr">
        <is>
          <t>595:39</t>
        </is>
      </c>
      <c r="C4437" t="inlineStr">
        <is>
          <t>it a habit so get in the habit of you</t>
        </is>
      </c>
      <c r="D4437">
        <f>HYPERLINK("https://www.youtube.com/watch?v=xGtKdsVxV8A&amp;t=35739s", "Go to time")</f>
        <v/>
      </c>
    </row>
    <row r="4438">
      <c r="A4438">
        <f>HYPERLINK("https://www.youtube.com/watch?v=xGtKdsVxV8A", "Video")</f>
        <v/>
      </c>
      <c r="B4438" t="inlineStr">
        <is>
          <t>596:44</t>
        </is>
      </c>
      <c r="C4438" t="inlineStr">
        <is>
          <t>have a very healthy habit of consuming</t>
        </is>
      </c>
      <c r="D4438">
        <f>HYPERLINK("https://www.youtube.com/watch?v=xGtKdsVxV8A&amp;t=35804s", "Go to time")</f>
        <v/>
      </c>
    </row>
    <row r="4439">
      <c r="A4439">
        <f>HYPERLINK("https://www.youtube.com/watch?v=xGtKdsVxV8A", "Video")</f>
        <v/>
      </c>
      <c r="B4439" t="inlineStr">
        <is>
          <t>597:45</t>
        </is>
      </c>
      <c r="C4439" t="inlineStr">
        <is>
          <t>do that a little bit every day and and</t>
        </is>
      </c>
      <c r="D4439">
        <f>HYPERLINK("https://www.youtube.com/watch?v=xGtKdsVxV8A&amp;t=35865s", "Go to time")</f>
        <v/>
      </c>
    </row>
    <row r="4440">
      <c r="A4440">
        <f>HYPERLINK("https://www.youtube.com/watch?v=xGtKdsVxV8A", "Video")</f>
        <v/>
      </c>
      <c r="B4440" t="inlineStr">
        <is>
          <t>618:43</t>
        </is>
      </c>
      <c r="C4440" t="inlineStr">
        <is>
          <t>and can you tell everyone a little bit</t>
        </is>
      </c>
      <c r="D4440">
        <f>HYPERLINK("https://www.youtube.com/watch?v=xGtKdsVxV8A&amp;t=37123s", "Go to time")</f>
        <v/>
      </c>
    </row>
    <row r="4441">
      <c r="A4441">
        <f>HYPERLINK("https://www.youtube.com/watch?v=xGtKdsVxV8A", "Video")</f>
        <v/>
      </c>
      <c r="B4441" t="inlineStr">
        <is>
          <t>619:49</t>
        </is>
      </c>
      <c r="C4441" t="inlineStr">
        <is>
          <t>journey with people a little bit like to</t>
        </is>
      </c>
      <c r="D4441">
        <f>HYPERLINK("https://www.youtube.com/watch?v=xGtKdsVxV8A&amp;t=37189s", "Go to time")</f>
        <v/>
      </c>
    </row>
    <row r="4442">
      <c r="A4442">
        <f>HYPERLINK("https://www.youtube.com/watch?v=xGtKdsVxV8A", "Video")</f>
        <v/>
      </c>
      <c r="B4442" t="inlineStr">
        <is>
          <t>627:58</t>
        </is>
      </c>
      <c r="C4442" t="inlineStr">
        <is>
          <t>little bit early um but that's all all</t>
        </is>
      </c>
      <c r="D4442">
        <f>HYPERLINK("https://www.youtube.com/watch?v=xGtKdsVxV8A&amp;t=37678s", "Go to time")</f>
        <v/>
      </c>
    </row>
    <row r="4443">
      <c r="A4443">
        <f>HYPERLINK("https://www.youtube.com/watch?v=xGtKdsVxV8A", "Video")</f>
        <v/>
      </c>
      <c r="B4443" t="inlineStr">
        <is>
          <t>630:14</t>
        </is>
      </c>
      <c r="C4443" t="inlineStr">
        <is>
          <t>can you tell us a little bit about your</t>
        </is>
      </c>
      <c r="D4443">
        <f>HYPERLINK("https://www.youtube.com/watch?v=xGtKdsVxV8A&amp;t=37814s", "Go to time")</f>
        <v/>
      </c>
    </row>
    <row r="4444">
      <c r="A4444">
        <f>HYPERLINK("https://www.youtube.com/watch?v=xGtKdsVxV8A", "Video")</f>
        <v/>
      </c>
      <c r="B4444" t="inlineStr">
        <is>
          <t>630:32</t>
        </is>
      </c>
      <c r="C4444" t="inlineStr">
        <is>
          <t>to know that I like a bit of like I was</t>
        </is>
      </c>
      <c r="D4444">
        <f>HYPERLINK("https://www.youtube.com/watch?v=xGtKdsVxV8A&amp;t=37832s", "Go to time")</f>
        <v/>
      </c>
    </row>
    <row r="4445">
      <c r="A4445">
        <f>HYPERLINK("https://www.youtube.com/watch?v=xGtKdsVxV8A", "Video")</f>
        <v/>
      </c>
      <c r="B4445" t="inlineStr">
        <is>
          <t>632:23</t>
        </is>
      </c>
      <c r="C4445" t="inlineStr">
        <is>
          <t>little bit demotivated I saw your videos</t>
        </is>
      </c>
      <c r="D4445">
        <f>HYPERLINK("https://www.youtube.com/watch?v=xGtKdsVxV8A&amp;t=37943s", "Go to time")</f>
        <v/>
      </c>
    </row>
    <row r="4446">
      <c r="A4446">
        <f>HYPERLINK("https://www.youtube.com/watch?v=xGtKdsVxV8A", "Video")</f>
        <v/>
      </c>
      <c r="B4446" t="inlineStr">
        <is>
          <t>634:47</t>
        </is>
      </c>
      <c r="C4446" t="inlineStr">
        <is>
          <t>of zoom out a little bit and understand</t>
        </is>
      </c>
      <c r="D4446">
        <f>HYPERLINK("https://www.youtube.com/watch?v=xGtKdsVxV8A&amp;t=38087s", "Go to time")</f>
        <v/>
      </c>
    </row>
    <row r="4447">
      <c r="A4447">
        <f>HYPERLINK("https://www.youtube.com/watch?v=xGtKdsVxV8A", "Video")</f>
        <v/>
      </c>
      <c r="B4447" t="inlineStr">
        <is>
          <t>639:31</t>
        </is>
      </c>
      <c r="C4447" t="inlineStr">
        <is>
          <t>little bit every day try and push</t>
        </is>
      </c>
      <c r="D4447">
        <f>HYPERLINK("https://www.youtube.com/watch?v=xGtKdsVxV8A&amp;t=38371s", "Go to time")</f>
        <v/>
      </c>
    </row>
    <row r="4448">
      <c r="A4448">
        <f>HYPERLINK("https://www.youtube.com/watch?v=xGtKdsVxV8A", "Video")</f>
        <v/>
      </c>
      <c r="B4448" t="inlineStr">
        <is>
          <t>639:33</t>
        </is>
      </c>
      <c r="C4448" t="inlineStr">
        <is>
          <t>yourself a little bit every day and that</t>
        </is>
      </c>
      <c r="D4448">
        <f>HYPERLINK("https://www.youtube.com/watch?v=xGtKdsVxV8A&amp;t=38373s", "Go to time")</f>
        <v/>
      </c>
    </row>
    <row r="4449">
      <c r="A4449">
        <f>HYPERLINK("https://www.youtube.com/watch?v=xGtKdsVxV8A", "Video")</f>
        <v/>
      </c>
      <c r="B4449" t="inlineStr">
        <is>
          <t>640:49</t>
        </is>
      </c>
      <c r="C4449" t="inlineStr">
        <is>
          <t>bit every day and then don't even think</t>
        </is>
      </c>
      <c r="D4449">
        <f>HYPERLINK("https://www.youtube.com/watch?v=xGtKdsVxV8A&amp;t=38449s", "Go to time")</f>
        <v/>
      </c>
    </row>
    <row r="4450">
      <c r="A4450">
        <f>HYPERLINK("https://www.youtube.com/watch?v=xGtKdsVxV8A", "Video")</f>
        <v/>
      </c>
      <c r="B4450" t="inlineStr">
        <is>
          <t>643:14</t>
        </is>
      </c>
      <c r="C4450" t="inlineStr">
        <is>
          <t>done enough work I'm a little bit</t>
        </is>
      </c>
      <c r="D4450">
        <f>HYPERLINK("https://www.youtube.com/watch?v=xGtKdsVxV8A&amp;t=38594s", "Go to time")</f>
        <v/>
      </c>
    </row>
    <row r="4451">
      <c r="A4451">
        <f>HYPERLINK("https://www.youtube.com/watch?v=xGtKdsVxV8A", "Video")</f>
        <v/>
      </c>
      <c r="B4451" t="inlineStr">
        <is>
          <t>645:44</t>
        </is>
      </c>
      <c r="C4451" t="inlineStr">
        <is>
          <t>students a little bit about</t>
        </is>
      </c>
      <c r="D4451">
        <f>HYPERLINK("https://www.youtube.com/watch?v=xGtKdsVxV8A&amp;t=38744s", "Go to time")</f>
        <v/>
      </c>
    </row>
    <row r="4452">
      <c r="A4452">
        <f>HYPERLINK("https://www.youtube.com/watch?v=xGtKdsVxV8A", "Video")</f>
        <v/>
      </c>
      <c r="B4452" t="inlineStr">
        <is>
          <t>648:06</t>
        </is>
      </c>
      <c r="C4452" t="inlineStr">
        <is>
          <t>made me a bit nervous but eventually</t>
        </is>
      </c>
      <c r="D4452">
        <f>HYPERLINK("https://www.youtube.com/watch?v=xGtKdsVxV8A&amp;t=38886s", "Go to time")</f>
        <v/>
      </c>
    </row>
    <row r="4453">
      <c r="A4453">
        <f>HYPERLINK("https://www.youtube.com/watch?v=xGtKdsVxV8A", "Video")</f>
        <v/>
      </c>
      <c r="B4453" t="inlineStr">
        <is>
          <t>661:19</t>
        </is>
      </c>
      <c r="C4453" t="inlineStr">
        <is>
          <t>little bit of accent interference and</t>
        </is>
      </c>
      <c r="D4453">
        <f>HYPERLINK("https://www.youtube.com/watch?v=xGtKdsVxV8A&amp;t=39679s", "Go to time")</f>
        <v/>
      </c>
    </row>
    <row r="4454">
      <c r="A4454">
        <f>HYPERLINK("https://www.youtube.com/watch?v=xGtKdsVxV8A", "Video")</f>
        <v/>
      </c>
      <c r="B4454" t="inlineStr">
        <is>
          <t>661:27</t>
        </is>
      </c>
      <c r="C4454" t="inlineStr">
        <is>
          <t>little bit of accent interference that</t>
        </is>
      </c>
      <c r="D4454">
        <f>HYPERLINK("https://www.youtube.com/watch?v=xGtKdsVxV8A&amp;t=39687s", "Go to time")</f>
        <v/>
      </c>
    </row>
    <row r="4455">
      <c r="A4455">
        <f>HYPERLINK("https://www.youtube.com/watch?v=xGtKdsVxV8A", "Video")</f>
        <v/>
      </c>
      <c r="B4455" t="inlineStr">
        <is>
          <t>665:24</t>
        </is>
      </c>
      <c r="C4455" t="inlineStr">
        <is>
          <t>this mistake it can be a little bit</t>
        </is>
      </c>
      <c r="D4455">
        <f>HYPERLINK("https://www.youtube.com/watch?v=xGtKdsVxV8A&amp;t=39924s", "Go to time")</f>
        <v/>
      </c>
    </row>
    <row r="4456">
      <c r="A4456">
        <f>HYPERLINK("https://www.youtube.com/watch?v=xGtKdsVxV8A", "Video")</f>
        <v/>
      </c>
      <c r="B4456" t="inlineStr">
        <is>
          <t>668:16</t>
        </is>
      </c>
      <c r="C4456" t="inlineStr">
        <is>
          <t>something and and and relax a little bit</t>
        </is>
      </c>
      <c r="D4456">
        <f>HYPERLINK("https://www.youtube.com/watch?v=xGtKdsVxV8A&amp;t=40096s", "Go to time")</f>
        <v/>
      </c>
    </row>
    <row r="4457">
      <c r="A4457">
        <f>HYPERLINK("https://www.youtube.com/watch?v=xGtKdsVxV8A", "Video")</f>
        <v/>
      </c>
      <c r="B4457" t="inlineStr">
        <is>
          <t>675:05</t>
        </is>
      </c>
      <c r="C4457" t="inlineStr">
        <is>
          <t>you tell them a little bit about um like</t>
        </is>
      </c>
      <c r="D4457">
        <f>HYPERLINK("https://www.youtube.com/watch?v=xGtKdsVxV8A&amp;t=40505s", "Go to time")</f>
        <v/>
      </c>
    </row>
    <row r="4458">
      <c r="A4458">
        <f>HYPERLINK("https://www.youtube.com/watch?v=2EGiMjA8YzM", "Video")</f>
        <v/>
      </c>
      <c r="B4458" t="inlineStr">
        <is>
          <t>15:56</t>
        </is>
      </c>
      <c r="C4458" t="inlineStr">
        <is>
          <t>copying bits of the formal letter into</t>
        </is>
      </c>
      <c r="D4458">
        <f>HYPERLINK("https://www.youtube.com/watch?v=2EGiMjA8YzM&amp;t=956s", "Go to time")</f>
        <v/>
      </c>
    </row>
    <row r="4459">
      <c r="A4459">
        <f>HYPERLINK("https://www.youtube.com/watch?v=2EGiMjA8YzM", "Video")</f>
        <v/>
      </c>
      <c r="B4459" t="inlineStr">
        <is>
          <t>19:58</t>
        </is>
      </c>
      <c r="C4459" t="inlineStr">
        <is>
          <t>lot of money okay so in the last bit</t>
        </is>
      </c>
      <c r="D4459">
        <f>HYPERLINK("https://www.youtube.com/watch?v=2EGiMjA8YzM&amp;t=1198s", "Go to time")</f>
        <v/>
      </c>
    </row>
    <row r="4460">
      <c r="A4460">
        <f>HYPERLINK("https://www.youtube.com/watch?v=b6_zfUHwlw8", "Video")</f>
        <v/>
      </c>
      <c r="B4460" t="inlineStr">
        <is>
          <t>12:01</t>
        </is>
      </c>
      <c r="C4460" t="inlineStr">
        <is>
          <t>affected your fluency a little bit</t>
        </is>
      </c>
      <c r="D4460">
        <f>HYPERLINK("https://www.youtube.com/watch?v=b6_zfUHwlw8&amp;t=721s", "Go to time")</f>
        <v/>
      </c>
    </row>
    <row r="4461">
      <c r="A4461">
        <f>HYPERLINK("https://www.youtube.com/watch?v=b6_zfUHwlw8", "Video")</f>
        <v/>
      </c>
      <c r="B4461" t="inlineStr">
        <is>
          <t>15:28</t>
        </is>
      </c>
      <c r="C4461" t="inlineStr">
        <is>
          <t>give yourself a little bit more time you</t>
        </is>
      </c>
      <c r="D4461">
        <f>HYPERLINK("https://www.youtube.com/watch?v=b6_zfUHwlw8&amp;t=928s", "Go to time")</f>
        <v/>
      </c>
    </row>
    <row r="4462">
      <c r="A4462">
        <f>HYPERLINK("https://www.youtube.com/watch?v=b6_zfUHwlw8", "Video")</f>
        <v/>
      </c>
      <c r="B4462" t="inlineStr">
        <is>
          <t>16:10</t>
        </is>
      </c>
      <c r="C4462" t="inlineStr">
        <is>
          <t>doing it it's probably just a habit um</t>
        </is>
      </c>
      <c r="D4462">
        <f>HYPERLINK("https://www.youtube.com/watch?v=b6_zfUHwlw8&amp;t=970s", "Go to time")</f>
        <v/>
      </c>
    </row>
    <row r="4463">
      <c r="A4463">
        <f>HYPERLINK("https://www.youtube.com/watch?v=b6_zfUHwlw8", "Video")</f>
        <v/>
      </c>
      <c r="B4463" t="inlineStr">
        <is>
          <t>19:41</t>
        </is>
      </c>
      <c r="C4463" t="inlineStr">
        <is>
          <t>your energy a little bit that took me</t>
        </is>
      </c>
      <c r="D4463">
        <f>HYPERLINK("https://www.youtube.com/watch?v=b6_zfUHwlw8&amp;t=1181s", "Go to time")</f>
        <v/>
      </c>
    </row>
    <row r="4464">
      <c r="A4464">
        <f>HYPERLINK("https://www.youtube.com/watch?v=wGoc6rHXDns", "Video")</f>
        <v/>
      </c>
      <c r="B4464" t="inlineStr">
        <is>
          <t>0:15</t>
        </is>
      </c>
      <c r="C4464" t="inlineStr">
        <is>
          <t>guys a little bit of extra motivation</t>
        </is>
      </c>
      <c r="D4464">
        <f>HYPERLINK("https://www.youtube.com/watch?v=wGoc6rHXDns&amp;t=15s", "Go to time")</f>
        <v/>
      </c>
    </row>
    <row r="4465">
      <c r="A4465">
        <f>HYPERLINK("https://www.youtube.com/watch?v=wGoc6rHXDns", "Video")</f>
        <v/>
      </c>
      <c r="B4465" t="inlineStr">
        <is>
          <t>0:25</t>
        </is>
      </c>
      <c r="C4465" t="inlineStr">
        <is>
          <t>can you tell me just a little bit of</t>
        </is>
      </c>
      <c r="D4465">
        <f>HYPERLINK("https://www.youtube.com/watch?v=wGoc6rHXDns&amp;t=25s", "Go to time")</f>
        <v/>
      </c>
    </row>
    <row r="4466">
      <c r="A4466">
        <f>HYPERLINK("https://www.youtube.com/watch?v=wGoc6rHXDns", "Video")</f>
        <v/>
      </c>
      <c r="B4466" t="inlineStr">
        <is>
          <t>6:52</t>
        </is>
      </c>
      <c r="C4466" t="inlineStr">
        <is>
          <t>bit anything else that you would say the</t>
        </is>
      </c>
      <c r="D4466">
        <f>HYPERLINK("https://www.youtube.com/watch?v=wGoc6rHXDns&amp;t=412s", "Go to time")</f>
        <v/>
      </c>
    </row>
    <row r="4467">
      <c r="A4467">
        <f>HYPERLINK("https://www.youtube.com/watch?v=8aafXYh_gHA", "Video")</f>
        <v/>
      </c>
      <c r="B4467" t="inlineStr">
        <is>
          <t>2:47</t>
        </is>
      </c>
      <c r="C4467" t="inlineStr">
        <is>
          <t>answers a little bit more an easy way to</t>
        </is>
      </c>
      <c r="D4467">
        <f>HYPERLINK("https://www.youtube.com/watch?v=8aafXYh_gHA&amp;t=167s", "Go to time")</f>
        <v/>
      </c>
    </row>
    <row r="4468">
      <c r="A4468">
        <f>HYPERLINK("https://www.youtube.com/watch?v=8aafXYh_gHA", "Video")</f>
        <v/>
      </c>
      <c r="B4468" t="inlineStr">
        <is>
          <t>2:52</t>
        </is>
      </c>
      <c r="C4468" t="inlineStr">
        <is>
          <t>question and then add a little bit more</t>
        </is>
      </c>
      <c r="D4468">
        <f>HYPERLINK("https://www.youtube.com/watch?v=8aafXYh_gHA&amp;t=172s", "Go to time")</f>
        <v/>
      </c>
    </row>
    <row r="4469">
      <c r="A4469">
        <f>HYPERLINK("https://www.youtube.com/watch?v=8aafXYh_gHA", "Video")</f>
        <v/>
      </c>
      <c r="B4469" t="inlineStr">
        <is>
          <t>2:59</t>
        </is>
      </c>
      <c r="C4469" t="inlineStr">
        <is>
          <t>bit more detail so let me give you an</t>
        </is>
      </c>
      <c r="D4469">
        <f>HYPERLINK("https://www.youtube.com/watch?v=8aafXYh_gHA&amp;t=179s", "Go to time")</f>
        <v/>
      </c>
    </row>
    <row r="4470">
      <c r="A4470">
        <f>HYPERLINK("https://www.youtube.com/watch?v=8aafXYh_gHA", "Video")</f>
        <v/>
      </c>
      <c r="B4470" t="inlineStr">
        <is>
          <t>3:12</t>
        </is>
      </c>
      <c r="C4470" t="inlineStr">
        <is>
          <t>I have a company you know a little bit</t>
        </is>
      </c>
      <c r="D4470">
        <f>HYPERLINK("https://www.youtube.com/watch?v=8aafXYh_gHA&amp;t=192s", "Go to time")</f>
        <v/>
      </c>
    </row>
    <row r="4471">
      <c r="A4471">
        <f>HYPERLINK("https://www.youtube.com/watch?v=8aafXYh_gHA", "Video")</f>
        <v/>
      </c>
      <c r="B4471" t="inlineStr">
        <is>
          <t>3:26</t>
        </is>
      </c>
      <c r="C4471" t="inlineStr">
        <is>
          <t>if you add a little bit more detail or</t>
        </is>
      </c>
      <c r="D4471">
        <f>HYPERLINK("https://www.youtube.com/watch?v=8aafXYh_gHA&amp;t=206s", "Go to time")</f>
        <v/>
      </c>
    </row>
    <row r="4472">
      <c r="A4472">
        <f>HYPERLINK("https://www.youtube.com/watch?v=8aafXYh_gHA", "Video")</f>
        <v/>
      </c>
      <c r="B4472" t="inlineStr">
        <is>
          <t>3:29</t>
        </is>
      </c>
      <c r="C4472" t="inlineStr">
        <is>
          <t>the sentence a little bit more complex</t>
        </is>
      </c>
      <c r="D4472">
        <f>HYPERLINK("https://www.youtube.com/watch?v=8aafXYh_gHA&amp;t=209s", "Go to time")</f>
        <v/>
      </c>
    </row>
    <row r="4473">
      <c r="A4473">
        <f>HYPERLINK("https://www.youtube.com/watch?v=8aafXYh_gHA", "Video")</f>
        <v/>
      </c>
      <c r="B4473" t="inlineStr">
        <is>
          <t>4:29</t>
        </is>
      </c>
      <c r="C4473" t="inlineStr">
        <is>
          <t>little bit more detail you know two or</t>
        </is>
      </c>
      <c r="D4473">
        <f>HYPERLINK("https://www.youtube.com/watch?v=8aafXYh_gHA&amp;t=269s", "Go to time")</f>
        <v/>
      </c>
    </row>
    <row r="4474">
      <c r="A4474">
        <f>HYPERLINK("https://www.youtube.com/watch?v=8aafXYh_gHA", "Video")</f>
        <v/>
      </c>
      <c r="B4474" t="inlineStr">
        <is>
          <t>5:37</t>
        </is>
      </c>
      <c r="C4474" t="inlineStr">
        <is>
          <t>they're a little bit too short</t>
        </is>
      </c>
      <c r="D4474">
        <f>HYPERLINK("https://www.youtube.com/watch?v=8aafXYh_gHA&amp;t=337s", "Go to time")</f>
        <v/>
      </c>
    </row>
    <row r="4475">
      <c r="A4475">
        <f>HYPERLINK("https://www.youtube.com/watch?v=8aafXYh_gHA", "Video")</f>
        <v/>
      </c>
      <c r="B4475" t="inlineStr">
        <is>
          <t>5:54</t>
        </is>
      </c>
      <c r="C4475" t="inlineStr">
        <is>
          <t>I know you're a little bit timid</t>
        </is>
      </c>
      <c r="D4475">
        <f>HYPERLINK("https://www.youtube.com/watch?v=8aafXYh_gHA&amp;t=354s", "Go to time")</f>
        <v/>
      </c>
    </row>
    <row r="4476">
      <c r="A4476">
        <f>HYPERLINK("https://www.youtube.com/watch?v=8aafXYh_gHA", "Video")</f>
        <v/>
      </c>
      <c r="B4476" t="inlineStr">
        <is>
          <t>6:12</t>
        </is>
      </c>
      <c r="C4476" t="inlineStr">
        <is>
          <t>bit low they don't enunciate their words</t>
        </is>
      </c>
      <c r="D4476">
        <f>HYPERLINK("https://www.youtube.com/watch?v=8aafXYh_gHA&amp;t=372s", "Go to time")</f>
        <v/>
      </c>
    </row>
    <row r="4477">
      <c r="A4477">
        <f>HYPERLINK("https://www.youtube.com/watch?v=8aafXYh_gHA", "Video")</f>
        <v/>
      </c>
      <c r="B4477" t="inlineStr">
        <is>
          <t>6:23</t>
        </is>
      </c>
      <c r="C4477" t="inlineStr">
        <is>
          <t>little bit further across the room and</t>
        </is>
      </c>
      <c r="D4477">
        <f>HYPERLINK("https://www.youtube.com/watch?v=8aafXYh_gHA&amp;t=383s", "Go to time")</f>
        <v/>
      </c>
    </row>
    <row r="4478">
      <c r="A4478">
        <f>HYPERLINK("https://www.youtube.com/watch?v=8aafXYh_gHA", "Video")</f>
        <v/>
      </c>
      <c r="B4478" t="inlineStr">
        <is>
          <t>6:55</t>
        </is>
      </c>
      <c r="C4478" t="inlineStr">
        <is>
          <t>and developing your answers a little bit</t>
        </is>
      </c>
      <c r="D4478">
        <f>HYPERLINK("https://www.youtube.com/watch?v=8aafXYh_gHA&amp;t=415s", "Go to time")</f>
        <v/>
      </c>
    </row>
    <row r="4479">
      <c r="A4479">
        <f>HYPERLINK("https://www.youtube.com/watch?v=8aafXYh_gHA", "Video")</f>
        <v/>
      </c>
      <c r="B4479" t="inlineStr">
        <is>
          <t>8:15</t>
        </is>
      </c>
      <c r="C4479" t="inlineStr">
        <is>
          <t>little bit is that saying good yeah good</t>
        </is>
      </c>
      <c r="D4479">
        <f>HYPERLINK("https://www.youtube.com/watch?v=8aafXYh_gHA&amp;t=495s", "Go to time")</f>
        <v/>
      </c>
    </row>
    <row r="4480">
      <c r="A4480">
        <f>HYPERLINK("https://www.youtube.com/watch?v=8aafXYh_gHA", "Video")</f>
        <v/>
      </c>
      <c r="B4480" t="inlineStr">
        <is>
          <t>10:25</t>
        </is>
      </c>
      <c r="C4480" t="inlineStr">
        <is>
          <t>exhibition arts and culture is very much</t>
        </is>
      </c>
      <c r="D4480">
        <f>HYPERLINK("https://www.youtube.com/watch?v=8aafXYh_gHA&amp;t=625s", "Go to time")</f>
        <v/>
      </c>
    </row>
    <row r="4481">
      <c r="A4481">
        <f>HYPERLINK("https://www.youtube.com/watch?v=8aafXYh_gHA", "Video")</f>
        <v/>
      </c>
      <c r="B4481" t="inlineStr">
        <is>
          <t>11:54</t>
        </is>
      </c>
      <c r="C4481" t="inlineStr">
        <is>
          <t>of jobs mean bit you have yes and now</t>
        </is>
      </c>
      <c r="D4481">
        <f>HYPERLINK("https://www.youtube.com/watch?v=8aafXYh_gHA&amp;t=714s", "Go to time")</f>
        <v/>
      </c>
    </row>
    <row r="4482">
      <c r="A4482">
        <f>HYPERLINK("https://www.youtube.com/watch?v=8aafXYh_gHA", "Video")</f>
        <v/>
      </c>
      <c r="B4482" t="inlineStr">
        <is>
          <t>13:55</t>
        </is>
      </c>
      <c r="C4482" t="inlineStr">
        <is>
          <t>a bit quite a long time and but you only</t>
        </is>
      </c>
      <c r="D4482">
        <f>HYPERLINK("https://www.youtube.com/watch?v=8aafXYh_gHA&amp;t=835s", "Go to time")</f>
        <v/>
      </c>
    </row>
    <row r="4483">
      <c r="A4483">
        <f>HYPERLINK("https://www.youtube.com/watch?v=UfdDaYv8Qp4", "Video")</f>
        <v/>
      </c>
      <c r="B4483" t="inlineStr">
        <is>
          <t>3:40</t>
        </is>
      </c>
      <c r="C4483" t="inlineStr">
        <is>
          <t>section two gets a little bit more</t>
        </is>
      </c>
      <c r="D4483">
        <f>HYPERLINK("https://www.youtube.com/watch?v=UfdDaYv8Qp4&amp;t=220s", "Go to time")</f>
        <v/>
      </c>
    </row>
    <row r="4484">
      <c r="A4484">
        <f>HYPERLINK("https://www.youtube.com/watch?v=YXnkHUJwHUc", "Video")</f>
        <v/>
      </c>
      <c r="B4484" t="inlineStr">
        <is>
          <t>0:20</t>
        </is>
      </c>
      <c r="C4484" t="inlineStr">
        <is>
          <t>you tell everybody a little bit about</t>
        </is>
      </c>
      <c r="D4484">
        <f>HYPERLINK("https://www.youtube.com/watch?v=YXnkHUJwHUc&amp;t=20s", "Go to time")</f>
        <v/>
      </c>
    </row>
    <row r="4485">
      <c r="A4485">
        <f>HYPERLINK("https://www.youtube.com/watch?v=YXnkHUJwHUc", "Video")</f>
        <v/>
      </c>
      <c r="B4485" t="inlineStr">
        <is>
          <t>0:40</t>
        </is>
      </c>
      <c r="C4485" t="inlineStr">
        <is>
          <t>it is just a little bit a little bit of</t>
        </is>
      </c>
      <c r="D4485">
        <f>HYPERLINK("https://www.youtube.com/watch?v=YXnkHUJwHUc&amp;t=40s", "Go to time")</f>
        <v/>
      </c>
    </row>
    <row r="4486">
      <c r="A4486">
        <f>HYPERLINK("https://www.youtube.com/watch?v=YXnkHUJwHUc", "Video")</f>
        <v/>
      </c>
      <c r="B4486" t="inlineStr">
        <is>
          <t>4:24</t>
        </is>
      </c>
      <c r="C4486" t="inlineStr">
        <is>
          <t>and it's a bit like fixing bugs in a</t>
        </is>
      </c>
      <c r="D4486">
        <f>HYPERLINK("https://www.youtube.com/watch?v=YXnkHUJwHUc&amp;t=264s", "Go to time")</f>
        <v/>
      </c>
    </row>
    <row r="4487">
      <c r="A4487">
        <f>HYPERLINK("https://www.youtube.com/watch?v=YXnkHUJwHUc", "Video")</f>
        <v/>
      </c>
      <c r="B4487" t="inlineStr">
        <is>
          <t>8:31</t>
        </is>
      </c>
      <c r="C4487" t="inlineStr">
        <is>
          <t>need to be reading a little bit every</t>
        </is>
      </c>
      <c r="D4487">
        <f>HYPERLINK("https://www.youtube.com/watch?v=YXnkHUJwHUc&amp;t=511s", "Go to time")</f>
        <v/>
      </c>
    </row>
    <row r="4488">
      <c r="A4488">
        <f>HYPERLINK("https://www.youtube.com/watch?v=YXnkHUJwHUc", "Video")</f>
        <v/>
      </c>
      <c r="B4488" t="inlineStr">
        <is>
          <t>8:32</t>
        </is>
      </c>
      <c r="C4488" t="inlineStr">
        <is>
          <t>day listening a little bit every day</t>
        </is>
      </c>
      <c r="D4488">
        <f>HYPERLINK("https://www.youtube.com/watch?v=YXnkHUJwHUc&amp;t=512s", "Go to time")</f>
        <v/>
      </c>
    </row>
    <row r="4489">
      <c r="A4489">
        <f>HYPERLINK("https://www.youtube.com/watch?v=YXnkHUJwHUc", "Video")</f>
        <v/>
      </c>
      <c r="B4489" t="inlineStr">
        <is>
          <t>8:34</t>
        </is>
      </c>
      <c r="C4489" t="inlineStr">
        <is>
          <t>speaking a little bit every day writing</t>
        </is>
      </c>
      <c r="D4489">
        <f>HYPERLINK("https://www.youtube.com/watch?v=YXnkHUJwHUc&amp;t=514s", "Go to time")</f>
        <v/>
      </c>
    </row>
    <row r="4490">
      <c r="A4490">
        <f>HYPERLINK("https://www.youtube.com/watch?v=YXnkHUJwHUc", "Video")</f>
        <v/>
      </c>
      <c r="B4490" t="inlineStr">
        <is>
          <t>8:36</t>
        </is>
      </c>
      <c r="C4490" t="inlineStr">
        <is>
          <t>a little bit every day think about why</t>
        </is>
      </c>
      <c r="D4490">
        <f>HYPERLINK("https://www.youtube.com/watch?v=YXnkHUJwHUc&amp;t=516s", "Go to time")</f>
        <v/>
      </c>
    </row>
    <row r="4491">
      <c r="A4491">
        <f>HYPERLINK("https://www.youtube.com/watch?v=YXnkHUJwHUc", "Video")</f>
        <v/>
      </c>
      <c r="B4491" t="inlineStr">
        <is>
          <t>18:05</t>
        </is>
      </c>
      <c r="C4491" t="inlineStr">
        <is>
          <t>be that they just speak a little bit too</t>
        </is>
      </c>
      <c r="D4491">
        <f>HYPERLINK("https://www.youtube.com/watch?v=YXnkHUJwHUc&amp;t=1085s", "Go to time")</f>
        <v/>
      </c>
    </row>
    <row r="4492">
      <c r="A4492">
        <f>HYPERLINK("https://www.youtube.com/watch?v=YXnkHUJwHUc", "Video")</f>
        <v/>
      </c>
      <c r="B4492" t="inlineStr">
        <is>
          <t>18:09</t>
        </is>
      </c>
      <c r="C4492" t="inlineStr">
        <is>
          <t>bit</t>
        </is>
      </c>
      <c r="D4492">
        <f>HYPERLINK("https://www.youtube.com/watch?v=YXnkHUJwHUc&amp;t=1089s", "Go to time")</f>
        <v/>
      </c>
    </row>
    <row r="4493">
      <c r="A4493">
        <f>HYPERLINK("https://www.youtube.com/watch?v=4uRhRB1ENUs", "Video")</f>
        <v/>
      </c>
      <c r="B4493" t="inlineStr">
        <is>
          <t>2:09</t>
        </is>
      </c>
      <c r="C4493" t="inlineStr">
        <is>
          <t>off the Beaten Track a little bit and</t>
        </is>
      </c>
      <c r="D4493">
        <f>HYPERLINK("https://www.youtube.com/watch?v=4uRhRB1ENUs&amp;t=129s", "Go to time")</f>
        <v/>
      </c>
    </row>
    <row r="4494">
      <c r="A4494">
        <f>HYPERLINK("https://www.youtube.com/watch?v=-aBW-RHtcrE", "Video")</f>
        <v/>
      </c>
      <c r="B4494" t="inlineStr">
        <is>
          <t>1:05</t>
        </is>
      </c>
      <c r="C4494" t="inlineStr">
        <is>
          <t>habit to really focus in on the question</t>
        </is>
      </c>
      <c r="D4494">
        <f>HYPERLINK("https://www.youtube.com/watch?v=-aBW-RHtcrE&amp;t=65s", "Go to time")</f>
        <v/>
      </c>
    </row>
    <row r="4495">
      <c r="A4495">
        <f>HYPERLINK("https://www.youtube.com/watch?v=-aBW-RHtcrE", "Video")</f>
        <v/>
      </c>
      <c r="B4495" t="inlineStr">
        <is>
          <t>10:07</t>
        </is>
      </c>
      <c r="C4495" t="inlineStr">
        <is>
          <t>maps and then get a little bit faster a</t>
        </is>
      </c>
      <c r="D4495">
        <f>HYPERLINK("https://www.youtube.com/watch?v=-aBW-RHtcrE&amp;t=607s", "Go to time")</f>
        <v/>
      </c>
    </row>
    <row r="4496">
      <c r="A4496">
        <f>HYPERLINK("https://www.youtube.com/watch?v=-aBW-RHtcrE", "Video")</f>
        <v/>
      </c>
      <c r="B4496" t="inlineStr">
        <is>
          <t>10:10</t>
        </is>
      </c>
      <c r="C4496" t="inlineStr">
        <is>
          <t>little bit faster until you are at exam</t>
        </is>
      </c>
      <c r="D4496">
        <f>HYPERLINK("https://www.youtube.com/watch?v=-aBW-RHtcrE&amp;t=610s", "Go to time")</f>
        <v/>
      </c>
    </row>
    <row r="4497">
      <c r="A4497">
        <f>HYPERLINK("https://www.youtube.com/watch?v=-aBW-RHtcrE", "Video")</f>
        <v/>
      </c>
      <c r="B4497" t="inlineStr">
        <is>
          <t>11:38</t>
        </is>
      </c>
      <c r="C4497" t="inlineStr">
        <is>
          <t>at the map in a little bit more detail</t>
        </is>
      </c>
      <c r="D4497">
        <f>HYPERLINK("https://www.youtube.com/watch?v=-aBW-RHtcrE&amp;t=698s", "Go to time")</f>
        <v/>
      </c>
    </row>
    <row r="4498">
      <c r="A4498">
        <f>HYPERLINK("https://www.youtube.com/watch?v=-aBW-RHtcrE", "Video")</f>
        <v/>
      </c>
      <c r="B4498" t="inlineStr">
        <is>
          <t>23:38</t>
        </is>
      </c>
      <c r="C4498" t="inlineStr">
        <is>
          <t>right thanks I do enjoy a bit of</t>
        </is>
      </c>
      <c r="D4498">
        <f>HYPERLINK("https://www.youtube.com/watch?v=-aBW-RHtcrE&amp;t=1418s", "Go to time")</f>
        <v/>
      </c>
    </row>
    <row r="4499">
      <c r="A4499">
        <f>HYPERLINK("https://www.youtube.com/watch?v=-aBW-RHtcrE", "Video")</f>
        <v/>
      </c>
      <c r="B4499" t="inlineStr">
        <is>
          <t>24:28</t>
        </is>
      </c>
      <c r="C4499" t="inlineStr">
        <is>
          <t>your children will find the exhibits</t>
        </is>
      </c>
      <c r="D4499">
        <f>HYPERLINK("https://www.youtube.com/watch?v=-aBW-RHtcrE&amp;t=1468s", "Go to time")</f>
        <v/>
      </c>
    </row>
    <row r="4500">
      <c r="A4500">
        <f>HYPERLINK("https://www.youtube.com/watch?v=-aBW-RHtcrE", "Video")</f>
        <v/>
      </c>
      <c r="B4500" t="inlineStr">
        <is>
          <t>25:27</t>
        </is>
      </c>
      <c r="C4500" t="inlineStr">
        <is>
          <t>bit early so you can all get seated</t>
        </is>
      </c>
      <c r="D4500">
        <f>HYPERLINK("https://www.youtube.com/watch?v=-aBW-RHtcrE&amp;t=1527s", "Go to time")</f>
        <v/>
      </c>
    </row>
    <row r="4501">
      <c r="A4501">
        <f>HYPERLINK("https://www.youtube.com/watch?v=-aBW-RHtcrE", "Video")</f>
        <v/>
      </c>
      <c r="B4501" t="inlineStr">
        <is>
          <t>25:52</t>
        </is>
      </c>
      <c r="C4501" t="inlineStr">
        <is>
          <t>great thanks I do enjoy a bit of</t>
        </is>
      </c>
      <c r="D4501">
        <f>HYPERLINK("https://www.youtube.com/watch?v=-aBW-RHtcrE&amp;t=1552s", "Go to time")</f>
        <v/>
      </c>
    </row>
    <row r="4502">
      <c r="A4502">
        <f>HYPERLINK("https://www.youtube.com/watch?v=-aBW-RHtcrE", "Video")</f>
        <v/>
      </c>
      <c r="B4502" t="inlineStr">
        <is>
          <t>28:05</t>
        </is>
      </c>
      <c r="C4502" t="inlineStr">
        <is>
          <t>find the exhibits that are quite</t>
        </is>
      </c>
      <c r="D4502">
        <f>HYPERLINK("https://www.youtube.com/watch?v=-aBW-RHtcrE&amp;t=1685s", "Go to time")</f>
        <v/>
      </c>
    </row>
    <row r="4503">
      <c r="A4503">
        <f>HYPERLINK("https://www.youtube.com/watch?v=-aBW-RHtcrE", "Video")</f>
        <v/>
      </c>
      <c r="B4503" t="inlineStr">
        <is>
          <t>30:09</t>
        </is>
      </c>
      <c r="C4503" t="inlineStr">
        <is>
          <t>little bit more so I hope you enjoyed</t>
        </is>
      </c>
      <c r="D4503">
        <f>HYPERLINK("https://www.youtube.com/watch?v=-aBW-RHtcrE&amp;t=1809s", "Go to time")</f>
        <v/>
      </c>
    </row>
    <row r="4504">
      <c r="A4504">
        <f>HYPERLINK("https://www.youtube.com/watch?v=qhxzCiwX11o", "Video")</f>
        <v/>
      </c>
      <c r="B4504" t="inlineStr">
        <is>
          <t>5:31</t>
        </is>
      </c>
      <c r="C4504" t="inlineStr">
        <is>
          <t>little bit that is the general trend</t>
        </is>
      </c>
      <c r="D4504">
        <f>HYPERLINK("https://www.youtube.com/watch?v=qhxzCiwX11o&amp;t=331s", "Go to time")</f>
        <v/>
      </c>
    </row>
    <row r="4505">
      <c r="A4505">
        <f>HYPERLINK("https://www.youtube.com/watch?v=qhxzCiwX11o", "Video")</f>
        <v/>
      </c>
      <c r="B4505" t="inlineStr">
        <is>
          <t>6:40</t>
        </is>
      </c>
      <c r="C4505" t="inlineStr">
        <is>
          <t>to break everything up into bite-sized</t>
        </is>
      </c>
      <c r="D4505">
        <f>HYPERLINK("https://www.youtube.com/watch?v=qhxzCiwX11o&amp;t=400s", "Go to time")</f>
        <v/>
      </c>
    </row>
    <row r="4506">
      <c r="A4506">
        <f>HYPERLINK("https://www.youtube.com/watch?v=qhxzCiwX11o", "Video")</f>
        <v/>
      </c>
      <c r="B4506" t="inlineStr">
        <is>
          <t>6:54</t>
        </is>
      </c>
      <c r="C4506" t="inlineStr">
        <is>
          <t>you would cut it up into bite-sized</t>
        </is>
      </c>
      <c r="D4506">
        <f>HYPERLINK("https://www.youtube.com/watch?v=qhxzCiwX11o&amp;t=414s", "Go to time")</f>
        <v/>
      </c>
    </row>
    <row r="4507">
      <c r="A4507">
        <f>HYPERLINK("https://www.youtube.com/watch?v=qhxzCiwX11o", "Video")</f>
        <v/>
      </c>
      <c r="B4507" t="inlineStr">
        <is>
          <t>17:32</t>
        </is>
      </c>
      <c r="C4507" t="inlineStr">
        <is>
          <t>60 billion so this one's a little bit</t>
        </is>
      </c>
      <c r="D4507">
        <f>HYPERLINK("https://www.youtube.com/watch?v=qhxzCiwX11o&amp;t=1052s", "Go to time")</f>
        <v/>
      </c>
    </row>
    <row r="4508">
      <c r="A4508">
        <f>HYPERLINK("https://www.youtube.com/watch?v=qhxzCiwX11o", "Video")</f>
        <v/>
      </c>
      <c r="B4508" t="inlineStr">
        <is>
          <t>17:34</t>
        </is>
      </c>
      <c r="C4508" t="inlineStr">
        <is>
          <t>over this one's a little bit under so</t>
        </is>
      </c>
      <c r="D4508">
        <f>HYPERLINK("https://www.youtube.com/watch?v=qhxzCiwX11o&amp;t=1054s", "Go to time")</f>
        <v/>
      </c>
    </row>
    <row r="4509">
      <c r="A4509">
        <f>HYPERLINK("https://www.youtube.com/watch?v=qhxzCiwX11o", "Video")</f>
        <v/>
      </c>
      <c r="B4509" t="inlineStr">
        <is>
          <t>18:50</t>
        </is>
      </c>
      <c r="C4509" t="inlineStr">
        <is>
          <t>little bit more detail on that and says</t>
        </is>
      </c>
      <c r="D4509">
        <f>HYPERLINK("https://www.youtube.com/watch?v=qhxzCiwX11o&amp;t=1130s", "Go to time")</f>
        <v/>
      </c>
    </row>
    <row r="4510">
      <c r="A4510">
        <f>HYPERLINK("https://www.youtube.com/watch?v=ZDv9njERj0s", "Video")</f>
        <v/>
      </c>
      <c r="B4510" t="inlineStr">
        <is>
          <t>10:41</t>
        </is>
      </c>
      <c r="C4510" t="inlineStr">
        <is>
          <t>You do have a tiny little bit of,</t>
        </is>
      </c>
      <c r="D4510">
        <f>HYPERLINK("https://www.youtube.com/watch?v=ZDv9njERj0s&amp;t=641s", "Go to time")</f>
        <v/>
      </c>
    </row>
    <row r="4511">
      <c r="A4511">
        <f>HYPERLINK("https://www.youtube.com/watch?v=ZDv9njERj0s", "Video")</f>
        <v/>
      </c>
      <c r="B4511" t="inlineStr">
        <is>
          <t>16:29</t>
        </is>
      </c>
      <c r="C4511" t="inlineStr">
        <is>
          <t>answer the question and then
give a little bit more detail</t>
        </is>
      </c>
      <c r="D4511">
        <f>HYPERLINK("https://www.youtube.com/watch?v=ZDv9njERj0s&amp;t=989s", "Go to time")</f>
        <v/>
      </c>
    </row>
    <row r="4512">
      <c r="A4512">
        <f>HYPERLINK("https://www.youtube.com/watch?v=ZDv9njERj0s", "Video")</f>
        <v/>
      </c>
      <c r="B4512" t="inlineStr">
        <is>
          <t>16:35</t>
        </is>
      </c>
      <c r="C4512" t="inlineStr">
        <is>
          <t>just a little bit more information</t>
        </is>
      </c>
      <c r="D4512">
        <f>HYPERLINK("https://www.youtube.com/watch?v=ZDv9njERj0s&amp;t=995s", "Go to time")</f>
        <v/>
      </c>
    </row>
    <row r="4513">
      <c r="A4513">
        <f>HYPERLINK("https://www.youtube.com/watch?v=ZDv9njERj0s", "Video")</f>
        <v/>
      </c>
      <c r="B4513" t="inlineStr">
        <is>
          <t>19:16</t>
        </is>
      </c>
      <c r="C4513" t="inlineStr">
        <is>
          <t>Part one, give a little
bit more information.</t>
        </is>
      </c>
      <c r="D4513">
        <f>HYPERLINK("https://www.youtube.com/watch?v=ZDv9njERj0s&amp;t=1156s", "Go to time")</f>
        <v/>
      </c>
    </row>
    <row r="4514">
      <c r="A4514">
        <f>HYPERLINK("https://www.youtube.com/watch?v=ZDv9njERj0s", "Video")</f>
        <v/>
      </c>
      <c r="B4514" t="inlineStr">
        <is>
          <t>20:16</t>
        </is>
      </c>
      <c r="C4514" t="inlineStr">
        <is>
          <t>I think, with a little bit of practice,</t>
        </is>
      </c>
      <c r="D4514">
        <f>HYPERLINK("https://www.youtube.com/watch?v=ZDv9njERj0s&amp;t=1216s", "Go to time")</f>
        <v/>
      </c>
    </row>
    <row r="4515">
      <c r="A4515">
        <f>HYPERLINK("https://www.youtube.com/watch?v=yle3Wytf_LE", "Video")</f>
        <v/>
      </c>
      <c r="B4515" t="inlineStr">
        <is>
          <t>3:42</t>
        </is>
      </c>
      <c r="C4515" t="inlineStr">
        <is>
          <t>if we Analyze This a bit further we have</t>
        </is>
      </c>
      <c r="D4515">
        <f>HYPERLINK("https://www.youtube.com/watch?v=yle3Wytf_LE&amp;t=222s", "Go to time")</f>
        <v/>
      </c>
    </row>
    <row r="4516">
      <c r="A4516">
        <f>HYPERLINK("https://www.youtube.com/watch?v=yle3Wytf_LE", "Video")</f>
        <v/>
      </c>
      <c r="B4516" t="inlineStr">
        <is>
          <t>5:41</t>
        </is>
      </c>
      <c r="C4516" t="inlineStr">
        <is>
          <t>you know governments can be a little bit</t>
        </is>
      </c>
      <c r="D4516">
        <f>HYPERLINK("https://www.youtube.com/watch?v=yle3Wytf_LE&amp;t=341s", "Go to time")</f>
        <v/>
      </c>
    </row>
    <row r="4517">
      <c r="A4517">
        <f>HYPERLINK("https://www.youtube.com/watch?v=8l7_4tKrZqM", "Video")</f>
        <v/>
      </c>
      <c r="B4517" t="inlineStr">
        <is>
          <t>12:44</t>
        </is>
      </c>
      <c r="C4517" t="inlineStr">
        <is>
          <t>of these bad habits and the biggest bad</t>
        </is>
      </c>
      <c r="D4517">
        <f>HYPERLINK("https://www.youtube.com/watch?v=8l7_4tKrZqM&amp;t=764s", "Go to time")</f>
        <v/>
      </c>
    </row>
    <row r="4518">
      <c r="A4518">
        <f>HYPERLINK("https://www.youtube.com/watch?v=8l7_4tKrZqM", "Video")</f>
        <v/>
      </c>
      <c r="B4518" t="inlineStr">
        <is>
          <t>12:46</t>
        </is>
      </c>
      <c r="C4518" t="inlineStr">
        <is>
          <t>habit for vocabulary in the speaking</t>
        </is>
      </c>
      <c r="D4518">
        <f>HYPERLINK("https://www.youtube.com/watch?v=8l7_4tKrZqM&amp;t=766s", "Go to time")</f>
        <v/>
      </c>
    </row>
    <row r="4519">
      <c r="A4519">
        <f>HYPERLINK("https://www.youtube.com/watch?v=8l7_4tKrZqM", "Video")</f>
        <v/>
      </c>
      <c r="B4519" t="inlineStr">
        <is>
          <t>29:01</t>
        </is>
      </c>
      <c r="C4519" t="inlineStr">
        <is>
          <t>little bit more common than idioms but</t>
        </is>
      </c>
      <c r="D4519">
        <f>HYPERLINK("https://www.youtube.com/watch?v=8l7_4tKrZqM&amp;t=1741s", "Go to time")</f>
        <v/>
      </c>
    </row>
    <row r="4520">
      <c r="A4520">
        <f>HYPERLINK("https://www.youtube.com/watch?v=eiuK2n_hFvc", "Video")</f>
        <v/>
      </c>
      <c r="B4520" t="inlineStr">
        <is>
          <t>11:39</t>
        </is>
      </c>
      <c r="C4520" t="inlineStr">
        <is>
          <t>into old habits. But by sticking firmly</t>
        </is>
      </c>
      <c r="D4520">
        <f>HYPERLINK("https://www.youtube.com/watch?v=eiuK2n_hFvc&amp;t=699s", "Go to time")</f>
        <v/>
      </c>
    </row>
    <row r="4521">
      <c r="A4521">
        <f>HYPERLINK("https://www.youtube.com/watch?v=ihHU8coGCNw", "Video")</f>
        <v/>
      </c>
      <c r="B4521" t="inlineStr">
        <is>
          <t>7:06</t>
        </is>
      </c>
      <c r="C4521" t="inlineStr">
        <is>
          <t>off by a little bit and then they've</t>
        </is>
      </c>
      <c r="D4521">
        <f>HYPERLINK("https://www.youtube.com/watch?v=ihHU8coGCNw&amp;t=426s", "Go to time")</f>
        <v/>
      </c>
    </row>
    <row r="4522">
      <c r="A4522">
        <f>HYPERLINK("https://www.youtube.com/watch?v=ihHU8coGCNw", "Video")</f>
        <v/>
      </c>
      <c r="B4522" t="inlineStr">
        <is>
          <t>7:11</t>
        </is>
      </c>
      <c r="C4522" t="inlineStr">
        <is>
          <t>that's a little bit too General like</t>
        </is>
      </c>
      <c r="D4522">
        <f>HYPERLINK("https://www.youtube.com/watch?v=ihHU8coGCNw&amp;t=431s", "Go to time")</f>
        <v/>
      </c>
    </row>
    <row r="4523">
      <c r="A4523">
        <f>HYPERLINK("https://www.youtube.com/watch?v=ihHU8coGCNw", "Video")</f>
        <v/>
      </c>
      <c r="B4523" t="inlineStr">
        <is>
          <t>14:06</t>
        </is>
      </c>
      <c r="C4523" t="inlineStr">
        <is>
          <t>sound a bit weird but if you think about</t>
        </is>
      </c>
      <c r="D4523">
        <f>HYPERLINK("https://www.youtube.com/watch?v=ihHU8coGCNw&amp;t=846s", "Go to time")</f>
        <v/>
      </c>
    </row>
    <row r="4524">
      <c r="A4524">
        <f>HYPERLINK("https://www.youtube.com/watch?v=ihHU8coGCNw", "Video")</f>
        <v/>
      </c>
      <c r="B4524" t="inlineStr">
        <is>
          <t>23:58</t>
        </is>
      </c>
      <c r="C4524" t="inlineStr">
        <is>
          <t>zoom out a little bit what can we also</t>
        </is>
      </c>
      <c r="D4524">
        <f>HYPERLINK("https://www.youtube.com/watch?v=ihHU8coGCNw&amp;t=1438s", "Go to time")</f>
        <v/>
      </c>
    </row>
    <row r="4525">
      <c r="A4525">
        <f>HYPERLINK("https://www.youtube.com/watch?v=ihHU8coGCNw", "Video")</f>
        <v/>
      </c>
      <c r="B4525" t="inlineStr">
        <is>
          <t>34:37</t>
        </is>
      </c>
      <c r="C4525" t="inlineStr">
        <is>
          <t>bit more accurate by using</t>
        </is>
      </c>
      <c r="D4525">
        <f>HYPERLINK("https://www.youtube.com/watch?v=ihHU8coGCNw&amp;t=2077s", "Go to time")</f>
        <v/>
      </c>
    </row>
    <row r="4526">
      <c r="A4526">
        <f>HYPERLINK("https://www.youtube.com/watch?v=ihHU8coGCNw", "Video")</f>
        <v/>
      </c>
      <c r="B4526" t="inlineStr">
        <is>
          <t>34:48</t>
        </is>
      </c>
      <c r="C4526" t="inlineStr">
        <is>
          <t>something with just a little bit more</t>
        </is>
      </c>
      <c r="D4526">
        <f>HYPERLINK("https://www.youtube.com/watch?v=ihHU8coGCNw&amp;t=2088s", "Go to time")</f>
        <v/>
      </c>
    </row>
    <row r="4527">
      <c r="A4527">
        <f>HYPERLINK("https://www.youtube.com/watch?v=ihHU8coGCNw", "Video")</f>
        <v/>
      </c>
      <c r="B4527" t="inlineStr">
        <is>
          <t>34:51</t>
        </is>
      </c>
      <c r="C4527" t="inlineStr">
        <is>
          <t>knowledge a little bit more practice a</t>
        </is>
      </c>
      <c r="D4527">
        <f>HYPERLINK("https://www.youtube.com/watch?v=ihHU8coGCNw&amp;t=2091s", "Go to time")</f>
        <v/>
      </c>
    </row>
    <row r="4528">
      <c r="A4528">
        <f>HYPERLINK("https://www.youtube.com/watch?v=ihHU8coGCNw", "Video")</f>
        <v/>
      </c>
      <c r="B4528" t="inlineStr">
        <is>
          <t>34:53</t>
        </is>
      </c>
      <c r="C4528" t="inlineStr">
        <is>
          <t>little bit more feedback now let's look</t>
        </is>
      </c>
      <c r="D4528">
        <f>HYPERLINK("https://www.youtube.com/watch?v=ihHU8coGCNw&amp;t=2093s", "Go to time")</f>
        <v/>
      </c>
    </row>
    <row r="4529">
      <c r="A4529">
        <f>HYPERLINK("https://www.youtube.com/watch?v=5_A5vjLgDec", "Video")</f>
        <v/>
      </c>
      <c r="B4529" t="inlineStr">
        <is>
          <t>5:53</t>
        </is>
      </c>
      <c r="C4529" t="inlineStr">
        <is>
          <t>personal habit something he does</t>
        </is>
      </c>
      <c r="D4529">
        <f>HYPERLINK("https://www.youtube.com/watch?v=5_A5vjLgDec&amp;t=353s", "Go to time")</f>
        <v/>
      </c>
    </row>
    <row r="4530">
      <c r="A4530">
        <f>HYPERLINK("https://www.youtube.com/watch?v=5_A5vjLgDec", "Video")</f>
        <v/>
      </c>
      <c r="B4530" t="inlineStr">
        <is>
          <t>6:02</t>
        </is>
      </c>
      <c r="C4530" t="inlineStr">
        <is>
          <t>habits in the second sentence he's</t>
        </is>
      </c>
      <c r="D4530">
        <f>HYPERLINK("https://www.youtube.com/watch?v=5_A5vjLgDec&amp;t=362s", "Go to time")</f>
        <v/>
      </c>
    </row>
    <row r="4531">
      <c r="A4531">
        <f>HYPERLINK("https://www.youtube.com/watch?v=Sgwl1MLWSPw", "Video")</f>
        <v/>
      </c>
      <c r="B4531" t="inlineStr">
        <is>
          <t>1:27</t>
        </is>
      </c>
      <c r="C4531" t="inlineStr">
        <is>
          <t>you know I just love a little bit of</t>
        </is>
      </c>
      <c r="D4531">
        <f>HYPERLINK("https://www.youtube.com/watch?v=Sgwl1MLWSPw&amp;t=87s", "Go to time")</f>
        <v/>
      </c>
    </row>
    <row r="4532">
      <c r="A4532">
        <f>HYPERLINK("https://www.youtube.com/watch?v=zcWIcECLKmo", "Video")</f>
        <v/>
      </c>
      <c r="B4532" t="inlineStr">
        <is>
          <t>9:33</t>
        </is>
      </c>
      <c r="C4532" t="inlineStr">
        <is>
          <t>bit more would be okay so I think that</t>
        </is>
      </c>
      <c r="D4532">
        <f>HYPERLINK("https://www.youtube.com/watch?v=zcWIcECLKmo&amp;t=573s", "Go to time")</f>
        <v/>
      </c>
    </row>
    <row r="4533">
      <c r="A4533">
        <f>HYPERLINK("https://www.youtube.com/watch?v=zcWIcECLKmo", "Video")</f>
        <v/>
      </c>
      <c r="B4533" t="inlineStr">
        <is>
          <t>10:12</t>
        </is>
      </c>
      <c r="C4533" t="inlineStr">
        <is>
          <t>hold you back a little bit there's</t>
        </is>
      </c>
      <c r="D4533">
        <f>HYPERLINK("https://www.youtube.com/watch?v=zcWIcECLKmo&amp;t=612s", "Go to time")</f>
        <v/>
      </c>
    </row>
    <row r="4534">
      <c r="A4534">
        <f>HYPERLINK("https://www.youtube.com/watch?v=zcWIcECLKmo", "Video")</f>
        <v/>
      </c>
      <c r="B4534" t="inlineStr">
        <is>
          <t>10:47</t>
        </is>
      </c>
      <c r="C4534" t="inlineStr">
        <is>
          <t>that a little bit more it just comes</t>
        </is>
      </c>
      <c r="D4534">
        <f>HYPERLINK("https://www.youtube.com/watch?v=zcWIcECLKmo&amp;t=647s", "Go to time")</f>
        <v/>
      </c>
    </row>
    <row r="4535">
      <c r="A4535">
        <f>HYPERLINK("https://www.youtube.com/watch?v=COcBzsfMlQE", "Video")</f>
        <v/>
      </c>
      <c r="B4535" t="inlineStr">
        <is>
          <t>2:18</t>
        </is>
      </c>
      <c r="C4535" t="inlineStr">
        <is>
          <t>you with finding a little bit more time</t>
        </is>
      </c>
      <c r="D4535">
        <f>HYPERLINK("https://www.youtube.com/watch?v=COcBzsfMlQE&amp;t=138s", "Go to time")</f>
        <v/>
      </c>
    </row>
    <row r="4536">
      <c r="A4536">
        <f>HYPERLINK("https://www.youtube.com/watch?v=95SZgg4U9fU", "Video")</f>
        <v/>
      </c>
      <c r="B4536" t="inlineStr">
        <is>
          <t>3:07</t>
        </is>
      </c>
      <c r="C4536" t="inlineStr">
        <is>
          <t>mind almost like how you would build the
habit which quick little side note if</t>
        </is>
      </c>
      <c r="D4536">
        <f>HYPERLINK("https://www.youtube.com/watch?v=95SZgg4U9fU&amp;t=187s", "Go to time")</f>
        <v/>
      </c>
    </row>
    <row r="4537">
      <c r="A4537">
        <f>HYPERLINK("https://www.youtube.com/watch?v=95SZgg4U9fU", "Video")</f>
        <v/>
      </c>
      <c r="B4537" t="inlineStr">
        <is>
          <t>4:41</t>
        </is>
      </c>
      <c r="C4537" t="inlineStr">
        <is>
          <t>of years back and I did feel a bit
nervous because I was going to be in a</t>
        </is>
      </c>
      <c r="D4537">
        <f>HYPERLINK("https://www.youtube.com/watch?v=95SZgg4U9fU&amp;t=281s", "Go to time")</f>
        <v/>
      </c>
    </row>
    <row r="4538">
      <c r="A4538">
        <f>HYPERLINK("https://www.youtube.com/watch?v=O6VYMW2QvZQ", "Video")</f>
        <v/>
      </c>
      <c r="B4538" t="inlineStr">
        <is>
          <t>1:34</t>
        </is>
      </c>
      <c r="C4538" t="inlineStr">
        <is>
          <t>habit trackers can help you get better</t>
        </is>
      </c>
      <c r="D4538">
        <f>HYPERLINK("https://www.youtube.com/watch?v=O6VYMW2QvZQ&amp;t=94s", "Go to time")</f>
        <v/>
      </c>
    </row>
    <row r="4539">
      <c r="A4539">
        <f>HYPERLINK("https://www.youtube.com/watch?v=7pLagcXhCwg", "Video")</f>
        <v/>
      </c>
      <c r="B4539" t="inlineStr">
        <is>
          <t>3:09</t>
        </is>
      </c>
      <c r="C4539" t="inlineStr">
        <is>
          <t>bit wouldn't you want to be at least</t>
        </is>
      </c>
      <c r="D4539">
        <f>HYPERLINK("https://www.youtube.com/watch?v=7pLagcXhCwg&amp;t=189s", "Go to time")</f>
        <v/>
      </c>
    </row>
    <row r="4540">
      <c r="A4540">
        <f>HYPERLINK("https://www.youtube.com/watch?v=4TboGdB01x0", "Video")</f>
        <v/>
      </c>
      <c r="B4540" t="inlineStr">
        <is>
          <t>1:29</t>
        </is>
      </c>
      <c r="C4540" t="inlineStr">
        <is>
          <t>were a tiny bit lighter
they found bike seats that were slightly</t>
        </is>
      </c>
      <c r="D4540">
        <f>HYPERLINK("https://www.youtube.com/watch?v=4TboGdB01x0&amp;t=89s", "Go to time")</f>
        <v/>
      </c>
    </row>
    <row r="4541">
      <c r="A4541">
        <f>HYPERLINK("https://www.youtube.com/watch?v=4TboGdB01x0", "Video")</f>
        <v/>
      </c>
      <c r="B4541" t="inlineStr">
        <is>
          <t>2:44</t>
        </is>
      </c>
      <c r="C4541" t="inlineStr">
        <is>
          <t>planet believe in the theory of marginal
games I would say the most common habit</t>
        </is>
      </c>
      <c r="D4541">
        <f>HYPERLINK("https://www.youtube.com/watch?v=4TboGdB01x0&amp;t=164s", "Go to time")</f>
        <v/>
      </c>
    </row>
    <row r="4542">
      <c r="A4542">
        <f>HYPERLINK("https://www.youtube.com/watch?v=4TboGdB01x0", "Video")</f>
        <v/>
      </c>
      <c r="B4542" t="inlineStr">
        <is>
          <t>3:31</t>
        </is>
      </c>
      <c r="C4542" t="inlineStr">
        <is>
          <t>you keep improving just a little bit
every single day</t>
        </is>
      </c>
      <c r="D4542">
        <f>HYPERLINK("https://www.youtube.com/watch?v=4TboGdB01x0&amp;t=211s", "Go to time")</f>
        <v/>
      </c>
    </row>
    <row r="4543">
      <c r="A4543">
        <f>HYPERLINK("https://www.youtube.com/watch?v=U5MfuPpjefI", "Video")</f>
        <v/>
      </c>
      <c r="B4543" t="inlineStr">
        <is>
          <t>3:49</t>
        </is>
      </c>
      <c r="C4543" t="inlineStr">
        <is>
          <t>habits, making progress in your projects,
or hitting the gym and you'll start loving</t>
        </is>
      </c>
      <c r="D4543">
        <f>HYPERLINK("https://www.youtube.com/watch?v=U5MfuPpjefI&amp;t=229s", "Go to time")</f>
        <v/>
      </c>
    </row>
    <row r="4544">
      <c r="A4544">
        <f>HYPERLINK("https://www.youtube.com/watch?v=8dSYHbISHzg", "Video")</f>
        <v/>
      </c>
      <c r="B4544" t="inlineStr">
        <is>
          <t>3:38</t>
        </is>
      </c>
      <c r="C4544" t="inlineStr">
        <is>
          <t>or you might mess up or you might look like a fool and that can be a bit scary</t>
        </is>
      </c>
      <c r="D4544">
        <f>HYPERLINK("https://www.youtube.com/watch?v=8dSYHbISHzg&amp;t=218s", "Go to time")</f>
        <v/>
      </c>
    </row>
    <row r="4545">
      <c r="A4545">
        <f>HYPERLINK("https://www.youtube.com/watch?v=60Ov9wl-h_U", "Video")</f>
        <v/>
      </c>
      <c r="B4545" t="inlineStr">
        <is>
          <t>1:46</t>
        </is>
      </c>
      <c r="C4545" t="inlineStr">
        <is>
          <t>gotten into the bad habit of closing ourselves
up from those around us. Say hello, be the</t>
        </is>
      </c>
      <c r="D4545">
        <f>HYPERLINK("https://www.youtube.com/watch?v=60Ov9wl-h_U&amp;t=106s", "Go to time")</f>
        <v/>
      </c>
    </row>
    <row r="4546">
      <c r="A4546">
        <f>HYPERLINK("https://www.youtube.com/watch?v=60Ov9wl-h_U", "Video")</f>
        <v/>
      </c>
      <c r="B4546" t="inlineStr">
        <is>
          <t>2:40</t>
        </is>
      </c>
      <c r="C4546" t="inlineStr">
        <is>
          <t>Yeah, it's pretty darn important to have some
sort of gratitude habit. Life can seem tough</t>
        </is>
      </c>
      <c r="D4546">
        <f>HYPERLINK("https://www.youtube.com/watch?v=60Ov9wl-h_U&amp;t=160s", "Go to time")</f>
        <v/>
      </c>
    </row>
    <row r="4547">
      <c r="A4547">
        <f>HYPERLINK("https://www.youtube.com/watch?v=60Ov9wl-h_U", "Video")</f>
        <v/>
      </c>
      <c r="B4547" t="inlineStr">
        <is>
          <t>8:12</t>
        </is>
      </c>
      <c r="C4547" t="inlineStr">
        <is>
          <t>are a bunch of other habits that I think fit
better first thing in the morning. Such as</t>
        </is>
      </c>
      <c r="D4547">
        <f>HYPERLINK("https://www.youtube.com/watch?v=60Ov9wl-h_U&amp;t=492s", "Go to time")</f>
        <v/>
      </c>
    </row>
    <row r="4548">
      <c r="A4548">
        <f>HYPERLINK("https://www.youtube.com/watch?v=-BQ6WGvZRHc", "Video")</f>
        <v/>
      </c>
      <c r="B4548" t="inlineStr">
        <is>
          <t>0:20</t>
        </is>
      </c>
      <c r="C4548" t="inlineStr">
        <is>
          <t>once you quit your bad habits and</t>
        </is>
      </c>
      <c r="D4548">
        <f>HYPERLINK("https://www.youtube.com/watch?v=-BQ6WGvZRHc&amp;t=20s", "Go to time")</f>
        <v/>
      </c>
    </row>
    <row r="4549">
      <c r="A4549">
        <f>HYPERLINK("https://www.youtube.com/watch?v=-BQ6WGvZRHc", "Video")</f>
        <v/>
      </c>
      <c r="B4549" t="inlineStr">
        <is>
          <t>4:38</t>
        </is>
      </c>
      <c r="C4549" t="inlineStr">
        <is>
          <t>new habits making self-discipline easier</t>
        </is>
      </c>
      <c r="D4549">
        <f>HYPERLINK("https://www.youtube.com/watch?v=-BQ6WGvZRHc&amp;t=278s", "Go to time")</f>
        <v/>
      </c>
    </row>
    <row r="4550">
      <c r="A4550">
        <f>HYPERLINK("https://www.youtube.com/watch?v=-BQ6WGvZRHc", "Video")</f>
        <v/>
      </c>
      <c r="B4550" t="inlineStr">
        <is>
          <t>7:18</t>
        </is>
      </c>
      <c r="C4550" t="inlineStr">
        <is>
          <t>meals and get moving daily these habits</t>
        </is>
      </c>
      <c r="D4550">
        <f>HYPERLINK("https://www.youtube.com/watch?v=-BQ6WGvZRHc&amp;t=438s", "Go to time")</f>
        <v/>
      </c>
    </row>
    <row r="4551">
      <c r="A4551">
        <f>HYPERLINK("https://www.youtube.com/watch?v=-BQ6WGvZRHc", "Video")</f>
        <v/>
      </c>
      <c r="B4551" t="inlineStr">
        <is>
          <t>8:09</t>
        </is>
      </c>
      <c r="C4551" t="inlineStr">
        <is>
          <t>start and as they become habits add more</t>
        </is>
      </c>
      <c r="D4551">
        <f>HYPERLINK("https://www.youtube.com/watch?v=-BQ6WGvZRHc&amp;t=489s", "Go to time")</f>
        <v/>
      </c>
    </row>
    <row r="4552">
      <c r="A4552">
        <f>HYPERLINK("https://www.youtube.com/watch?v=ZGNq0LPH0hk", "Video")</f>
        <v/>
      </c>
      <c r="B4552" t="inlineStr">
        <is>
          <t>1:09</t>
        </is>
      </c>
      <c r="C4552" t="inlineStr">
        <is>
          <t>little bit too much but we are currently
seeing an increase in looting and food</t>
        </is>
      </c>
      <c r="D4552">
        <f>HYPERLINK("https://www.youtube.com/watch?v=ZGNq0LPH0hk&amp;t=69s", "Go to time")</f>
        <v/>
      </c>
    </row>
    <row r="4553">
      <c r="A4553">
        <f>HYPERLINK("https://www.youtube.com/watch?v=aGIreux9IAI", "Video")</f>
        <v/>
      </c>
      <c r="B4553" t="inlineStr">
        <is>
          <t>1:49</t>
        </is>
      </c>
      <c r="C4553" t="inlineStr">
        <is>
          <t>less sensitive is to build up a habit of</t>
        </is>
      </c>
      <c r="D4553">
        <f>HYPERLINK("https://www.youtube.com/watch?v=aGIreux9IAI&amp;t=109s", "Go to time")</f>
        <v/>
      </c>
    </row>
    <row r="4554">
      <c r="A4554">
        <f>HYPERLINK("https://www.youtube.com/watch?v=aGIreux9IAI", "Video")</f>
        <v/>
      </c>
      <c r="B4554" t="inlineStr">
        <is>
          <t>2:23</t>
        </is>
      </c>
      <c r="C4554" t="inlineStr">
        <is>
          <t>but if you manage to build up a habit of</t>
        </is>
      </c>
      <c r="D4554">
        <f>HYPERLINK("https://www.youtube.com/watch?v=aGIreux9IAI&amp;t=143s", "Go to time")</f>
        <v/>
      </c>
    </row>
    <row r="4555">
      <c r="A4555">
        <f>HYPERLINK("https://www.youtube.com/watch?v=H37BDUyCEe0", "Video")</f>
        <v/>
      </c>
      <c r="B4555" t="inlineStr">
        <is>
          <t>0:00</t>
        </is>
      </c>
      <c r="C4555" t="inlineStr">
        <is>
          <t>Meditation is the one habit that I've preached
about the most on this channel. And it's because</t>
        </is>
      </c>
      <c r="D4555">
        <f>HYPERLINK("https://www.youtube.com/watch?v=H37BDUyCEe0&amp;t=0s", "Go to time")</f>
        <v/>
      </c>
    </row>
    <row r="4556">
      <c r="A4556">
        <f>HYPERLINK("https://www.youtube.com/watch?v=H37BDUyCEe0", "Video")</f>
        <v/>
      </c>
      <c r="B4556" t="inlineStr">
        <is>
          <t>0:09</t>
        </is>
      </c>
      <c r="C4556" t="inlineStr">
        <is>
          <t>most challenging habits to build.</t>
        </is>
      </c>
      <c r="D4556">
        <f>HYPERLINK("https://www.youtube.com/watch?v=H37BDUyCEe0&amp;t=9s", "Go to time")</f>
        <v/>
      </c>
    </row>
    <row r="4557">
      <c r="A4557">
        <f>HYPERLINK("https://www.youtube.com/watch?v=H37BDUyCEe0", "Video")</f>
        <v/>
      </c>
      <c r="B4557" t="inlineStr">
        <is>
          <t>0:35</t>
        </is>
      </c>
      <c r="C4557" t="inlineStr">
        <is>
          <t>can find the one best suited for you and your
needs allowing you to build the habit easier</t>
        </is>
      </c>
      <c r="D4557">
        <f>HYPERLINK("https://www.youtube.com/watch?v=H37BDUyCEe0&amp;t=35s", "Go to time")</f>
        <v/>
      </c>
    </row>
    <row r="4558">
      <c r="A4558">
        <f>HYPERLINK("https://www.youtube.com/watch?v=H37BDUyCEe0", "Video")</f>
        <v/>
      </c>
      <c r="B4558" t="inlineStr">
        <is>
          <t>5:00</t>
        </is>
      </c>
      <c r="C4558" t="inlineStr">
        <is>
          <t>On the side note: if you feel like you need
help building a habit of meditation or any</t>
        </is>
      </c>
      <c r="D4558">
        <f>HYPERLINK("https://www.youtube.com/watch?v=H37BDUyCEe0&amp;t=300s", "Go to time")</f>
        <v/>
      </c>
    </row>
    <row r="4559">
      <c r="A4559">
        <f>HYPERLINK("https://www.youtube.com/watch?v=H37BDUyCEe0", "Video")</f>
        <v/>
      </c>
      <c r="B4559" t="inlineStr">
        <is>
          <t>5:04</t>
        </is>
      </c>
      <c r="C4559" t="inlineStr">
        <is>
          <t>habit in general.
– then you should definitely sign up for</t>
        </is>
      </c>
      <c r="D4559">
        <f>HYPERLINK("https://www.youtube.com/watch?v=H37BDUyCEe0&amp;t=304s", "Go to time")</f>
        <v/>
      </c>
    </row>
    <row r="4560">
      <c r="A4560">
        <f>HYPERLINK("https://www.youtube.com/watch?v=H37BDUyCEe0", "Video")</f>
        <v/>
      </c>
      <c r="B4560" t="inlineStr">
        <is>
          <t>5:10</t>
        </is>
      </c>
      <c r="C4560" t="inlineStr">
        <is>
          <t>build habits out over there and you'll also
gain access to a free mini-course!</t>
        </is>
      </c>
      <c r="D4560">
        <f>HYPERLINK("https://www.youtube.com/watch?v=H37BDUyCEe0&amp;t=310s", "Go to time")</f>
        <v/>
      </c>
    </row>
    <row r="4561">
      <c r="A4561">
        <f>HYPERLINK("https://www.youtube.com/watch?v=H37BDUyCEe0", "Video")</f>
        <v/>
      </c>
      <c r="B4561" t="inlineStr">
        <is>
          <t>5:31</t>
        </is>
      </c>
      <c r="C4561" t="inlineStr">
        <is>
          <t>This might sound a bit similar to mindfulness
breathing meditation and that's actually because</t>
        </is>
      </c>
      <c r="D4561">
        <f>HYPERLINK("https://www.youtube.com/watch?v=H37BDUyCEe0&amp;t=331s", "Go to time")</f>
        <v/>
      </c>
    </row>
    <row r="4562">
      <c r="A4562">
        <f>HYPERLINK("https://www.youtube.com/watch?v=H37BDUyCEe0", "Video")</f>
        <v/>
      </c>
      <c r="B4562" t="inlineStr">
        <is>
          <t>12:03</t>
        </is>
      </c>
      <c r="C4562" t="inlineStr">
        <is>
          <t>And remember if you need help building habits
and getting them to actually stick then you</t>
        </is>
      </c>
      <c r="D4562">
        <f>HYPERLINK("https://www.youtube.com/watch?v=H37BDUyCEe0&amp;t=723s", "Go to time")</f>
        <v/>
      </c>
    </row>
    <row r="4563">
      <c r="A4563">
        <f>HYPERLINK("https://www.youtube.com/watch?v=H37BDUyCEe0", "Video")</f>
        <v/>
      </c>
      <c r="B4563" t="inlineStr">
        <is>
          <t>12:12</t>
        </is>
      </c>
      <c r="C4563" t="inlineStr">
        <is>
          <t>will inform you about the next time I run
the Habit Builder Challenge. Which is a special</t>
        </is>
      </c>
      <c r="D4563">
        <f>HYPERLINK("https://www.youtube.com/watch?v=H37BDUyCEe0&amp;t=732s", "Go to time")</f>
        <v/>
      </c>
    </row>
    <row r="4564">
      <c r="A4564">
        <f>HYPERLINK("https://www.youtube.com/watch?v=H37BDUyCEe0", "Video")</f>
        <v/>
      </c>
      <c r="B4564" t="inlineStr">
        <is>
          <t>12:16</t>
        </is>
      </c>
      <c r="C4564" t="inlineStr">
        <is>
          <t>program that I've designed to get people to
stick to their habits. Besides that, I hope</t>
        </is>
      </c>
      <c r="D4564">
        <f>HYPERLINK("https://www.youtube.com/watch?v=H37BDUyCEe0&amp;t=736s", "Go to time")</f>
        <v/>
      </c>
    </row>
    <row r="4565">
      <c r="A4565">
        <f>HYPERLINK("https://www.youtube.com/watch?v=zGTla63LGvc", "Video")</f>
        <v/>
      </c>
      <c r="B4565" t="inlineStr">
        <is>
          <t>3:01</t>
        </is>
      </c>
      <c r="C4565" t="inlineStr">
        <is>
          <t>by Joseph Campbell this one is a bit</t>
        </is>
      </c>
      <c r="D4565">
        <f>HYPERLINK("https://www.youtube.com/watch?v=zGTla63LGvc&amp;t=181s", "Go to time")</f>
        <v/>
      </c>
    </row>
    <row r="4566">
      <c r="A4566">
        <f>HYPERLINK("https://www.youtube.com/watch?v=zGTla63LGvc", "Video")</f>
        <v/>
      </c>
      <c r="B4566" t="inlineStr">
        <is>
          <t>7:27</t>
        </is>
      </c>
      <c r="C4566" t="inlineStr">
        <is>
          <t>implement the same habits and practices</t>
        </is>
      </c>
      <c r="D4566">
        <f>HYPERLINK("https://www.youtube.com/watch?v=zGTla63LGvc&amp;t=447s", "Go to time")</f>
        <v/>
      </c>
    </row>
    <row r="4567">
      <c r="A4567">
        <f>HYPERLINK("https://www.youtube.com/watch?v=zGTla63LGvc", "Video")</f>
        <v/>
      </c>
      <c r="B4567" t="inlineStr">
        <is>
          <t>7:49</t>
        </is>
      </c>
      <c r="C4567" t="inlineStr">
        <is>
          <t>prospecting it's a bit similar to the</t>
        </is>
      </c>
      <c r="D4567">
        <f>HYPERLINK("https://www.youtube.com/watch?v=zGTla63LGvc&amp;t=469s", "Go to time")</f>
        <v/>
      </c>
    </row>
    <row r="4568">
      <c r="A4568">
        <f>HYPERLINK("https://www.youtube.com/watch?v=zGTla63LGvc", "Video")</f>
        <v/>
      </c>
      <c r="B4568" t="inlineStr">
        <is>
          <t>11:15</t>
        </is>
      </c>
      <c r="C4568" t="inlineStr">
        <is>
          <t>back in 1903 so it's a bit dated and can</t>
        </is>
      </c>
      <c r="D4568">
        <f>HYPERLINK("https://www.youtube.com/watch?v=zGTla63LGvc&amp;t=675s", "Go to time")</f>
        <v/>
      </c>
    </row>
    <row r="4569">
      <c r="A4569">
        <f>HYPERLINK("https://www.youtube.com/watch?v=-VL78Og2vP8", "Video")</f>
        <v/>
      </c>
      <c r="B4569" t="inlineStr">
        <is>
          <t>2:30</t>
        </is>
      </c>
      <c r="C4569" t="inlineStr">
        <is>
          <t>interactions second changing work habits</t>
        </is>
      </c>
      <c r="D4569">
        <f>HYPERLINK("https://www.youtube.com/watch?v=-VL78Og2vP8&amp;t=150s", "Go to time")</f>
        <v/>
      </c>
    </row>
    <row r="4570">
      <c r="A4570">
        <f>HYPERLINK("https://www.youtube.com/watch?v=-VL78Og2vP8", "Video")</f>
        <v/>
      </c>
      <c r="B4570" t="inlineStr">
        <is>
          <t>3:51</t>
        </is>
      </c>
      <c r="C4570" t="inlineStr">
        <is>
          <t>now life feels a little bit emptier so</t>
        </is>
      </c>
      <c r="D4570">
        <f>HYPERLINK("https://www.youtube.com/watch?v=-VL78Og2vP8&amp;t=231s", "Go to time")</f>
        <v/>
      </c>
    </row>
    <row r="4571">
      <c r="A4571">
        <f>HYPERLINK("https://www.youtube.com/watch?v=5e57f3H8Bbk", "Video")</f>
        <v/>
      </c>
      <c r="B4571" t="inlineStr">
        <is>
          <t>0:13</t>
        </is>
      </c>
      <c r="C4571" t="inlineStr">
        <is>
          <t>habits I'm reading books I'm working out
but I'm having issues cutting out things</t>
        </is>
      </c>
      <c r="D4571">
        <f>HYPERLINK("https://www.youtube.com/watch?v=5e57f3H8Bbk&amp;t=13s", "Go to time")</f>
        <v/>
      </c>
    </row>
    <row r="4572">
      <c r="A4572">
        <f>HYPERLINK("https://www.youtube.com/watch?v=5e57f3H8Bbk", "Video")</f>
        <v/>
      </c>
      <c r="B4572" t="inlineStr">
        <is>
          <t>1:52</t>
        </is>
      </c>
      <c r="C4572" t="inlineStr">
        <is>
          <t>which has caused a lot of people to form
bad habits and even get addicted to</t>
        </is>
      </c>
      <c r="D4572">
        <f>HYPERLINK("https://www.youtube.com/watch?v=5e57f3H8Bbk&amp;t=112s", "Go to time")</f>
        <v/>
      </c>
    </row>
    <row r="4573">
      <c r="A4573">
        <f>HYPERLINK("https://www.youtube.com/watch?v=5e57f3H8Bbk", "Video")</f>
        <v/>
      </c>
      <c r="B4573" t="inlineStr">
        <is>
          <t>2:19</t>
        </is>
      </c>
      <c r="C4573" t="inlineStr">
        <is>
          <t>well we'll be sticking to all of our
good habits perfectly for a couple of</t>
        </is>
      </c>
      <c r="D4573">
        <f>HYPERLINK("https://www.youtube.com/watch?v=5e57f3H8Bbk&amp;t=139s", "Go to time")</f>
        <v/>
      </c>
    </row>
    <row r="4574">
      <c r="A4574">
        <f>HYPERLINK("https://www.youtube.com/watch?v=5e57f3H8Bbk", "Video")</f>
        <v/>
      </c>
      <c r="B4574" t="inlineStr">
        <is>
          <t>4:07</t>
        </is>
      </c>
      <c r="C4574" t="inlineStr">
        <is>
          <t>that's why I call it zero-sum because
you gain a bit but you also lose a bit</t>
        </is>
      </c>
      <c r="D4574">
        <f>HYPERLINK("https://www.youtube.com/watch?v=5e57f3H8Bbk&amp;t=247s", "Go to time")</f>
        <v/>
      </c>
    </row>
    <row r="4575">
      <c r="A4575">
        <f>HYPERLINK("https://www.youtube.com/watch?v=5e57f3H8Bbk", "Video")</f>
        <v/>
      </c>
      <c r="B4575" t="inlineStr">
        <is>
          <t>4:54</t>
        </is>
      </c>
      <c r="C4575" t="inlineStr">
        <is>
          <t>relieve some stress and satisfy that
monkey brain even though it's only a bit</t>
        </is>
      </c>
      <c r="D4575">
        <f>HYPERLINK("https://www.youtube.com/watch?v=5e57f3H8Bbk&amp;t=294s", "Go to time")</f>
        <v/>
      </c>
    </row>
    <row r="4576">
      <c r="A4576">
        <f>HYPERLINK("https://www.youtube.com/watch?v=5e57f3H8Bbk", "Video")</f>
        <v/>
      </c>
      <c r="B4576" t="inlineStr">
        <is>
          <t>6:35</t>
        </is>
      </c>
      <c r="C4576" t="inlineStr">
        <is>
          <t>it eventually forms into a habit every
habit needs a routine which is the hard</t>
        </is>
      </c>
      <c r="D4576">
        <f>HYPERLINK("https://www.youtube.com/watch?v=5e57f3H8Bbk&amp;t=395s", "Go to time")</f>
        <v/>
      </c>
    </row>
    <row r="4577">
      <c r="A4577">
        <f>HYPERLINK("https://www.youtube.com/watch?v=5e57f3H8Bbk", "Video")</f>
        <v/>
      </c>
      <c r="B4577" t="inlineStr">
        <is>
          <t>6:46</t>
        </is>
      </c>
      <c r="C4577" t="inlineStr">
        <is>
          <t>habit will never form that's right it's
impossible to form new habits without</t>
        </is>
      </c>
      <c r="D4577">
        <f>HYPERLINK("https://www.youtube.com/watch?v=5e57f3H8Bbk&amp;t=406s", "Go to time")</f>
        <v/>
      </c>
    </row>
    <row r="4578">
      <c r="A4578">
        <f>HYPERLINK("https://www.youtube.com/watch?v=5e57f3H8Bbk", "Video")</f>
        <v/>
      </c>
      <c r="B4578" t="inlineStr">
        <is>
          <t>6:50</t>
        </is>
      </c>
      <c r="C4578" t="inlineStr">
        <is>
          <t>good rewards if you'd like to learn more
about how habits work you can check out</t>
        </is>
      </c>
      <c r="D4578">
        <f>HYPERLINK("https://www.youtube.com/watch?v=5e57f3H8Bbk&amp;t=410s", "Go to time")</f>
        <v/>
      </c>
    </row>
    <row r="4579">
      <c r="A4579">
        <f>HYPERLINK("https://www.youtube.com/watch?v=OzPfx_zKwBk", "Video")</f>
        <v/>
      </c>
      <c r="B4579" t="inlineStr">
        <is>
          <t>1:23</t>
        </is>
      </c>
      <c r="C4579" t="inlineStr">
        <is>
          <t>through our habits our lifespan is not</t>
        </is>
      </c>
      <c r="D4579">
        <f>HYPERLINK("https://www.youtube.com/watch?v=OzPfx_zKwBk&amp;t=83s", "Go to time")</f>
        <v/>
      </c>
    </row>
    <row r="4580">
      <c r="A4580">
        <f>HYPERLINK("https://www.youtube.com/watch?v=cRQ3__g32MI", "Video")</f>
        <v/>
      </c>
      <c r="B4580" t="inlineStr">
        <is>
          <t>0:44</t>
        </is>
      </c>
      <c r="C4580" t="inlineStr">
        <is>
          <t>the last couple of weeks the same thing can be 
applied to all your dreams and Ambitions in life</t>
        </is>
      </c>
      <c r="D4580">
        <f>HYPERLINK("https://www.youtube.com/watch?v=cRQ3__g32MI&amp;t=44s", "Go to time")</f>
        <v/>
      </c>
    </row>
    <row r="4581">
      <c r="A4581">
        <f>HYPERLINK("https://www.youtube.com/watch?v=cRQ3__g32MI", "Video")</f>
        <v/>
      </c>
      <c r="B4581" t="inlineStr">
        <is>
          <t>6:54</t>
        </is>
      </c>
      <c r="C4581" t="inlineStr">
        <is>
          <t>all these new habits and do all these great things 
starting tomorrow and we both know how that tends</t>
        </is>
      </c>
      <c r="D4581">
        <f>HYPERLINK("https://www.youtube.com/watch?v=cRQ3__g32MI&amp;t=414s", "Go to time")</f>
        <v/>
      </c>
    </row>
    <row r="4582">
      <c r="A4582">
        <f>HYPERLINK("https://www.youtube.com/watch?v=cRQ3__g32MI", "Video")</f>
        <v/>
      </c>
      <c r="B4582" t="inlineStr">
        <is>
          <t>10:05</t>
        </is>
      </c>
      <c r="C4582" t="inlineStr">
        <is>
          <t>which if you do enough of will actually cause 
people to feel a bit annoyed it is almost always</t>
        </is>
      </c>
      <c r="D4582">
        <f>HYPERLINK("https://www.youtube.com/watch?v=cRQ3__g32MI&amp;t=605s", "Go to time")</f>
        <v/>
      </c>
    </row>
    <row r="4583">
      <c r="A4583">
        <f>HYPERLINK("https://www.youtube.com/watch?v=ci26lD3XyyM", "Video")</f>
        <v/>
      </c>
      <c r="B4583" t="inlineStr">
        <is>
          <t>1:56</t>
        </is>
      </c>
      <c r="C4583" t="inlineStr">
        <is>
          <t>anytime soon what's the point of staying
away from your bad habits if there isn't</t>
        </is>
      </c>
      <c r="D4583">
        <f>HYPERLINK("https://www.youtube.com/watch?v=ci26lD3XyyM&amp;t=116s", "Go to time")</f>
        <v/>
      </c>
    </row>
    <row r="4584">
      <c r="A4584">
        <f>HYPERLINK("https://www.youtube.com/watch?v=aG-1IRwYWqU", "Video")</f>
        <v/>
      </c>
      <c r="B4584" t="inlineStr">
        <is>
          <t>2:07</t>
        </is>
      </c>
      <c r="C4584" t="inlineStr">
        <is>
          <t>Amount of work. We're allowing ourselves to do. We're basically using chunking to get a little bit of extra willpower</t>
        </is>
      </c>
      <c r="D4584">
        <f>HYPERLINK("https://www.youtube.com/watch?v=aG-1IRwYWqU&amp;t=127s", "Go to time")</f>
        <v/>
      </c>
    </row>
    <row r="4585">
      <c r="A4585">
        <f>HYPERLINK("https://www.youtube.com/watch?v=aG-1IRwYWqU", "Video")</f>
        <v/>
      </c>
      <c r="B4585" t="inlineStr">
        <is>
          <t>2:13</t>
        </is>
      </c>
      <c r="C4585" t="inlineStr">
        <is>
          <t>Just enough to force ourselves to stick to our habits</t>
        </is>
      </c>
      <c r="D4585">
        <f>HYPERLINK("https://www.youtube.com/watch?v=aG-1IRwYWqU&amp;t=133s", "Go to time")</f>
        <v/>
      </c>
    </row>
    <row r="4586">
      <c r="A4586">
        <f>HYPERLINK("https://www.youtube.com/watch?v=aG-1IRwYWqU", "Video")</f>
        <v/>
      </c>
      <c r="B4586" t="inlineStr">
        <is>
          <t>4:31</t>
        </is>
      </c>
      <c r="C4586" t="inlineStr">
        <is>
          <t>Identity when you have an identity that aligns with your goals and the habits that you're trying to build this</t>
        </is>
      </c>
      <c r="D4586">
        <f>HYPERLINK("https://www.youtube.com/watch?v=aG-1IRwYWqU&amp;t=271s", "Go to time")</f>
        <v/>
      </c>
    </row>
    <row r="4587">
      <c r="A4587">
        <f>HYPERLINK("https://www.youtube.com/watch?v=aG-1IRwYWqU", "Video")</f>
        <v/>
      </c>
      <c r="B4587" t="inlineStr">
        <is>
          <t>5:13</t>
        </is>
      </c>
      <c r="C4587" t="inlineStr">
        <is>
          <t>Required to stick to this habit another good trick to keep in mind is to replace words like I can't I have to I must</t>
        </is>
      </c>
      <c r="D4587">
        <f>HYPERLINK("https://www.youtube.com/watch?v=aG-1IRwYWqU&amp;t=313s", "Go to time")</f>
        <v/>
      </c>
    </row>
    <row r="4588">
      <c r="A4588">
        <f>HYPERLINK("https://www.youtube.com/watch?v=aG-1IRwYWqU", "Video")</f>
        <v/>
      </c>
      <c r="B4588" t="inlineStr">
        <is>
          <t>6:34</t>
        </is>
      </c>
      <c r="C4588" t="inlineStr">
        <is>
          <t>Have it then you're trying to build in this course and fill out an entire page with why you want to stick to this habit</t>
        </is>
      </c>
      <c r="D4588">
        <f>HYPERLINK("https://www.youtube.com/watch?v=aG-1IRwYWqU&amp;t=394s", "Go to time")</f>
        <v/>
      </c>
    </row>
    <row r="4589">
      <c r="A4589">
        <f>HYPERLINK("https://www.youtube.com/watch?v=aG-1IRwYWqU", "Video")</f>
        <v/>
      </c>
      <c r="B4589" t="inlineStr">
        <is>
          <t>7:18</t>
        </is>
      </c>
      <c r="C4589" t="inlineStr">
        <is>
          <t>It's still gonna be very hard for you to stick to your habits</t>
        </is>
      </c>
      <c r="D4589">
        <f>HYPERLINK("https://www.youtube.com/watch?v=aG-1IRwYWqU&amp;t=438s", "Go to time")</f>
        <v/>
      </c>
    </row>
    <row r="4590">
      <c r="A4590">
        <f>HYPERLINK("https://www.youtube.com/watch?v=b2njoDynrSY", "Video")</f>
        <v/>
      </c>
      <c r="B4590" t="inlineStr">
        <is>
          <t>0:14</t>
        </is>
      </c>
      <c r="C4590" t="inlineStr">
        <is>
          <t>watch all of the videos in today's
lesson we're gonna talk about how habits</t>
        </is>
      </c>
      <c r="D4590">
        <f>HYPERLINK("https://www.youtube.com/watch?v=b2njoDynrSY&amp;t=14s", "Go to time")</f>
        <v/>
      </c>
    </row>
    <row r="4591">
      <c r="A4591">
        <f>HYPERLINK("https://www.youtube.com/watch?v=b2njoDynrSY", "Video")</f>
        <v/>
      </c>
      <c r="B4591" t="inlineStr">
        <is>
          <t>0:27</t>
        </is>
      </c>
      <c r="C4591" t="inlineStr">
        <is>
          <t>new habits and in order for us to do so
we're gonna have to understand how they</t>
        </is>
      </c>
      <c r="D4591">
        <f>HYPERLINK("https://www.youtube.com/watch?v=b2njoDynrSY&amp;t=27s", "Go to time")</f>
        <v/>
      </c>
    </row>
    <row r="4592">
      <c r="A4592">
        <f>HYPERLINK("https://www.youtube.com/watch?v=b2njoDynrSY", "Video")</f>
        <v/>
      </c>
      <c r="B4592" t="inlineStr">
        <is>
          <t>0:34</t>
        </is>
      </c>
      <c r="C4592" t="inlineStr">
        <is>
          <t>certain structure that all habits follow
there's dozens of models out there</t>
        </is>
      </c>
      <c r="D4592">
        <f>HYPERLINK("https://www.youtube.com/watch?v=b2njoDynrSY&amp;t=34s", "Go to time")</f>
        <v/>
      </c>
    </row>
    <row r="4593">
      <c r="A4593">
        <f>HYPERLINK("https://www.youtube.com/watch?v=b2njoDynrSY", "Video")</f>
        <v/>
      </c>
      <c r="B4593" t="inlineStr">
        <is>
          <t>0:41</t>
        </is>
      </c>
      <c r="C4593" t="inlineStr">
        <is>
          <t>of us to understand I'm gonna use my
favorite model the habit loop model</t>
        </is>
      </c>
      <c r="D4593">
        <f>HYPERLINK("https://www.youtube.com/watch?v=b2njoDynrSY&amp;t=41s", "Go to time")</f>
        <v/>
      </c>
    </row>
    <row r="4594">
      <c r="A4594">
        <f>HYPERLINK("https://www.youtube.com/watch?v=b2njoDynrSY", "Video")</f>
        <v/>
      </c>
      <c r="B4594" t="inlineStr">
        <is>
          <t>0:45</t>
        </is>
      </c>
      <c r="C4594" t="inlineStr">
        <is>
          <t>which was introduced by Charles Duhigg
in his book the power of habit the habit</t>
        </is>
      </c>
      <c r="D4594">
        <f>HYPERLINK("https://www.youtube.com/watch?v=b2njoDynrSY&amp;t=45s", "Go to time")</f>
        <v/>
      </c>
    </row>
    <row r="4595">
      <c r="A4595">
        <f>HYPERLINK("https://www.youtube.com/watch?v=b2njoDynrSY", "Video")</f>
        <v/>
      </c>
      <c r="B4595" t="inlineStr">
        <is>
          <t>1:07</t>
        </is>
      </c>
      <c r="C4595" t="inlineStr">
        <is>
          <t>that it should start the habit and
that's where the next step of the habit</t>
        </is>
      </c>
      <c r="D4595">
        <f>HYPERLINK("https://www.youtube.com/watch?v=b2njoDynrSY&amp;t=67s", "Go to time")</f>
        <v/>
      </c>
    </row>
    <row r="4596">
      <c r="A4596">
        <f>HYPERLINK("https://www.youtube.com/watch?v=b2njoDynrSY", "Video")</f>
        <v/>
      </c>
      <c r="B4596" t="inlineStr">
        <is>
          <t>1:11</t>
        </is>
      </c>
      <c r="C4596" t="inlineStr">
        <is>
          <t>loop comes in the second step of the
habit loop is called the routine the</t>
        </is>
      </c>
      <c r="D4596">
        <f>HYPERLINK("https://www.youtube.com/watch?v=b2njoDynrSY&amp;t=71s", "Go to time")</f>
        <v/>
      </c>
    </row>
    <row r="4597">
      <c r="A4597">
        <f>HYPERLINK("https://www.youtube.com/watch?v=b2njoDynrSY", "Video")</f>
        <v/>
      </c>
      <c r="B4597" t="inlineStr">
        <is>
          <t>1:15</t>
        </is>
      </c>
      <c r="C4597" t="inlineStr">
        <is>
          <t>routine is the actual habit itself it's
the behavior that you perform so if you</t>
        </is>
      </c>
      <c r="D4597">
        <f>HYPERLINK("https://www.youtube.com/watch?v=b2njoDynrSY&amp;t=75s", "Go to time")</f>
        <v/>
      </c>
    </row>
    <row r="4598">
      <c r="A4598">
        <f>HYPERLINK("https://www.youtube.com/watch?v=b2njoDynrSY", "Video")</f>
        <v/>
      </c>
      <c r="B4598" t="inlineStr">
        <is>
          <t>1:21</t>
        </is>
      </c>
      <c r="C4598" t="inlineStr">
        <is>
          <t>have a bad habit of smoking cigarettes
it's the act of taking out your pack</t>
        </is>
      </c>
      <c r="D4598">
        <f>HYPERLINK("https://www.youtube.com/watch?v=b2njoDynrSY&amp;t=81s", "Go to time")</f>
        <v/>
      </c>
    </row>
    <row r="4599">
      <c r="A4599">
        <f>HYPERLINK("https://www.youtube.com/watch?v=b2njoDynrSY", "Video")</f>
        <v/>
      </c>
      <c r="B4599" t="inlineStr">
        <is>
          <t>1:29</t>
        </is>
      </c>
      <c r="C4599" t="inlineStr">
        <is>
          <t>the third and final step of the habit
loop is the reward the reward can come</t>
        </is>
      </c>
      <c r="D4599">
        <f>HYPERLINK("https://www.youtube.com/watch?v=b2njoDynrSY&amp;t=89s", "Go to time")</f>
        <v/>
      </c>
    </row>
    <row r="4600">
      <c r="A4600">
        <f>HYPERLINK("https://www.youtube.com/watch?v=b2njoDynrSY", "Video")</f>
        <v/>
      </c>
      <c r="B4600" t="inlineStr">
        <is>
          <t>1:50</t>
        </is>
      </c>
      <c r="C4600" t="inlineStr">
        <is>
          <t>for people that like to smoke in groups
the reason the habit loop is called a</t>
        </is>
      </c>
      <c r="D4600">
        <f>HYPERLINK("https://www.youtube.com/watch?v=b2njoDynrSY&amp;t=110s", "Go to time")</f>
        <v/>
      </c>
    </row>
    <row r="4601">
      <c r="A4601">
        <f>HYPERLINK("https://www.youtube.com/watch?v=b2njoDynrSY", "Video")</f>
        <v/>
      </c>
      <c r="B4601" t="inlineStr">
        <is>
          <t>1:54</t>
        </is>
      </c>
      <c r="C4601" t="inlineStr">
        <is>
          <t>loop is because of the reward if the
reward for the habit is satisfying</t>
        </is>
      </c>
      <c r="D4601">
        <f>HYPERLINK("https://www.youtube.com/watch?v=b2njoDynrSY&amp;t=114s", "Go to time")</f>
        <v/>
      </c>
    </row>
    <row r="4602">
      <c r="A4602">
        <f>HYPERLINK("https://www.youtube.com/watch?v=b2njoDynrSY", "Video")</f>
        <v/>
      </c>
      <c r="B4602" t="inlineStr">
        <is>
          <t>2:29</t>
        </is>
      </c>
      <c r="C4602" t="inlineStr">
        <is>
          <t>to think about doing the routine that's
when a habit is officially formed and</t>
        </is>
      </c>
      <c r="D4602">
        <f>HYPERLINK("https://www.youtube.com/watch?v=b2njoDynrSY&amp;t=149s", "Go to time")</f>
        <v/>
      </c>
    </row>
    <row r="4603">
      <c r="A4603">
        <f>HYPERLINK("https://www.youtube.com/watch?v=b2njoDynrSY", "Video")</f>
        <v/>
      </c>
      <c r="B4603" t="inlineStr">
        <is>
          <t>2:34</t>
        </is>
      </c>
      <c r="C4603" t="inlineStr">
        <is>
          <t>that's the habit loop now you're
probably wondering well this is good</t>
        </is>
      </c>
      <c r="D4603">
        <f>HYPERLINK("https://www.youtube.com/watch?v=b2njoDynrSY&amp;t=154s", "Go to time")</f>
        <v/>
      </c>
    </row>
    <row r="4604">
      <c r="A4604">
        <f>HYPERLINK("https://www.youtube.com/watch?v=b2njoDynrSY", "Video")</f>
        <v/>
      </c>
      <c r="B4604" t="inlineStr">
        <is>
          <t>3:03</t>
        </is>
      </c>
      <c r="C4604" t="inlineStr">
        <is>
          <t>routines we will have successfully
replaced a bad habit with a good one</t>
        </is>
      </c>
      <c r="D4604">
        <f>HYPERLINK("https://www.youtube.com/watch?v=b2njoDynrSY&amp;t=183s", "Go to time")</f>
        <v/>
      </c>
    </row>
    <row r="4605">
      <c r="A4605">
        <f>HYPERLINK("https://www.youtube.com/watch?v=b2njoDynrSY", "Video")</f>
        <v/>
      </c>
      <c r="B4605" t="inlineStr">
        <is>
          <t>3:20</t>
        </is>
      </c>
      <c r="C4605" t="inlineStr">
        <is>
          <t>the reward for your pornography habit is
that it helps you relieve stress maybe</t>
        </is>
      </c>
      <c r="D4605">
        <f>HYPERLINK("https://www.youtube.com/watch?v=b2njoDynrSY&amp;t=200s", "Go to time")</f>
        <v/>
      </c>
    </row>
    <row r="4606">
      <c r="A4606">
        <f>HYPERLINK("https://www.youtube.com/watch?v=b2njoDynrSY", "Video")</f>
        <v/>
      </c>
      <c r="B4606" t="inlineStr">
        <is>
          <t>3:38</t>
        </is>
      </c>
      <c r="C4606" t="inlineStr">
        <is>
          <t>habit that can relieve stress a good
example of this is the habit of lifting</t>
        </is>
      </c>
      <c r="D4606">
        <f>HYPERLINK("https://www.youtube.com/watch?v=b2njoDynrSY&amp;t=218s", "Go to time")</f>
        <v/>
      </c>
    </row>
    <row r="4607">
      <c r="A4607">
        <f>HYPERLINK("https://www.youtube.com/watch?v=b2njoDynrSY", "Video")</f>
        <v/>
      </c>
      <c r="B4607" t="inlineStr">
        <is>
          <t>3:42</t>
        </is>
      </c>
      <c r="C4607" t="inlineStr">
        <is>
          <t>heavy weights
remember habits cannot truly be erased</t>
        </is>
      </c>
      <c r="D4607">
        <f>HYPERLINK("https://www.youtube.com/watch?v=b2njoDynrSY&amp;t=222s", "Go to time")</f>
        <v/>
      </c>
    </row>
    <row r="4608">
      <c r="A4608">
        <f>HYPERLINK("https://www.youtube.com/watch?v=b2njoDynrSY", "Video")</f>
        <v/>
      </c>
      <c r="B4608" t="inlineStr">
        <is>
          <t>3:56</t>
        </is>
      </c>
      <c r="C4608" t="inlineStr">
        <is>
          <t>you to do right now is to grab a pen and
paper and start sketching out the habit</t>
        </is>
      </c>
      <c r="D4608">
        <f>HYPERLINK("https://www.youtube.com/watch?v=b2njoDynrSY&amp;t=236s", "Go to time")</f>
        <v/>
      </c>
    </row>
    <row r="4609">
      <c r="A4609">
        <f>HYPERLINK("https://www.youtube.com/watch?v=b2njoDynrSY", "Video")</f>
        <v/>
      </c>
      <c r="B4609" t="inlineStr">
        <is>
          <t>4:00</t>
        </is>
      </c>
      <c r="C4609" t="inlineStr">
        <is>
          <t>loop for your own addiction the routine
is pretty obvious it's the bad habit</t>
        </is>
      </c>
      <c r="D4609">
        <f>HYPERLINK("https://www.youtube.com/watch?v=b2njoDynrSY&amp;t=240s", "Go to time")</f>
        <v/>
      </c>
    </row>
    <row r="4610">
      <c r="A4610">
        <f>HYPERLINK("https://www.youtube.com/watch?v=b2njoDynrSY", "Video")</f>
        <v/>
      </c>
      <c r="B4610" t="inlineStr">
        <is>
          <t>4:31</t>
        </is>
      </c>
      <c r="C4610" t="inlineStr">
        <is>
          <t>rewards it can be a bit tricky as well
for one every single bad habit that is</t>
        </is>
      </c>
      <c r="D4610">
        <f>HYPERLINK("https://www.youtube.com/watch?v=b2njoDynrSY&amp;t=271s", "Go to time")</f>
        <v/>
      </c>
    </row>
    <row r="4611">
      <c r="A4611">
        <f>HYPERLINK("https://www.youtube.com/watch?v=b2njoDynrSY", "Video")</f>
        <v/>
      </c>
      <c r="B4611" t="inlineStr">
        <is>
          <t>4:44</t>
        </is>
      </c>
      <c r="C4611" t="inlineStr">
        <is>
          <t>power of habit Charles Duhigg looked at
his bad habit of eating cookies every</t>
        </is>
      </c>
      <c r="D4611">
        <f>HYPERLINK("https://www.youtube.com/watch?v=b2njoDynrSY&amp;t=284s", "Go to time")</f>
        <v/>
      </c>
    </row>
    <row r="4612">
      <c r="A4612">
        <f>HYPERLINK("https://www.youtube.com/watch?v=b2njoDynrSY", "Video")</f>
        <v/>
      </c>
      <c r="B4612" t="inlineStr">
        <is>
          <t>5:12</t>
        </is>
      </c>
      <c r="C4612" t="inlineStr">
        <is>
          <t>with this attention to detail a bad
habit like pornography might provide you</t>
        </is>
      </c>
      <c r="D4612">
        <f>HYPERLINK("https://www.youtube.com/watch?v=b2njoDynrSY&amp;t=312s", "Go to time")</f>
        <v/>
      </c>
    </row>
    <row r="4613">
      <c r="A4613">
        <f>HYPERLINK("https://www.youtube.com/watch?v=b2njoDynrSY", "Video")</f>
        <v/>
      </c>
      <c r="B4613" t="inlineStr">
        <is>
          <t>6:17</t>
        </is>
      </c>
      <c r="C4613" t="inlineStr">
        <is>
          <t>habit there's a huge misconception going
around about this some people say it</t>
        </is>
      </c>
      <c r="D4613">
        <f>HYPERLINK("https://www.youtube.com/watch?v=b2njoDynrSY&amp;t=377s", "Go to time")</f>
        <v/>
      </c>
    </row>
    <row r="4614">
      <c r="A4614">
        <f>HYPERLINK("https://www.youtube.com/watch?v=XIrQKo-d7h4", "Video")</f>
        <v/>
      </c>
      <c r="B4614" t="inlineStr">
        <is>
          <t>0:24</t>
        </is>
      </c>
      <c r="C4614" t="inlineStr">
        <is>
          <t>individuals purposely stalled them a bit
and had them wear a t-shirt with a</t>
        </is>
      </c>
      <c r="D4614">
        <f>HYPERLINK("https://www.youtube.com/watch?v=XIrQKo-d7h4&amp;t=24s", "Go to time")</f>
        <v/>
      </c>
    </row>
    <row r="4615">
      <c r="A4615">
        <f>HYPERLINK("https://www.youtube.com/watch?v=XIrQKo-d7h4", "Video")</f>
        <v/>
      </c>
      <c r="B4615" t="inlineStr">
        <is>
          <t>2:45</t>
        </is>
      </c>
      <c r="C4615" t="inlineStr">
        <is>
          <t>you need to start building a mindfulness
habit like meditation where you try to</t>
        </is>
      </c>
      <c r="D4615">
        <f>HYPERLINK("https://www.youtube.com/watch?v=XIrQKo-d7h4&amp;t=165s", "Go to time")</f>
        <v/>
      </c>
    </row>
    <row r="4616">
      <c r="A4616">
        <f>HYPERLINK("https://www.youtube.com/watch?v=XIrQKo-d7h4", "Video")</f>
        <v/>
      </c>
      <c r="B4616" t="inlineStr">
        <is>
          <t>4:06</t>
        </is>
      </c>
      <c r="C4616" t="inlineStr">
        <is>
          <t>might sound a bit sad to realize this
but in reality you'll feel a huge weight</t>
        </is>
      </c>
      <c r="D4616">
        <f>HYPERLINK("https://www.youtube.com/watch?v=XIrQKo-d7h4&amp;t=246s", "Go to time")</f>
        <v/>
      </c>
    </row>
    <row r="4617">
      <c r="A4617">
        <f>HYPERLINK("https://www.youtube.com/watch?v=7BExiT0JFGg", "Video")</f>
        <v/>
      </c>
      <c r="B4617" t="inlineStr">
        <is>
          <t>4:49</t>
        </is>
      </c>
      <c r="C4617" t="inlineStr">
        <is>
          <t>One of my favorite segments on their app is
actually their summary on the 7 habits of</t>
        </is>
      </c>
      <c r="D4617">
        <f>HYPERLINK("https://www.youtube.com/watch?v=7BExiT0JFGg&amp;t=289s", "Go to time")</f>
        <v/>
      </c>
    </row>
    <row r="4618">
      <c r="A4618">
        <f>HYPERLINK("https://www.youtube.com/watch?v=7BExiT0JFGg", "Video")</f>
        <v/>
      </c>
      <c r="B4618" t="inlineStr">
        <is>
          <t>4:54</t>
        </is>
      </c>
      <c r="C4618" t="inlineStr">
        <is>
          <t>These are 7 powerful habits that will drastically
change your life if you can implement them.</t>
        </is>
      </c>
      <c r="D4618">
        <f>HYPERLINK("https://www.youtube.com/watch?v=7BExiT0JFGg&amp;t=294s", "Go to time")</f>
        <v/>
      </c>
    </row>
    <row r="4619">
      <c r="A4619">
        <f>HYPERLINK("https://www.youtube.com/watch?v=0xUSePMuLbg", "Video")</f>
        <v/>
      </c>
      <c r="B4619" t="inlineStr">
        <is>
          <t>5:46</t>
        </is>
      </c>
      <c r="C4619" t="inlineStr">
        <is>
          <t>maintain healthier habits or manage</t>
        </is>
      </c>
      <c r="D4619">
        <f>HYPERLINK("https://www.youtube.com/watch?v=0xUSePMuLbg&amp;t=346s", "Go to time")</f>
        <v/>
      </c>
    </row>
    <row r="4620">
      <c r="A4620">
        <f>HYPERLINK("https://www.youtube.com/watch?v=0xUSePMuLbg", "Video")</f>
        <v/>
      </c>
      <c r="B4620" t="inlineStr">
        <is>
          <t>6:03</t>
        </is>
      </c>
      <c r="C4620" t="inlineStr">
        <is>
          <t>don't set overly ambitious goals when</t>
        </is>
      </c>
      <c r="D4620">
        <f>HYPERLINK("https://www.youtube.com/watch?v=0xUSePMuLbg&amp;t=363s", "Go to time")</f>
        <v/>
      </c>
    </row>
    <row r="4621">
      <c r="A4621">
        <f>HYPERLINK("https://www.youtube.com/watch?v=0xUSePMuLbg", "Video")</f>
        <v/>
      </c>
      <c r="B4621" t="inlineStr">
        <is>
          <t>6:08</t>
        </is>
      </c>
      <c r="C4621" t="inlineStr">
        <is>
          <t>the goals as ambitious as possible we</t>
        </is>
      </c>
      <c r="D4621">
        <f>HYPERLINK("https://www.youtube.com/watch?v=0xUSePMuLbg&amp;t=368s", "Go to time")</f>
        <v/>
      </c>
    </row>
    <row r="4622">
      <c r="A4622">
        <f>HYPERLINK("https://www.youtube.com/watch?v=0xUSePMuLbg", "Video")</f>
        <v/>
      </c>
      <c r="B4622" t="inlineStr">
        <is>
          <t>6:15</t>
        </is>
      </c>
      <c r="C4622" t="inlineStr">
        <is>
          <t>ambition is good this usually backfires</t>
        </is>
      </c>
      <c r="D4622">
        <f>HYPERLINK("https://www.youtube.com/watch?v=0xUSePMuLbg&amp;t=375s", "Go to time")</f>
        <v/>
      </c>
    </row>
    <row r="4623">
      <c r="A4623">
        <f>HYPERLINK("https://www.youtube.com/watch?v=0xUSePMuLbg", "Video")</f>
        <v/>
      </c>
      <c r="B4623" t="inlineStr">
        <is>
          <t>6:42</t>
        </is>
      </c>
      <c r="C4623" t="inlineStr">
        <is>
          <t>the habit of working out making sure her</t>
        </is>
      </c>
      <c r="D4623">
        <f>HYPERLINK("https://www.youtube.com/watch?v=0xUSePMuLbg&amp;t=402s", "Go to time")</f>
        <v/>
      </c>
    </row>
    <row r="4624">
      <c r="A4624">
        <f>HYPERLINK("https://www.youtube.com/watch?v=0xUSePMuLbg", "Video")</f>
        <v/>
      </c>
      <c r="B4624" t="inlineStr">
        <is>
          <t>6:48</t>
        </is>
      </c>
      <c r="C4624" t="inlineStr">
        <is>
          <t>just a bit of weight each week for her</t>
        </is>
      </c>
      <c r="D4624">
        <f>HYPERLINK("https://www.youtube.com/watch?v=0xUSePMuLbg&amp;t=408s", "Go to time")</f>
        <v/>
      </c>
    </row>
    <row r="4625">
      <c r="A4625">
        <f>HYPERLINK("https://www.youtube.com/watch?v=3wPIahk-1vE", "Video")</f>
        <v/>
      </c>
      <c r="B4625" t="inlineStr">
        <is>
          <t>0:14</t>
        </is>
      </c>
      <c r="C4625" t="inlineStr">
        <is>
          <t>video you'll learn three habits that</t>
        </is>
      </c>
      <c r="D4625">
        <f>HYPERLINK("https://www.youtube.com/watch?v=3wPIahk-1vE&amp;t=14s", "Go to time")</f>
        <v/>
      </c>
    </row>
    <row r="4626">
      <c r="A4626">
        <f>HYPERLINK("https://www.youtube.com/watch?v=3wPIahk-1vE", "Video")</f>
        <v/>
      </c>
      <c r="B4626" t="inlineStr">
        <is>
          <t>6:51</t>
        </is>
      </c>
      <c r="C4626" t="inlineStr">
        <is>
          <t>other unusual habits from your favorite</t>
        </is>
      </c>
      <c r="D4626">
        <f>HYPERLINK("https://www.youtube.com/watch?v=3wPIahk-1vE&amp;t=411s", "Go to time")</f>
        <v/>
      </c>
    </row>
    <row r="4627">
      <c r="A4627">
        <f>HYPERLINK("https://www.youtube.com/watch?v=oAU2-04RGtA", "Video")</f>
        <v/>
      </c>
      <c r="B4627" t="inlineStr">
        <is>
          <t>1:19</t>
        </is>
      </c>
      <c r="C4627" t="inlineStr">
        <is>
          <t>in circles this is a pacifying behavior that is 
often used when people are feeling a bit anxious</t>
        </is>
      </c>
      <c r="D4627">
        <f>HYPERLINK("https://www.youtube.com/watch?v=oAU2-04RGtA&amp;t=79s", "Go to time")</f>
        <v/>
      </c>
    </row>
    <row r="4628">
      <c r="A4628">
        <f>HYPERLINK("https://www.youtube.com/watch?v=oAU2-04RGtA", "Video")</f>
        <v/>
      </c>
      <c r="B4628" t="inlineStr">
        <is>
          <t>3:01</t>
        </is>
      </c>
      <c r="C4628" t="inlineStr">
        <is>
          <t>this is usually a sign of a huge problem and that 
a fight is about to happen nail biting this is a</t>
        </is>
      </c>
      <c r="D4628">
        <f>HYPERLINK("https://www.youtube.com/watch?v=oAU2-04RGtA&amp;t=181s", "Go to time")</f>
        <v/>
      </c>
    </row>
    <row r="4629">
      <c r="A4629">
        <f>HYPERLINK("https://www.youtube.com/watch?v=oAU2-04RGtA", "Video")</f>
        <v/>
      </c>
      <c r="B4629" t="inlineStr">
        <is>
          <t>3:12</t>
        </is>
      </c>
      <c r="C4629" t="inlineStr">
        <is>
          <t>extreme the nail-biting the higher the levels 
of stress this person is currently feeling it</t>
        </is>
      </c>
      <c r="D4629">
        <f>HYPERLINK("https://www.youtube.com/watch?v=oAU2-04RGtA&amp;t=192s", "Go to time")</f>
        <v/>
      </c>
    </row>
    <row r="4630">
      <c r="A4630">
        <f>HYPERLINK("https://www.youtube.com/watch?v=JgVfgQzW7k8", "Video")</f>
        <v/>
      </c>
      <c r="B4630" t="inlineStr">
        <is>
          <t>5:42</t>
        </is>
      </c>
      <c r="C4630" t="inlineStr">
        <is>
          <t>I've actually been working on my Spanish
a bit because I eventually want to visit</t>
        </is>
      </c>
      <c r="D4630">
        <f>HYPERLINK("https://www.youtube.com/watch?v=JgVfgQzW7k8&amp;t=342s", "Go to time")</f>
        <v/>
      </c>
    </row>
    <row r="4631">
      <c r="A4631">
        <f>HYPERLINK("https://www.youtube.com/watch?v=JgVfgQzW7k8", "Video")</f>
        <v/>
      </c>
      <c r="B4631" t="inlineStr">
        <is>
          <t>7:35</t>
        </is>
      </c>
      <c r="C4631" t="inlineStr">
        <is>
          <t>should help you build and break habits
easier these are only some of the</t>
        </is>
      </c>
      <c r="D4631">
        <f>HYPERLINK("https://www.youtube.com/watch?v=JgVfgQzW7k8&amp;t=455s", "Go to time")</f>
        <v/>
      </c>
    </row>
    <row r="4632">
      <c r="A4632">
        <f>HYPERLINK("https://www.youtube.com/watch?v=JgVfgQzW7k8", "Video")</f>
        <v/>
      </c>
      <c r="B4632" t="inlineStr">
        <is>
          <t>8:55</t>
        </is>
      </c>
      <c r="C4632" t="inlineStr">
        <is>
          <t>from turning to your bad habits and this
is only one of the many reasons why</t>
        </is>
      </c>
      <c r="D4632">
        <f>HYPERLINK("https://www.youtube.com/watch?v=JgVfgQzW7k8&amp;t=535s", "Go to time")</f>
        <v/>
      </c>
    </row>
    <row r="4633">
      <c r="A4633">
        <f>HYPERLINK("https://www.youtube.com/watch?v=w4gIJVnXhsY", "Video")</f>
        <v/>
      </c>
      <c r="B4633" t="inlineStr">
        <is>
          <t>2:21</t>
        </is>
      </c>
      <c r="C4633" t="inlineStr">
        <is>
          <t>habit of exercise when you're in a rut</t>
        </is>
      </c>
      <c r="D4633">
        <f>HYPERLINK("https://www.youtube.com/watch?v=w4gIJVnXhsY&amp;t=141s", "Go to time")</f>
        <v/>
      </c>
    </row>
    <row r="4634">
      <c r="A4634">
        <f>HYPERLINK("https://www.youtube.com/watch?v=6pgaJb2Wwhs", "Video")</f>
        <v/>
      </c>
      <c r="B4634" t="inlineStr">
        <is>
          <t>1:44</t>
        </is>
      </c>
      <c r="C4634" t="inlineStr">
        <is>
          <t>did but nowadays it's a little bit</t>
        </is>
      </c>
      <c r="D4634">
        <f>HYPERLINK("https://www.youtube.com/watch?v=6pgaJb2Wwhs&amp;t=104s", "Go to time")</f>
        <v/>
      </c>
    </row>
    <row r="4635">
      <c r="A4635">
        <f>HYPERLINK("https://www.youtube.com/watch?v=vOQCsc02xus", "Video")</f>
        <v/>
      </c>
      <c r="B4635" t="inlineStr">
        <is>
          <t>1:01</t>
        </is>
      </c>
      <c r="C4635" t="inlineStr">
        <is>
          <t>bit, you start counting down from 3. You go 3...2...1
and once you hit one, you stop whatever you're</t>
        </is>
      </c>
      <c r="D4635">
        <f>HYPERLINK("https://www.youtube.com/watch?v=vOQCsc02xus&amp;t=61s", "Go to time")</f>
        <v/>
      </c>
    </row>
    <row r="4636">
      <c r="A4636">
        <f>HYPERLINK("https://www.youtube.com/watch?v=vOQCsc02xus", "Video")</f>
        <v/>
      </c>
      <c r="B4636" t="inlineStr">
        <is>
          <t>1:41</t>
        </is>
      </c>
      <c r="C4636" t="inlineStr">
        <is>
          <t>make it into a habit. They say that it takes
about 21 days to form a habit. However in</t>
        </is>
      </c>
      <c r="D4636">
        <f>HYPERLINK("https://www.youtube.com/watch?v=vOQCsc02xus&amp;t=101s", "Go to time")</f>
        <v/>
      </c>
    </row>
    <row r="4637">
      <c r="A4637">
        <f>HYPERLINK("https://www.youtube.com/watch?v=vOQCsc02xus", "Video")</f>
        <v/>
      </c>
      <c r="B4637" t="inlineStr">
        <is>
          <t>2:40</t>
        </is>
      </c>
      <c r="C4637" t="inlineStr">
        <is>
          <t>positive new habits. Let's say that you've
been trying to go to the gym for a while now.</t>
        </is>
      </c>
      <c r="D4637">
        <f>HYPERLINK("https://www.youtube.com/watch?v=vOQCsc02xus&amp;t=160s", "Go to time")</f>
        <v/>
      </c>
    </row>
    <row r="4638">
      <c r="A4638">
        <f>HYPERLINK("https://www.youtube.com/watch?v=vOQCsc02xus", "Video")</f>
        <v/>
      </c>
      <c r="B4638" t="inlineStr">
        <is>
          <t>3:27</t>
        </is>
      </c>
      <c r="C4638" t="inlineStr">
        <is>
          <t>negative habits. Things like smoking or drinking.If you've ingrained the 3 2 1 strongly enough in your brain, you can</t>
        </is>
      </c>
      <c r="D4638">
        <f>HYPERLINK("https://www.youtube.com/watch?v=vOQCsc02xus&amp;t=207s", "Go to time")</f>
        <v/>
      </c>
    </row>
    <row r="4639">
      <c r="A4639">
        <f>HYPERLINK("https://www.youtube.com/watch?v=KWRSoa4s64Q", "Video")</f>
        <v/>
      </c>
      <c r="B4639" t="inlineStr">
        <is>
          <t>2:19</t>
        </is>
      </c>
      <c r="C4639" t="inlineStr">
        <is>
          <t>building habits Avenue catchphrase that
I've been saying to a lot of my students</t>
        </is>
      </c>
      <c r="D4639">
        <f>HYPERLINK("https://www.youtube.com/watch?v=KWRSoa4s64Q&amp;t=139s", "Go to time")</f>
        <v/>
      </c>
    </row>
    <row r="4640">
      <c r="A4640">
        <f>HYPERLINK("https://www.youtube.com/watch?v=KWRSoa4s64Q", "Video")</f>
        <v/>
      </c>
      <c r="B4640" t="inlineStr">
        <is>
          <t>2:23</t>
        </is>
      </c>
      <c r="C4640" t="inlineStr">
        <is>
          <t>in the habit builder challenge which by
the way has been extremely effective in</t>
        </is>
      </c>
      <c r="D4640">
        <f>HYPERLINK("https://www.youtube.com/watch?v=KWRSoa4s64Q&amp;t=143s", "Go to time")</f>
        <v/>
      </c>
    </row>
    <row r="4641">
      <c r="A4641">
        <f>HYPERLINK("https://www.youtube.com/watch?v=KWRSoa4s64Q", "Video")</f>
        <v/>
      </c>
      <c r="B4641" t="inlineStr">
        <is>
          <t>2:27</t>
        </is>
      </c>
      <c r="C4641" t="inlineStr">
        <is>
          <t>getting people to build new habits and
overcome their bad ones and is going to</t>
        </is>
      </c>
      <c r="D4641">
        <f>HYPERLINK("https://www.youtube.com/watch?v=KWRSoa4s64Q&amp;t=147s", "Go to time")</f>
        <v/>
      </c>
    </row>
    <row r="4642">
      <c r="A4642">
        <f>HYPERLINK("https://www.youtube.com/watch?v=KWRSoa4s64Q", "Video")</f>
        <v/>
      </c>
      <c r="B4642" t="inlineStr">
        <is>
          <t>2:42</t>
        </is>
      </c>
      <c r="C4642" t="inlineStr">
        <is>
          <t>the life you want is only a couple of
habits away right the ideal life that</t>
        </is>
      </c>
      <c r="D4642">
        <f>HYPERLINK("https://www.youtube.com/watch?v=KWRSoa4s64Q&amp;t=162s", "Go to time")</f>
        <v/>
      </c>
    </row>
    <row r="4643">
      <c r="A4643">
        <f>HYPERLINK("https://www.youtube.com/watch?v=KWRSoa4s64Q", "Video")</f>
        <v/>
      </c>
      <c r="B4643" t="inlineStr">
        <is>
          <t>2:46</t>
        </is>
      </c>
      <c r="C4643" t="inlineStr">
        <is>
          <t>you want can be achieved if you build
the right habits for example if your</t>
        </is>
      </c>
      <c r="D4643">
        <f>HYPERLINK("https://www.youtube.com/watch?v=KWRSoa4s64Q&amp;t=166s", "Go to time")</f>
        <v/>
      </c>
    </row>
    <row r="4644">
      <c r="A4644">
        <f>HYPERLINK("https://www.youtube.com/watch?v=KWRSoa4s64Q", "Video")</f>
        <v/>
      </c>
      <c r="B4644" t="inlineStr">
        <is>
          <t>2:55</t>
        </is>
      </c>
      <c r="C4644" t="inlineStr">
        <is>
          <t>really have to build a sort of fitness
and diet habit and you're good to go the</t>
        </is>
      </c>
      <c r="D4644">
        <f>HYPERLINK("https://www.youtube.com/watch?v=KWRSoa4s64Q&amp;t=175s", "Go to time")</f>
        <v/>
      </c>
    </row>
    <row r="4645">
      <c r="A4645">
        <f>HYPERLINK("https://www.youtube.com/watch?v=KWRSoa4s64Q", "Video")</f>
        <v/>
      </c>
      <c r="B4645" t="inlineStr">
        <is>
          <t>3:04</t>
        </is>
      </c>
      <c r="C4645" t="inlineStr">
        <is>
          <t>it comes to building and sticking to
these life changing habits it's actually</t>
        </is>
      </c>
      <c r="D4645">
        <f>HYPERLINK("https://www.youtube.com/watch?v=KWRSoa4s64Q&amp;t=184s", "Go to time")</f>
        <v/>
      </c>
    </row>
    <row r="4646">
      <c r="A4646">
        <f>HYPERLINK("https://www.youtube.com/watch?v=KWRSoa4s64Q", "Video")</f>
        <v/>
      </c>
      <c r="B4646" t="inlineStr">
        <is>
          <t>3:08</t>
        </is>
      </c>
      <c r="C4646" t="inlineStr">
        <is>
          <t>impossible to build a habit without a
decent reward because the reward plays a</t>
        </is>
      </c>
      <c r="D4646">
        <f>HYPERLINK("https://www.youtube.com/watch?v=KWRSoa4s64Q&amp;t=188s", "Go to time")</f>
        <v/>
      </c>
    </row>
    <row r="4647">
      <c r="A4647">
        <f>HYPERLINK("https://www.youtube.com/watch?v=KWRSoa4s64Q", "Video")</f>
        <v/>
      </c>
      <c r="B4647" t="inlineStr">
        <is>
          <t>3:28</t>
        </is>
      </c>
      <c r="C4647" t="inlineStr">
        <is>
          <t>the habit and sticking to the habit will
never become easier so when I started my</t>
        </is>
      </c>
      <c r="D4647">
        <f>HYPERLINK("https://www.youtube.com/watch?v=KWRSoa4s64Q&amp;t=208s", "Go to time")</f>
        <v/>
      </c>
    </row>
    <row r="4648">
      <c r="A4648">
        <f>HYPERLINK("https://www.youtube.com/watch?v=KWRSoa4s64Q", "Video")</f>
        <v/>
      </c>
      <c r="B4648" t="inlineStr">
        <is>
          <t>3:33</t>
        </is>
      </c>
      <c r="C4648" t="inlineStr">
        <is>
          <t>self-improvement journey and I started
building a bunch of habits I actually</t>
        </is>
      </c>
      <c r="D4648">
        <f>HYPERLINK("https://www.youtube.com/watch?v=KWRSoa4s64Q&amp;t=213s", "Go to time")</f>
        <v/>
      </c>
    </row>
    <row r="4649">
      <c r="A4649">
        <f>HYPERLINK("https://www.youtube.com/watch?v=KWRSoa4s64Q", "Video")</f>
        <v/>
      </c>
      <c r="B4649" t="inlineStr">
        <is>
          <t>4:08</t>
        </is>
      </c>
      <c r="C4649" t="inlineStr">
        <is>
          <t>habit people are often surprised when
they find out how much time I spend on</t>
        </is>
      </c>
      <c r="D4649">
        <f>HYPERLINK("https://www.youtube.com/watch?v=KWRSoa4s64Q&amp;t=248s", "Go to time")</f>
        <v/>
      </c>
    </row>
    <row r="4650">
      <c r="A4650">
        <f>HYPERLINK("https://www.youtube.com/watch?v=KWRSoa4s64Q", "Video")</f>
        <v/>
      </c>
      <c r="B4650" t="inlineStr">
        <is>
          <t>5:13</t>
        </is>
      </c>
      <c r="C4650" t="inlineStr">
        <is>
          <t>year is to build good habits and get
them to stick and audible is perfect for</t>
        </is>
      </c>
      <c r="D4650">
        <f>HYPERLINK("https://www.youtube.com/watch?v=KWRSoa4s64Q&amp;t=313s", "Go to time")</f>
        <v/>
      </c>
    </row>
    <row r="4651">
      <c r="A4651">
        <f>HYPERLINK("https://www.youtube.com/watch?v=QggAf70ybB8", "Video")</f>
        <v/>
      </c>
      <c r="B4651" t="inlineStr">
        <is>
          <t>8:13</t>
        </is>
      </c>
      <c r="C4651" t="inlineStr">
        <is>
          <t>really have to do much work it's almost
like you're saving a bit extra on the</t>
        </is>
      </c>
      <c r="D4651">
        <f>HYPERLINK("https://www.youtube.com/watch?v=QggAf70ybB8&amp;t=493s", "Go to time")</f>
        <v/>
      </c>
    </row>
    <row r="4652">
      <c r="A4652">
        <f>HYPERLINK("https://www.youtube.com/watch?v=4eDHdcoxtuw", "Video")</f>
        <v/>
      </c>
      <c r="B4652" t="inlineStr">
        <is>
          <t>3:55</t>
        </is>
      </c>
      <c r="C4652" t="inlineStr">
        <is>
          <t>Maybe you found yourself stuttering a bit
more and having a harder time holding eye</t>
        </is>
      </c>
      <c r="D4652">
        <f>HYPERLINK("https://www.youtube.com/watch?v=4eDHdcoxtuw&amp;t=235s", "Go to time")</f>
        <v/>
      </c>
    </row>
    <row r="4653">
      <c r="A4653">
        <f>HYPERLINK("https://www.youtube.com/watch?v=4eDHdcoxtuw", "Video")</f>
        <v/>
      </c>
      <c r="B4653" t="inlineStr">
        <is>
          <t>7:45</t>
        </is>
      </c>
      <c r="C4653" t="inlineStr">
        <is>
          <t>Now this sign is a little bit different because
you actually have to make moves in order to</t>
        </is>
      </c>
      <c r="D4653">
        <f>HYPERLINK("https://www.youtube.com/watch?v=4eDHdcoxtuw&amp;t=465s", "Go to time")</f>
        <v/>
      </c>
    </row>
    <row r="4654">
      <c r="A4654">
        <f>HYPERLINK("https://www.youtube.com/watch?v=FgfWeBBPJNw", "Video")</f>
        <v/>
      </c>
      <c r="B4654" t="inlineStr">
        <is>
          <t>2:07</t>
        </is>
      </c>
      <c r="C4654" t="inlineStr">
        <is>
          <t>Well here's where I do things a bit differently.</t>
        </is>
      </c>
      <c r="D4654">
        <f>HYPERLINK("https://www.youtube.com/watch?v=FgfWeBBPJNw&amp;t=127s", "Go to time")</f>
        <v/>
      </c>
    </row>
    <row r="4655">
      <c r="A4655">
        <f>HYPERLINK("https://www.youtube.com/watch?v=mjwJYIp_u5M", "Video")</f>
        <v/>
      </c>
      <c r="B4655" t="inlineStr">
        <is>
          <t>6:13</t>
        </is>
      </c>
      <c r="C4655" t="inlineStr">
        <is>
          <t>understand you or can see a bit of</t>
        </is>
      </c>
      <c r="D4655">
        <f>HYPERLINK("https://www.youtube.com/watch?v=mjwJYIp_u5M&amp;t=373s", "Go to time")</f>
        <v/>
      </c>
    </row>
    <row r="4656">
      <c r="A4656">
        <f>HYPERLINK("https://www.youtube.com/watch?v=bktV25WgMII", "Video")</f>
        <v/>
      </c>
      <c r="B4656" t="inlineStr">
        <is>
          <t>2:20</t>
        </is>
      </c>
      <c r="C4656" t="inlineStr">
        <is>
          <t>reading into a habit Studies on working
and all of them point to the fact that</t>
        </is>
      </c>
      <c r="D4656">
        <f>HYPERLINK("https://www.youtube.com/watch?v=bktV25WgMII&amp;t=140s", "Go to time")</f>
        <v/>
      </c>
    </row>
    <row r="4657">
      <c r="A4657">
        <f>HYPERLINK("https://www.youtube.com/watch?v=bktV25WgMII", "Video")</f>
        <v/>
      </c>
      <c r="B4657" t="inlineStr">
        <is>
          <t>2:42</t>
        </is>
      </c>
      <c r="C4657" t="inlineStr">
        <is>
          <t>start a new exercise habit you'll often
find that you'll wait around for the</t>
        </is>
      </c>
      <c r="D4657">
        <f>HYPERLINK("https://www.youtube.com/watch?v=bktV25WgMII&amp;t=162s", "Go to time")</f>
        <v/>
      </c>
    </row>
    <row r="4658">
      <c r="A4658">
        <f>HYPERLINK("https://www.youtube.com/watch?v=bktV25WgMII", "Video")</f>
        <v/>
      </c>
      <c r="B4658" t="inlineStr">
        <is>
          <t>3:40</t>
        </is>
      </c>
      <c r="C4658" t="inlineStr">
        <is>
          <t>want to stick to a habit or get
something done I suggest you take</t>
        </is>
      </c>
      <c r="D4658">
        <f>HYPERLINK("https://www.youtube.com/watch?v=bktV25WgMII&amp;t=220s", "Go to time")</f>
        <v/>
      </c>
    </row>
    <row r="4659">
      <c r="A4659">
        <f>HYPERLINK("https://www.youtube.com/watch?v=bktV25WgMII", "Video")</f>
        <v/>
      </c>
      <c r="B4659" t="inlineStr">
        <is>
          <t>4:36</t>
        </is>
      </c>
      <c r="C4659" t="inlineStr">
        <is>
          <t>right now are Bitcoin aetherium and
litecoin all of which I've invested</t>
        </is>
      </c>
      <c r="D4659">
        <f>HYPERLINK("https://www.youtube.com/watch?v=bktV25WgMII&amp;t=276s", "Go to time")</f>
        <v/>
      </c>
    </row>
    <row r="4660">
      <c r="A4660">
        <f>HYPERLINK("https://www.youtube.com/watch?v=bktV25WgMII", "Video")</f>
        <v/>
      </c>
      <c r="B4660" t="inlineStr">
        <is>
          <t>5:08</t>
        </is>
      </c>
      <c r="C4660" t="inlineStr">
        <is>
          <t>arbitrate you can start off with as
little as $100 and just to be clear when</t>
        </is>
      </c>
      <c r="D4660">
        <f>HYPERLINK("https://www.youtube.com/watch?v=bktV25WgMII&amp;t=308s", "Go to time")</f>
        <v/>
      </c>
    </row>
    <row r="4661">
      <c r="A4661">
        <f>HYPERLINK("https://www.youtube.com/watch?v=bktV25WgMII", "Video")</f>
        <v/>
      </c>
      <c r="B4661" t="inlineStr">
        <is>
          <t>5:12</t>
        </is>
      </c>
      <c r="C4661" t="inlineStr">
        <is>
          <t>you trade on arbitrate you are not
buying coins you are trading on the</t>
        </is>
      </c>
      <c r="D4661">
        <f>HYPERLINK("https://www.youtube.com/watch?v=bktV25WgMII&amp;t=312s", "Go to time")</f>
        <v/>
      </c>
    </row>
    <row r="4662">
      <c r="A4662">
        <f>HYPERLINK("https://www.youtube.com/watch?v=bktV25WgMII", "Video")</f>
        <v/>
      </c>
      <c r="B4662" t="inlineStr">
        <is>
          <t>5:19</t>
        </is>
      </c>
      <c r="C4662" t="inlineStr">
        <is>
          <t>I suggest you head on over to arbitrate
by clicking on the link in the</t>
        </is>
      </c>
      <c r="D4662">
        <f>HYPERLINK("https://www.youtube.com/watch?v=bktV25WgMII&amp;t=319s", "Go to time")</f>
        <v/>
      </c>
    </row>
    <row r="4663">
      <c r="A4663">
        <f>HYPERLINK("https://www.youtube.com/watch?v=FwiBF9Yv4Yc", "Video")</f>
        <v/>
      </c>
      <c r="B4663" t="inlineStr">
        <is>
          <t>4:35</t>
        </is>
      </c>
      <c r="C4663" t="inlineStr">
        <is>
          <t>habit knee hugging this is often used by</t>
        </is>
      </c>
      <c r="D4663">
        <f>HYPERLINK("https://www.youtube.com/watch?v=FwiBF9Yv4Yc&amp;t=275s", "Go to time")</f>
        <v/>
      </c>
    </row>
    <row r="4664">
      <c r="A4664">
        <f>HYPERLINK("https://www.youtube.com/watch?v=FwiBF9Yv4Yc", "Video")</f>
        <v/>
      </c>
      <c r="B4664" t="inlineStr">
        <is>
          <t>7:23</t>
        </is>
      </c>
      <c r="C4664" t="inlineStr">
        <is>
          <t>have a habit of doing this to Simply</t>
        </is>
      </c>
      <c r="D4664">
        <f>HYPERLINK("https://www.youtube.com/watch?v=FwiBF9Yv4Yc&amp;t=443s", "Go to time")</f>
        <v/>
      </c>
    </row>
    <row r="4665">
      <c r="A4665">
        <f>HYPERLINK("https://www.youtube.com/watch?v=FwiBF9Yv4Yc", "Video")</f>
        <v/>
      </c>
      <c r="B4665" t="inlineStr">
        <is>
          <t>12:11</t>
        </is>
      </c>
      <c r="C4665" t="inlineStr">
        <is>
          <t>a bit and think it could also be a sign</t>
        </is>
      </c>
      <c r="D4665">
        <f>HYPERLINK("https://www.youtube.com/watch?v=FwiBF9Yv4Yc&amp;t=731s", "Go to time")</f>
        <v/>
      </c>
    </row>
    <row r="4666">
      <c r="A4666">
        <f>HYPERLINK("https://www.youtube.com/watch?v=FwiBF9Yv4Yc", "Video")</f>
        <v/>
      </c>
      <c r="B4666" t="inlineStr">
        <is>
          <t>12:46</t>
        </is>
      </c>
      <c r="C4666" t="inlineStr">
        <is>
          <t>a bit desperate which can be extremely</t>
        </is>
      </c>
      <c r="D4666">
        <f>HYPERLINK("https://www.youtube.com/watch?v=FwiBF9Yv4Yc&amp;t=766s", "Go to time")</f>
        <v/>
      </c>
    </row>
    <row r="4667">
      <c r="A4667">
        <f>HYPERLINK("https://www.youtube.com/watch?v=FwiBF9Yv4Yc", "Video")</f>
        <v/>
      </c>
      <c r="B4667" t="inlineStr">
        <is>
          <t>21:46</t>
        </is>
      </c>
      <c r="C4667" t="inlineStr">
        <is>
          <t>is feeling a bit insecure as it is a</t>
        </is>
      </c>
      <c r="D4667">
        <f>HYPERLINK("https://www.youtube.com/watch?v=FwiBF9Yv4Yc&amp;t=1306s", "Go to time")</f>
        <v/>
      </c>
    </row>
    <row r="4668">
      <c r="A4668">
        <f>HYPERLINK("https://www.youtube.com/watch?v=FwiBF9Yv4Yc", "Video")</f>
        <v/>
      </c>
      <c r="B4668" t="inlineStr">
        <is>
          <t>23:20</t>
        </is>
      </c>
      <c r="C4668" t="inlineStr">
        <is>
          <t>feeling a bit anxious or stressed out it</t>
        </is>
      </c>
      <c r="D4668">
        <f>HYPERLINK("https://www.youtube.com/watch?v=FwiBF9Yv4Yc&amp;t=1400s", "Go to time")</f>
        <v/>
      </c>
    </row>
    <row r="4669">
      <c r="A4669">
        <f>HYPERLINK("https://www.youtube.com/watch?v=FwiBF9Yv4Yc", "Video")</f>
        <v/>
      </c>
      <c r="B4669" t="inlineStr">
        <is>
          <t>25:03</t>
        </is>
      </c>
      <c r="C4669" t="inlineStr">
        <is>
          <t>biting this is a pacifying behavior used</t>
        </is>
      </c>
      <c r="D4669">
        <f>HYPERLINK("https://www.youtube.com/watch?v=FwiBF9Yv4Yc&amp;t=1503s", "Go to time")</f>
        <v/>
      </c>
    </row>
    <row r="4670">
      <c r="A4670">
        <f>HYPERLINK("https://www.youtube.com/watch?v=FwiBF9Yv4Yc", "Video")</f>
        <v/>
      </c>
      <c r="B4670" t="inlineStr">
        <is>
          <t>25:10</t>
        </is>
      </c>
      <c r="C4670" t="inlineStr">
        <is>
          <t>the nail biting the higher the levels of</t>
        </is>
      </c>
      <c r="D4670">
        <f>HYPERLINK("https://www.youtube.com/watch?v=FwiBF9Yv4Yc&amp;t=1510s", "Go to time")</f>
        <v/>
      </c>
    </row>
    <row r="4671">
      <c r="A4671">
        <f>HYPERLINK("https://www.youtube.com/watch?v=FwiBF9Yv4Yc", "Video")</f>
        <v/>
      </c>
      <c r="B4671" t="inlineStr">
        <is>
          <t>36:25</t>
        </is>
      </c>
      <c r="C4671" t="inlineStr">
        <is>
          <t>bulges out a little bit this often</t>
        </is>
      </c>
      <c r="D4671">
        <f>HYPERLINK("https://www.youtube.com/watch?v=FwiBF9Yv4Yc&amp;t=2185s", "Go to time")</f>
        <v/>
      </c>
    </row>
    <row r="4672">
      <c r="A4672">
        <f>HYPERLINK("https://www.youtube.com/watch?v=L860pk0R4P8", "Video")</f>
        <v/>
      </c>
      <c r="B4672" t="inlineStr">
        <is>
          <t>3:14</t>
        </is>
      </c>
      <c r="C4672" t="inlineStr">
        <is>
          <t>find you're able to relax a bit more the</t>
        </is>
      </c>
      <c r="D4672">
        <f>HYPERLINK("https://www.youtube.com/watch?v=L860pk0R4P8&amp;t=194s", "Go to time")</f>
        <v/>
      </c>
    </row>
    <row r="4673">
      <c r="A4673">
        <f>HYPERLINK("https://www.youtube.com/watch?v=fkGymhZ4uCo", "Video")</f>
        <v/>
      </c>
      <c r="B4673" t="inlineStr">
        <is>
          <t>0:05</t>
        </is>
      </c>
      <c r="C4673" t="inlineStr">
        <is>
          <t>habits a lot of strategies that can and</t>
        </is>
      </c>
      <c r="D4673">
        <f>HYPERLINK("https://www.youtube.com/watch?v=fkGymhZ4uCo&amp;t=5s", "Go to time")</f>
        <v/>
      </c>
    </row>
    <row r="4674">
      <c r="A4674">
        <f>HYPERLINK("https://www.youtube.com/watch?v=fkGymhZ4uCo", "Video")</f>
        <v/>
      </c>
      <c r="B4674" t="inlineStr">
        <is>
          <t>0:20</t>
        </is>
      </c>
      <c r="C4674" t="inlineStr">
        <is>
          <t>sticking to healthy habits with that</t>
        </is>
      </c>
      <c r="D4674">
        <f>HYPERLINK("https://www.youtube.com/watch?v=fkGymhZ4uCo&amp;t=20s", "Go to time")</f>
        <v/>
      </c>
    </row>
    <row r="4675">
      <c r="A4675">
        <f>HYPERLINK("https://www.youtube.com/watch?v=fkGymhZ4uCo", "Video")</f>
        <v/>
      </c>
      <c r="B4675" t="inlineStr">
        <is>
          <t>0:29</t>
        </is>
      </c>
      <c r="C4675" t="inlineStr">
        <is>
          <t>important for the formation of habits</t>
        </is>
      </c>
      <c r="D4675">
        <f>HYPERLINK("https://www.youtube.com/watch?v=fkGymhZ4uCo&amp;t=29s", "Go to time")</f>
        <v/>
      </c>
    </row>
    <row r="4676">
      <c r="A4676">
        <f>HYPERLINK("https://www.youtube.com/watch?v=fkGymhZ4uCo", "Video")</f>
        <v/>
      </c>
      <c r="B4676" t="inlineStr">
        <is>
          <t>0:30</t>
        </is>
      </c>
      <c r="C4676" t="inlineStr">
        <is>
          <t>without proper rewards The Habit never</t>
        </is>
      </c>
      <c r="D4676">
        <f>HYPERLINK("https://www.youtube.com/watch?v=fkGymhZ4uCo&amp;t=30s", "Go to time")</f>
        <v/>
      </c>
    </row>
    <row r="4677">
      <c r="A4677">
        <f>HYPERLINK("https://www.youtube.com/watch?v=fkGymhZ4uCo", "Video")</f>
        <v/>
      </c>
      <c r="B4677" t="inlineStr">
        <is>
          <t>0:47</t>
        </is>
      </c>
      <c r="C4677" t="inlineStr">
        <is>
          <t>trying to build a habit of going to the</t>
        </is>
      </c>
      <c r="D4677">
        <f>HYPERLINK("https://www.youtube.com/watch?v=fkGymhZ4uCo&amp;t=47s", "Go to time")</f>
        <v/>
      </c>
    </row>
    <row r="4678">
      <c r="A4678">
        <f>HYPERLINK("https://www.youtube.com/watch?v=fkGymhZ4uCo", "Video")</f>
        <v/>
      </c>
      <c r="B4678" t="inlineStr">
        <is>
          <t>2:25</t>
        </is>
      </c>
      <c r="C4678" t="inlineStr">
        <is>
          <t>building your habits and finally the</t>
        </is>
      </c>
      <c r="D4678">
        <f>HYPERLINK("https://www.youtube.com/watch?v=fkGymhZ4uCo&amp;t=145s", "Go to time")</f>
        <v/>
      </c>
    </row>
    <row r="4679">
      <c r="A4679">
        <f>HYPERLINK("https://www.youtube.com/watch?v=fkGymhZ4uCo", "Video")</f>
        <v/>
      </c>
      <c r="B4679" t="inlineStr">
        <is>
          <t>2:47</t>
        </is>
      </c>
      <c r="C4679" t="inlineStr">
        <is>
          <t>thing applies to the habits in our life</t>
        </is>
      </c>
      <c r="D4679">
        <f>HYPERLINK("https://www.youtube.com/watch?v=fkGymhZ4uCo&amp;t=167s", "Go to time")</f>
        <v/>
      </c>
    </row>
    <row r="4680">
      <c r="A4680">
        <f>HYPERLINK("https://www.youtube.com/watch?v=fkGymhZ4uCo", "Video")</f>
        <v/>
      </c>
      <c r="B4680" t="inlineStr">
        <is>
          <t>3:10</t>
        </is>
      </c>
      <c r="C4680" t="inlineStr">
        <is>
          <t>it comes to building habits and a quick</t>
        </is>
      </c>
      <c r="D4680">
        <f>HYPERLINK("https://www.youtube.com/watch?v=fkGymhZ4uCo&amp;t=190s", "Go to time")</f>
        <v/>
      </c>
    </row>
    <row r="4681">
      <c r="A4681">
        <f>HYPERLINK("https://www.youtube.com/watch?v=gZOcLix4PGc", "Video")</f>
        <v/>
      </c>
      <c r="B4681" t="inlineStr">
        <is>
          <t>0:04</t>
        </is>
      </c>
      <c r="C4681" t="inlineStr">
        <is>
          <t>habits this is an idea that will make it</t>
        </is>
      </c>
      <c r="D4681">
        <f>HYPERLINK("https://www.youtube.com/watch?v=gZOcLix4PGc&amp;t=4s", "Go to time")</f>
        <v/>
      </c>
    </row>
    <row r="4682">
      <c r="A4682">
        <f>HYPERLINK("https://www.youtube.com/watch?v=gZOcLix4PGc", "Video")</f>
        <v/>
      </c>
      <c r="B4682" t="inlineStr">
        <is>
          <t>0:06</t>
        </is>
      </c>
      <c r="C4682" t="inlineStr">
        <is>
          <t>easier for you to stick to good habits</t>
        </is>
      </c>
      <c r="D4682">
        <f>HYPERLINK("https://www.youtube.com/watch?v=gZOcLix4PGc&amp;t=6s", "Go to time")</f>
        <v/>
      </c>
    </row>
    <row r="4683">
      <c r="A4683">
        <f>HYPERLINK("https://www.youtube.com/watch?v=gZOcLix4PGc", "Video")</f>
        <v/>
      </c>
      <c r="B4683" t="inlineStr">
        <is>
          <t>3:07</t>
        </is>
      </c>
      <c r="C4683" t="inlineStr">
        <is>
          <t>focus on building up these good habits</t>
        </is>
      </c>
      <c r="D4683">
        <f>HYPERLINK("https://www.youtube.com/watch?v=gZOcLix4PGc&amp;t=187s", "Go to time")</f>
        <v/>
      </c>
    </row>
    <row r="4684">
      <c r="A4684">
        <f>HYPERLINK("https://www.youtube.com/watch?v=gZOcLix4PGc", "Video")</f>
        <v/>
      </c>
      <c r="B4684" t="inlineStr">
        <is>
          <t>3:10</t>
        </is>
      </c>
      <c r="C4684" t="inlineStr">
        <is>
          <t>where turning to your bad habits is in</t>
        </is>
      </c>
      <c r="D4684">
        <f>HYPERLINK("https://www.youtube.com/watch?v=gZOcLix4PGc&amp;t=190s", "Go to time")</f>
        <v/>
      </c>
    </row>
    <row r="4685">
      <c r="A4685">
        <f>HYPERLINK("https://www.youtube.com/watch?v=gZOcLix4PGc", "Video")</f>
        <v/>
      </c>
      <c r="B4685" t="inlineStr">
        <is>
          <t>4:22</t>
        </is>
      </c>
      <c r="C4685" t="inlineStr">
        <is>
          <t>something to spike your dopamine bits to</t>
        </is>
      </c>
      <c r="D4685">
        <f>HYPERLINK("https://www.youtube.com/watch?v=gZOcLix4PGc&amp;t=262s", "Go to time")</f>
        <v/>
      </c>
    </row>
    <row r="4686">
      <c r="A4686">
        <f>HYPERLINK("https://www.youtube.com/watch?v=gZOcLix4PGc", "Video")</f>
        <v/>
      </c>
      <c r="B4686" t="inlineStr">
        <is>
          <t>4:49</t>
        </is>
      </c>
      <c r="C4686" t="inlineStr">
        <is>
          <t>habit it will constantly be in your mind</t>
        </is>
      </c>
      <c r="D4686">
        <f>HYPERLINK("https://www.youtube.com/watch?v=gZOcLix4PGc&amp;t=289s", "Go to time")</f>
        <v/>
      </c>
    </row>
    <row r="4687">
      <c r="A4687">
        <f>HYPERLINK("https://www.youtube.com/watch?v=gZOcLix4PGc", "Video")</f>
        <v/>
      </c>
      <c r="B4687" t="inlineStr">
        <is>
          <t>5:03</t>
        </is>
      </c>
      <c r="C4687" t="inlineStr">
        <is>
          <t>helpful in your habit building Journey</t>
        </is>
      </c>
      <c r="D4687">
        <f>HYPERLINK("https://www.youtube.com/watch?v=gZOcLix4PGc&amp;t=303s", "Go to time")</f>
        <v/>
      </c>
    </row>
    <row r="4688">
      <c r="A4688">
        <f>HYPERLINK("https://www.youtube.com/watch?v=8RnwRptrdvI", "Video")</f>
        <v/>
      </c>
      <c r="B4688" t="inlineStr">
        <is>
          <t>2:17</t>
        </is>
      </c>
      <c r="C4688" t="inlineStr">
        <is>
          <t>you have to fast for sixteen hours now
this sounds a bit harder than it</t>
        </is>
      </c>
      <c r="D4688">
        <f>HYPERLINK("https://www.youtube.com/watch?v=8RnwRptrdvI&amp;t=137s", "Go to time")</f>
        <v/>
      </c>
    </row>
    <row r="4689">
      <c r="A4689">
        <f>HYPERLINK("https://www.youtube.com/watch?v=9oqWlUfxmn0", "Video")</f>
        <v/>
      </c>
      <c r="B4689" t="inlineStr">
        <is>
          <t>0:34</t>
        </is>
      </c>
      <c r="C4689" t="inlineStr">
        <is>
          <t>of which cause us to turn to our bad habits
more, as a way to cope, which causes us to</t>
        </is>
      </c>
      <c r="D4689">
        <f>HYPERLINK("https://www.youtube.com/watch?v=9oqWlUfxmn0&amp;t=34s", "Go to time")</f>
        <v/>
      </c>
    </row>
    <row r="4690">
      <c r="A4690">
        <f>HYPERLINK("https://www.youtube.com/watch?v=sRN34Fd0n2E", "Video")</f>
        <v/>
      </c>
      <c r="B4690" t="inlineStr">
        <is>
          <t>6:17</t>
        </is>
      </c>
      <c r="C4690" t="inlineStr">
        <is>
          <t>So when you learn more about math you will
learn a bit about music and business at the</t>
        </is>
      </c>
      <c r="D4690">
        <f>HYPERLINK("https://www.youtube.com/watch?v=sRN34Fd0n2E&amp;t=377s", "Go to time")</f>
        <v/>
      </c>
    </row>
    <row r="4691">
      <c r="A4691">
        <f>HYPERLINK("https://www.youtube.com/watch?v=y4zejKpC9lA", "Video")</f>
        <v/>
      </c>
      <c r="B4691" t="inlineStr">
        <is>
          <t>6:32</t>
        </is>
      </c>
      <c r="C4691" t="inlineStr">
        <is>
          <t>because of a couple of books they would
read and a couple of habits they would</t>
        </is>
      </c>
      <c r="D4691">
        <f>HYPERLINK("https://www.youtube.com/watch?v=y4zejKpC9lA&amp;t=392s", "Go to time")</f>
        <v/>
      </c>
    </row>
    <row r="4692">
      <c r="A4692">
        <f>HYPERLINK("https://www.youtube.com/watch?v=uYIxz1ScdOk", "Video")</f>
        <v/>
      </c>
      <c r="B4692" t="inlineStr">
        <is>
          <t>5:18</t>
        </is>
      </c>
      <c r="C4692" t="inlineStr">
        <is>
          <t>break the task down into more bite-sized</t>
        </is>
      </c>
      <c r="D4692">
        <f>HYPERLINK("https://www.youtube.com/watch?v=uYIxz1ScdOk&amp;t=318s", "Go to time")</f>
        <v/>
      </c>
    </row>
    <row r="4693">
      <c r="A4693">
        <f>HYPERLINK("https://www.youtube.com/watch?v=uYIxz1ScdOk", "Video")</f>
        <v/>
      </c>
      <c r="B4693" t="inlineStr">
        <is>
          <t>6:20</t>
        </is>
      </c>
      <c r="C4693" t="inlineStr">
        <is>
          <t>procrastination habit and by working on</t>
        </is>
      </c>
      <c r="D4693">
        <f>HYPERLINK("https://www.youtube.com/watch?v=uYIxz1ScdOk&amp;t=380s", "Go to time")</f>
        <v/>
      </c>
    </row>
    <row r="4694">
      <c r="A4694">
        <f>HYPERLINK("https://www.youtube.com/watch?v=7RF9m5fksbg", "Video")</f>
        <v/>
      </c>
      <c r="B4694" t="inlineStr">
        <is>
          <t>0:52</t>
        </is>
      </c>
      <c r="C4694" t="inlineStr">
        <is>
          <t>a bit of progress sure but in the big scheme of 
things nothing much has changed you've still been</t>
        </is>
      </c>
      <c r="D4694">
        <f>HYPERLINK("https://www.youtube.com/watch?v=7RF9m5fksbg&amp;t=52s", "Go to time")</f>
        <v/>
      </c>
    </row>
    <row r="4695">
      <c r="A4695">
        <f>HYPERLINK("https://www.youtube.com/watch?v=7RF9m5fksbg", "Video")</f>
        <v/>
      </c>
      <c r="B4695" t="inlineStr">
        <is>
          <t>2:29</t>
        </is>
      </c>
      <c r="C4695" t="inlineStr">
        <is>
          <t>yes it still stings a bit but it doesn't feel 
nearly as bad as going from a hundred percent</t>
        </is>
      </c>
      <c r="D4695">
        <f>HYPERLINK("https://www.youtube.com/watch?v=7RF9m5fksbg&amp;t=149s", "Go to time")</f>
        <v/>
      </c>
    </row>
    <row r="4696">
      <c r="A4696">
        <f>HYPERLINK("https://www.youtube.com/watch?v=7RF9m5fksbg", "Video")</f>
        <v/>
      </c>
      <c r="B4696" t="inlineStr">
        <is>
          <t>4:16</t>
        </is>
      </c>
      <c r="C4696" t="inlineStr">
        <is>
          <t>a bit too hard but overall i do have a 95 plus 
success rate for this year and i feel great i'm</t>
        </is>
      </c>
      <c r="D4696">
        <f>HYPERLINK("https://www.youtube.com/watch?v=7RF9m5fksbg&amp;t=256s", "Go to time")</f>
        <v/>
      </c>
    </row>
    <row r="4697">
      <c r="A4697">
        <f>HYPERLINK("https://www.youtube.com/watch?v=5T-zPP23Gmw", "Video")</f>
        <v/>
      </c>
      <c r="B4697" t="inlineStr">
        <is>
          <t>1:15</t>
        </is>
      </c>
      <c r="C4697" t="inlineStr">
        <is>
          <t>habits out there which basically means if you 
stick to it you'll end up adopting a bunch of</t>
        </is>
      </c>
      <c r="D4697">
        <f>HYPERLINK("https://www.youtube.com/watch?v=5T-zPP23Gmw&amp;t=75s", "Go to time")</f>
        <v/>
      </c>
    </row>
    <row r="4698">
      <c r="A4698">
        <f>HYPERLINK("https://www.youtube.com/watch?v=5T-zPP23Gmw", "Video")</f>
        <v/>
      </c>
      <c r="B4698" t="inlineStr">
        <is>
          <t>1:19</t>
        </is>
      </c>
      <c r="C4698" t="inlineStr">
        <is>
          <t>other good habits such as eating healthier which 
when combined tends to boost your overall sense</t>
        </is>
      </c>
      <c r="D4698">
        <f>HYPERLINK("https://www.youtube.com/watch?v=5T-zPP23Gmw&amp;t=79s", "Go to time")</f>
        <v/>
      </c>
    </row>
    <row r="4699">
      <c r="A4699">
        <f>HYPERLINK("https://www.youtube.com/watch?v=5T-zPP23Gmw", "Video")</f>
        <v/>
      </c>
      <c r="B4699" t="inlineStr">
        <is>
          <t>2:27</t>
        </is>
      </c>
      <c r="C4699" t="inlineStr">
        <is>
          <t>and this is causing us to turn to our bad habits 
such as drinking smoking and jerkin as a way to</t>
        </is>
      </c>
      <c r="D4699">
        <f>HYPERLINK("https://www.youtube.com/watch?v=5T-zPP23Gmw&amp;t=147s", "Go to time")</f>
        <v/>
      </c>
    </row>
    <row r="4700">
      <c r="A4700">
        <f>HYPERLINK("https://www.youtube.com/watch?v=5T-zPP23Gmw", "Video")</f>
        <v/>
      </c>
      <c r="B4700" t="inlineStr">
        <is>
          <t>2:38</t>
        </is>
      </c>
      <c r="C4700" t="inlineStr">
        <is>
          <t>care about that you haven't spoken to in a while 
i know some of you are a bit hesitant because you</t>
        </is>
      </c>
      <c r="D4700">
        <f>HYPERLINK("https://www.youtube.com/watch?v=5T-zPP23Gmw&amp;t=158s", "Go to time")</f>
        <v/>
      </c>
    </row>
    <row r="4701">
      <c r="A4701">
        <f>HYPERLINK("https://www.youtube.com/watch?v=5T-zPP23Gmw", "Video")</f>
        <v/>
      </c>
      <c r="B4701" t="inlineStr">
        <is>
          <t>4:19</t>
        </is>
      </c>
      <c r="C4701" t="inlineStr">
        <is>
          <t>was extremely bad for my mental health i found 
myself indulging in destructive habits more often</t>
        </is>
      </c>
      <c r="D4701">
        <f>HYPERLINK("https://www.youtube.com/watch?v=5T-zPP23Gmw&amp;t=259s", "Go to time")</f>
        <v/>
      </c>
    </row>
    <row r="4702">
      <c r="A4702">
        <f>HYPERLINK("https://www.youtube.com/watch?v=5T-zPP23Gmw", "Video")</f>
        <v/>
      </c>
      <c r="B4702" t="inlineStr">
        <is>
          <t>4:44</t>
        </is>
      </c>
      <c r="C4702" t="inlineStr">
        <is>
          <t>and then you need to take an active role in it i 
know this is a bit hard to digest so let me give</t>
        </is>
      </c>
      <c r="D4702">
        <f>HYPERLINK("https://www.youtube.com/watch?v=5T-zPP23Gmw&amp;t=284s", "Go to time")</f>
        <v/>
      </c>
    </row>
    <row r="4703">
      <c r="A4703">
        <f>HYPERLINK("https://www.youtube.com/watch?v=BwVdeqhLWYc", "Video")</f>
        <v/>
      </c>
      <c r="B4703" t="inlineStr">
        <is>
          <t>2:28</t>
        </is>
      </c>
      <c r="C4703" t="inlineStr">
        <is>
          <t>disciplined people that you know this is someone 
who sticks to every good habit you can think of</t>
        </is>
      </c>
      <c r="D4703">
        <f>HYPERLINK("https://www.youtube.com/watch?v=BwVdeqhLWYc&amp;t=148s", "Go to time")</f>
        <v/>
      </c>
    </row>
    <row r="4704">
      <c r="A4704">
        <f>HYPERLINK("https://www.youtube.com/watch?v=BwVdeqhLWYc", "Video")</f>
        <v/>
      </c>
      <c r="B4704" t="inlineStr">
        <is>
          <t>3:18</t>
        </is>
      </c>
      <c r="C4704" t="inlineStr">
        <is>
          <t>are tons of people building habits and trying to 
be more productive i will link to how you can join</t>
        </is>
      </c>
      <c r="D4704">
        <f>HYPERLINK("https://www.youtube.com/watch?v=BwVdeqhLWYc&amp;t=198s", "Go to time")</f>
        <v/>
      </c>
    </row>
    <row r="4705">
      <c r="A4705">
        <f>HYPERLINK("https://www.youtube.com/watch?v=7DSscQlSZR4", "Video")</f>
        <v/>
      </c>
      <c r="B4705" t="inlineStr">
        <is>
          <t>0:04</t>
        </is>
      </c>
      <c r="C4705" t="inlineStr">
        <is>
          <t>lessons we covered the strategy for this
course how habits work and debunked some</t>
        </is>
      </c>
      <c r="D4705">
        <f>HYPERLINK("https://www.youtube.com/watch?v=7DSscQlSZR4&amp;t=4s", "Go to time")</f>
        <v/>
      </c>
    </row>
    <row r="4706">
      <c r="A4706">
        <f>HYPERLINK("https://www.youtube.com/watch?v=7DSscQlSZR4", "Video")</f>
        <v/>
      </c>
      <c r="B4706" t="inlineStr">
        <is>
          <t>0:09</t>
        </is>
      </c>
      <c r="C4706" t="inlineStr">
        <is>
          <t>of the biggest misconceptions regarding
habits so if you have not watched the</t>
        </is>
      </c>
      <c r="D4706">
        <f>HYPERLINK("https://www.youtube.com/watch?v=7DSscQlSZR4&amp;t=9s", "Go to time")</f>
        <v/>
      </c>
    </row>
    <row r="4707">
      <c r="A4707">
        <f>HYPERLINK("https://www.youtube.com/watch?v=7DSscQlSZR4", "Video")</f>
        <v/>
      </c>
      <c r="B4707" t="inlineStr">
        <is>
          <t>0:20</t>
        </is>
      </c>
      <c r="C4707" t="inlineStr">
        <is>
          <t>this course in order for you to really
learn how to change your habits and</t>
        </is>
      </c>
      <c r="D4707">
        <f>HYPERLINK("https://www.youtube.com/watch?v=7DSscQlSZR4&amp;t=20s", "Go to time")</f>
        <v/>
      </c>
    </row>
    <row r="4708">
      <c r="A4708">
        <f>HYPERLINK("https://www.youtube.com/watch?v=7DSscQlSZR4", "Video")</f>
        <v/>
      </c>
      <c r="B4708" t="inlineStr">
        <is>
          <t>0:28</t>
        </is>
      </c>
      <c r="C4708" t="inlineStr">
        <is>
          <t>videos in today's video we're gonna talk
about some of the best habits to adopt</t>
        </is>
      </c>
      <c r="D4708">
        <f>HYPERLINK("https://www.youtube.com/watch?v=7DSscQlSZR4&amp;t=28s", "Go to time")</f>
        <v/>
      </c>
    </row>
    <row r="4709">
      <c r="A4709">
        <f>HYPERLINK("https://www.youtube.com/watch?v=7DSscQlSZR4", "Video")</f>
        <v/>
      </c>
      <c r="B4709" t="inlineStr">
        <is>
          <t>0:35</t>
        </is>
      </c>
      <c r="C4709" t="inlineStr">
        <is>
          <t>before we get into the different habits
that you should consider let me tell you</t>
        </is>
      </c>
      <c r="D4709">
        <f>HYPERLINK("https://www.youtube.com/watch?v=7DSscQlSZR4&amp;t=35s", "Go to time")</f>
        <v/>
      </c>
    </row>
    <row r="4710">
      <c r="A4710">
        <f>HYPERLINK("https://www.youtube.com/watch?v=7DSscQlSZR4", "Video")</f>
        <v/>
      </c>
      <c r="B4710" t="inlineStr">
        <is>
          <t>1:25</t>
        </is>
      </c>
      <c r="C4710" t="inlineStr">
        <is>
          <t>he also started reading a bit more his
relationship with his co-workers and</t>
        </is>
      </c>
      <c r="D4710">
        <f>HYPERLINK("https://www.youtube.com/watch?v=7DSscQlSZR4&amp;t=85s", "Go to time")</f>
        <v/>
      </c>
    </row>
    <row r="4711">
      <c r="A4711">
        <f>HYPERLINK("https://www.youtube.com/watch?v=7DSscQlSZR4", "Video")</f>
        <v/>
      </c>
      <c r="B4711" t="inlineStr">
        <is>
          <t>1:37</t>
        </is>
      </c>
      <c r="C4711" t="inlineStr">
        <is>
          <t>time again that when someone overcomes a
bad habit or starts forming a new one a</t>
        </is>
      </c>
      <c r="D4711">
        <f>HYPERLINK("https://www.youtube.com/watch?v=7DSscQlSZR4&amp;t=97s", "Go to time")</f>
        <v/>
      </c>
    </row>
    <row r="4712">
      <c r="A4712">
        <f>HYPERLINK("https://www.youtube.com/watch?v=7DSscQlSZR4", "Video")</f>
        <v/>
      </c>
      <c r="B4712" t="inlineStr">
        <is>
          <t>1:41</t>
        </is>
      </c>
      <c r="C4712" t="inlineStr">
        <is>
          <t>whole slew of other good habits come
with it they named this sort of habit a</t>
        </is>
      </c>
      <c r="D4712">
        <f>HYPERLINK("https://www.youtube.com/watch?v=7DSscQlSZR4&amp;t=101s", "Go to time")</f>
        <v/>
      </c>
    </row>
    <row r="4713">
      <c r="A4713">
        <f>HYPERLINK("https://www.youtube.com/watch?v=7DSscQlSZR4", "Video")</f>
        <v/>
      </c>
      <c r="B4713" t="inlineStr">
        <is>
          <t>1:45</t>
        </is>
      </c>
      <c r="C4713" t="inlineStr">
        <is>
          <t>keystone habit a single habit that
causes you to adopt multiple other good</t>
        </is>
      </c>
      <c r="D4713">
        <f>HYPERLINK("https://www.youtube.com/watch?v=7DSscQlSZR4&amp;t=105s", "Go to time")</f>
        <v/>
      </c>
    </row>
    <row r="4714">
      <c r="A4714">
        <f>HYPERLINK("https://www.youtube.com/watch?v=7DSscQlSZR4", "Video")</f>
        <v/>
      </c>
      <c r="B4714" t="inlineStr">
        <is>
          <t>1:50</t>
        </is>
      </c>
      <c r="C4714" t="inlineStr">
        <is>
          <t>habits and change your life the reason
I'm telling you the story is because</t>
        </is>
      </c>
      <c r="D4714">
        <f>HYPERLINK("https://www.youtube.com/watch?v=7DSscQlSZR4&amp;t=110s", "Go to time")</f>
        <v/>
      </c>
    </row>
    <row r="4715">
      <c r="A4715">
        <f>HYPERLINK("https://www.youtube.com/watch?v=7DSscQlSZR4", "Video")</f>
        <v/>
      </c>
      <c r="B4715" t="inlineStr">
        <is>
          <t>1:53</t>
        </is>
      </c>
      <c r="C4715" t="inlineStr">
        <is>
          <t>today you're going to pick a habit to
focus on for the rest of this course and</t>
        </is>
      </c>
      <c r="D4715">
        <f>HYPERLINK("https://www.youtube.com/watch?v=7DSscQlSZR4&amp;t=113s", "Go to time")</f>
        <v/>
      </c>
    </row>
    <row r="4716">
      <c r="A4716">
        <f>HYPERLINK("https://www.youtube.com/watch?v=7DSscQlSZR4", "Video")</f>
        <v/>
      </c>
      <c r="B4716" t="inlineStr">
        <is>
          <t>1:57</t>
        </is>
      </c>
      <c r="C4716" t="inlineStr">
        <is>
          <t>the three habits that I'm gonna show you
are three of the most powerful keys</t>
        </is>
      </c>
      <c r="D4716">
        <f>HYPERLINK("https://www.youtube.com/watch?v=7DSscQlSZR4&amp;t=117s", "Go to time")</f>
        <v/>
      </c>
    </row>
    <row r="4717">
      <c r="A4717">
        <f>HYPERLINK("https://www.youtube.com/watch?v=7DSscQlSZR4", "Video")</f>
        <v/>
      </c>
      <c r="B4717" t="inlineStr">
        <is>
          <t>2:01</t>
        </is>
      </c>
      <c r="C4717" t="inlineStr">
        <is>
          <t>don't have it's out there these habits
have the highest chance of drastically</t>
        </is>
      </c>
      <c r="D4717">
        <f>HYPERLINK("https://www.youtube.com/watch?v=7DSscQlSZR4&amp;t=121s", "Go to time")</f>
        <v/>
      </c>
    </row>
    <row r="4718">
      <c r="A4718">
        <f>HYPERLINK("https://www.youtube.com/watch?v=7DSscQlSZR4", "Video")</f>
        <v/>
      </c>
      <c r="B4718" t="inlineStr">
        <is>
          <t>2:08</t>
        </is>
      </c>
      <c r="C4718" t="inlineStr">
        <is>
          <t>three most effective
don't habits the first one is reading</t>
        </is>
      </c>
      <c r="D4718">
        <f>HYPERLINK("https://www.youtube.com/watch?v=7DSscQlSZR4&amp;t=128s", "Go to time")</f>
        <v/>
      </c>
    </row>
    <row r="4719">
      <c r="A4719">
        <f>HYPERLINK("https://www.youtube.com/watch?v=7DSscQlSZR4", "Video")</f>
        <v/>
      </c>
      <c r="B4719" t="inlineStr">
        <is>
          <t>2:17</t>
        </is>
      </c>
      <c r="C4719" t="inlineStr">
        <is>
          <t>first started my self development
journey this was the first habit that I</t>
        </is>
      </c>
      <c r="D4719">
        <f>HYPERLINK("https://www.youtube.com/watch?v=7DSscQlSZR4&amp;t=137s", "Go to time")</f>
        <v/>
      </c>
    </row>
    <row r="4720">
      <c r="A4720">
        <f>HYPERLINK("https://www.youtube.com/watch?v=7DSscQlSZR4", "Video")</f>
        <v/>
      </c>
      <c r="B4720" t="inlineStr">
        <is>
          <t>3:38</t>
        </is>
      </c>
      <c r="C4720" t="inlineStr">
        <is>
          <t>in your spending habits and because of
its ability to influence any part of</t>
        </is>
      </c>
      <c r="D4720">
        <f>HYPERLINK("https://www.youtube.com/watch?v=7DSscQlSZR4&amp;t=218s", "Go to time")</f>
        <v/>
      </c>
    </row>
    <row r="4721">
      <c r="A4721">
        <f>HYPERLINK("https://www.youtube.com/watch?v=7DSscQlSZR4", "Video")</f>
        <v/>
      </c>
      <c r="B4721" t="inlineStr">
        <is>
          <t>3:46</t>
        </is>
      </c>
      <c r="C4721" t="inlineStr">
        <is>
          <t>Keystone habits out there the next
keystone habit is meditation I have tons</t>
        </is>
      </c>
      <c r="D4721">
        <f>HYPERLINK("https://www.youtube.com/watch?v=7DSscQlSZR4&amp;t=226s", "Go to time")</f>
        <v/>
      </c>
    </row>
    <row r="4722">
      <c r="A4722">
        <f>HYPERLINK("https://www.youtube.com/watch?v=7DSscQlSZR4", "Video")</f>
        <v/>
      </c>
      <c r="B4722" t="inlineStr">
        <is>
          <t>4:34</t>
        </is>
      </c>
      <c r="C4722" t="inlineStr">
        <is>
          <t>people nowadays when you start
meditating and making it into a habit</t>
        </is>
      </c>
      <c r="D4722">
        <f>HYPERLINK("https://www.youtube.com/watch?v=7DSscQlSZR4&amp;t=274s", "Go to time")</f>
        <v/>
      </c>
    </row>
    <row r="4723">
      <c r="A4723">
        <f>HYPERLINK("https://www.youtube.com/watch?v=7DSscQlSZR4", "Video")</f>
        <v/>
      </c>
      <c r="B4723" t="inlineStr">
        <is>
          <t>4:49</t>
        </is>
      </c>
      <c r="C4723" t="inlineStr">
        <is>
          <t>read entire chapters at a time after
making meditation into a habit and the</t>
        </is>
      </c>
      <c r="D4723">
        <f>HYPERLINK("https://www.youtube.com/watch?v=7DSscQlSZR4&amp;t=289s", "Go to time")</f>
        <v/>
      </c>
    </row>
    <row r="4724">
      <c r="A4724">
        <f>HYPERLINK("https://www.youtube.com/watch?v=7DSscQlSZR4", "Video")</f>
        <v/>
      </c>
      <c r="B4724" t="inlineStr">
        <is>
          <t>5:15</t>
        </is>
      </c>
      <c r="C4724" t="inlineStr">
        <is>
          <t>Keystone habit because it in itself is a
very very hard habit to stick to but if</t>
        </is>
      </c>
      <c r="D4724">
        <f>HYPERLINK("https://www.youtube.com/watch?v=7DSscQlSZR4&amp;t=315s", "Go to time")</f>
        <v/>
      </c>
    </row>
    <row r="4725">
      <c r="A4725">
        <f>HYPERLINK("https://www.youtube.com/watch?v=7DSscQlSZR4", "Video")</f>
        <v/>
      </c>
      <c r="B4725" t="inlineStr">
        <is>
          <t>5:21</t>
        </is>
      </c>
      <c r="C4725" t="inlineStr">
        <is>
          <t>you can make it into a habit that you do
automatically every day that means your</t>
        </is>
      </c>
      <c r="D4725">
        <f>HYPERLINK("https://www.youtube.com/watch?v=7DSscQlSZR4&amp;t=321s", "Go to time")</f>
        <v/>
      </c>
    </row>
    <row r="4726">
      <c r="A4726">
        <f>HYPERLINK("https://www.youtube.com/watch?v=7DSscQlSZR4", "Video")</f>
        <v/>
      </c>
      <c r="B4726" t="inlineStr">
        <is>
          <t>5:25</t>
        </is>
      </c>
      <c r="C4726" t="inlineStr">
        <is>
          <t>levels of willpower have skyrocket
dramatically and adopting other habits</t>
        </is>
      </c>
      <c r="D4726">
        <f>HYPERLINK("https://www.youtube.com/watch?v=7DSscQlSZR4&amp;t=325s", "Go to time")</f>
        <v/>
      </c>
    </row>
    <row r="4727">
      <c r="A4727">
        <f>HYPERLINK("https://www.youtube.com/watch?v=7DSscQlSZR4", "Video")</f>
        <v/>
      </c>
      <c r="B4727" t="inlineStr">
        <is>
          <t>6:00</t>
        </is>
      </c>
      <c r="C4727" t="inlineStr">
        <is>
          <t>quote unquote undos all of your hard
work and because these two habits</t>
        </is>
      </c>
      <c r="D4727">
        <f>HYPERLINK("https://www.youtube.com/watch?v=7DSscQlSZR4&amp;t=360s", "Go to time")</f>
        <v/>
      </c>
    </row>
    <row r="4728">
      <c r="A4728">
        <f>HYPERLINK("https://www.youtube.com/watch?v=7DSscQlSZR4", "Video")</f>
        <v/>
      </c>
      <c r="B4728" t="inlineStr">
        <is>
          <t>6:09</t>
        </is>
      </c>
      <c r="C4728" t="inlineStr">
        <is>
          <t>so if you can successfully make them
into full-fledged habits you'll be able</t>
        </is>
      </c>
      <c r="D4728">
        <f>HYPERLINK("https://www.youtube.com/watch?v=7DSscQlSZR4&amp;t=369s", "Go to time")</f>
        <v/>
      </c>
    </row>
    <row r="4729">
      <c r="A4729">
        <f>HYPERLINK("https://www.youtube.com/watch?v=7DSscQlSZR4", "Video")</f>
        <v/>
      </c>
      <c r="B4729" t="inlineStr">
        <is>
          <t>6:13</t>
        </is>
      </c>
      <c r="C4729" t="inlineStr">
        <is>
          <t>to take on smaller habits with ease for
those of you that are curious as to how</t>
        </is>
      </c>
      <c r="D4729">
        <f>HYPERLINK("https://www.youtube.com/watch?v=7DSscQlSZR4&amp;t=373s", "Go to time")</f>
        <v/>
      </c>
    </row>
    <row r="4730">
      <c r="A4730">
        <f>HYPERLINK("https://www.youtube.com/watch?v=7DSscQlSZR4", "Video")</f>
        <v/>
      </c>
      <c r="B4730" t="inlineStr">
        <is>
          <t>6:26</t>
        </is>
      </c>
      <c r="C4730" t="inlineStr">
        <is>
          <t>it becomes on top of that the habit of
fitness and diet has a huge influence on</t>
        </is>
      </c>
      <c r="D4730">
        <f>HYPERLINK("https://www.youtube.com/watch?v=7DSscQlSZR4&amp;t=386s", "Go to time")</f>
        <v/>
      </c>
    </row>
    <row r="4731">
      <c r="A4731">
        <f>HYPERLINK("https://www.youtube.com/watch?v=7DSscQlSZR4", "Video")</f>
        <v/>
      </c>
      <c r="B4731" t="inlineStr">
        <is>
          <t>6:39</t>
        </is>
      </c>
      <c r="C4731" t="inlineStr">
        <is>
          <t>people start adopting these two good
habits they often report feeling much</t>
        </is>
      </c>
      <c r="D4731">
        <f>HYPERLINK("https://www.youtube.com/watch?v=7DSscQlSZR4&amp;t=399s", "Go to time")</f>
        <v/>
      </c>
    </row>
    <row r="4732">
      <c r="A4732">
        <f>HYPERLINK("https://www.youtube.com/watch?v=7DSscQlSZR4", "Video")</f>
        <v/>
      </c>
      <c r="B4732" t="inlineStr">
        <is>
          <t>6:47</t>
        </is>
      </c>
      <c r="C4732" t="inlineStr">
        <is>
          <t>easier to start adopting other good
habits this ability to improve your</t>
        </is>
      </c>
      <c r="D4732">
        <f>HYPERLINK("https://www.youtube.com/watch?v=7DSscQlSZR4&amp;t=407s", "Go to time")</f>
        <v/>
      </c>
    </row>
    <row r="4733">
      <c r="A4733">
        <f>HYPERLINK("https://www.youtube.com/watch?v=7DSscQlSZR4", "Video")</f>
        <v/>
      </c>
      <c r="B4733" t="inlineStr">
        <is>
          <t>6:56</t>
        </is>
      </c>
      <c r="C4733" t="inlineStr">
        <is>
          <t>habit so again here are the three
Keystone habits that we just talked</t>
        </is>
      </c>
      <c r="D4733">
        <f>HYPERLINK("https://www.youtube.com/watch?v=7DSscQlSZR4&amp;t=416s", "Go to time")</f>
        <v/>
      </c>
    </row>
    <row r="4734">
      <c r="A4734">
        <f>HYPERLINK("https://www.youtube.com/watch?v=7DSscQlSZR4", "Video")</f>
        <v/>
      </c>
      <c r="B4734" t="inlineStr">
        <is>
          <t>7:06</t>
        </is>
      </c>
      <c r="C4734" t="inlineStr">
        <is>
          <t>other good habits out there like cold
showers morning rituals making your bed</t>
        </is>
      </c>
      <c r="D4734">
        <f>HYPERLINK("https://www.youtube.com/watch?v=7DSscQlSZR4&amp;t=426s", "Go to time")</f>
        <v/>
      </c>
    </row>
    <row r="4735">
      <c r="A4735">
        <f>HYPERLINK("https://www.youtube.com/watch?v=7DSscQlSZR4", "Video")</f>
        <v/>
      </c>
      <c r="B4735" t="inlineStr">
        <is>
          <t>7:10</t>
        </is>
      </c>
      <c r="C4735" t="inlineStr">
        <is>
          <t>etc but these three Keystone habits are
without a doubt three of the most</t>
        </is>
      </c>
      <c r="D4735">
        <f>HYPERLINK("https://www.youtube.com/watch?v=7DSscQlSZR4&amp;t=430s", "Go to time")</f>
        <v/>
      </c>
    </row>
    <row r="4736">
      <c r="A4736">
        <f>HYPERLINK("https://www.youtube.com/watch?v=7DSscQlSZR4", "Video")</f>
        <v/>
      </c>
      <c r="B4736" t="inlineStr">
        <is>
          <t>7:14</t>
        </is>
      </c>
      <c r="C4736" t="inlineStr">
        <is>
          <t>powerful habits that you can add to your
life so what I like for you to do right</t>
        </is>
      </c>
      <c r="D4736">
        <f>HYPERLINK("https://www.youtube.com/watch?v=7DSscQlSZR4&amp;t=434s", "Go to time")</f>
        <v/>
      </c>
    </row>
    <row r="4737">
      <c r="A4737">
        <f>HYPERLINK("https://www.youtube.com/watch?v=7DSscQlSZR4", "Video")</f>
        <v/>
      </c>
      <c r="B4737" t="inlineStr">
        <is>
          <t>7:18</t>
        </is>
      </c>
      <c r="C4737" t="inlineStr">
        <is>
          <t>now is to think carefully about which
habit you want to work on for the rest</t>
        </is>
      </c>
      <c r="D4737">
        <f>HYPERLINK("https://www.youtube.com/watch?v=7DSscQlSZR4&amp;t=438s", "Go to time")</f>
        <v/>
      </c>
    </row>
    <row r="4738">
      <c r="A4738">
        <f>HYPERLINK("https://www.youtube.com/watch?v=7DSscQlSZR4", "Video")</f>
        <v/>
      </c>
      <c r="B4738" t="inlineStr">
        <is>
          <t>7:22</t>
        </is>
      </c>
      <c r="C4738" t="inlineStr">
        <is>
          <t>of this course which of these habits are
you going to commit to to try to stick</t>
        </is>
      </c>
      <c r="D4738">
        <f>HYPERLINK("https://www.youtube.com/watch?v=7DSscQlSZR4&amp;t=442s", "Go to time")</f>
        <v/>
      </c>
    </row>
    <row r="4739">
      <c r="A4739">
        <f>HYPERLINK("https://www.youtube.com/watch?v=7DSscQlSZR4", "Video")</f>
        <v/>
      </c>
      <c r="B4739" t="inlineStr">
        <is>
          <t>7:33</t>
        </is>
      </c>
      <c r="C4739" t="inlineStr">
        <is>
          <t>very important to note that you should
only try to stick to one of these habits</t>
        </is>
      </c>
      <c r="D4739">
        <f>HYPERLINK("https://www.youtube.com/watch?v=7DSscQlSZR4&amp;t=453s", "Go to time")</f>
        <v/>
      </c>
    </row>
    <row r="4740">
      <c r="A4740">
        <f>HYPERLINK("https://www.youtube.com/watch?v=7DSscQlSZR4", "Video")</f>
        <v/>
      </c>
      <c r="B4740" t="inlineStr">
        <is>
          <t>7:46</t>
        </is>
      </c>
      <c r="C4740" t="inlineStr">
        <is>
          <t>multiple habits at once that you're
going to get overwhelmed and fail stick</t>
        </is>
      </c>
      <c r="D4740">
        <f>HYPERLINK("https://www.youtube.com/watch?v=7DSscQlSZR4&amp;t=466s", "Go to time")</f>
        <v/>
      </c>
    </row>
    <row r="4741">
      <c r="A4741">
        <f>HYPERLINK("https://www.youtube.com/watch?v=7DSscQlSZR4", "Video")</f>
        <v/>
      </c>
      <c r="B4741" t="inlineStr">
        <is>
          <t>7:51</t>
        </is>
      </c>
      <c r="C4741" t="inlineStr">
        <is>
          <t>to the single keystone habit you decide
on it until it reaches that line of</t>
        </is>
      </c>
      <c r="D4741">
        <f>HYPERLINK("https://www.youtube.com/watch?v=7DSscQlSZR4&amp;t=471s", "Go to time")</f>
        <v/>
      </c>
    </row>
    <row r="4742">
      <c r="A4742">
        <f>HYPERLINK("https://www.youtube.com/watch?v=7DSscQlSZR4", "Video")</f>
        <v/>
      </c>
      <c r="B4742" t="inlineStr">
        <is>
          <t>7:55</t>
        </is>
      </c>
      <c r="C4742" t="inlineStr">
        <is>
          <t>automaticity do not I repeat do not try
to adopt any other good habits until</t>
        </is>
      </c>
      <c r="D4742">
        <f>HYPERLINK("https://www.youtube.com/watch?v=7DSscQlSZR4&amp;t=475s", "Go to time")</f>
        <v/>
      </c>
    </row>
    <row r="4743">
      <c r="A4743">
        <f>HYPERLINK("https://www.youtube.com/watch?v=7DSscQlSZR4", "Video")</f>
        <v/>
      </c>
      <c r="B4743" t="inlineStr">
        <is>
          <t>8:09</t>
        </is>
      </c>
      <c r="C4743" t="inlineStr">
        <is>
          <t>habits you're gonna stick to for the
rest of this course make your decision</t>
        </is>
      </c>
      <c r="D4743">
        <f>HYPERLINK("https://www.youtube.com/watch?v=7DSscQlSZR4&amp;t=489s", "Go to time")</f>
        <v/>
      </c>
    </row>
    <row r="4744">
      <c r="A4744">
        <f>HYPERLINK("https://www.youtube.com/watch?v=7DSscQlSZR4", "Video")</f>
        <v/>
      </c>
      <c r="B4744" t="inlineStr">
        <is>
          <t>8:19</t>
        </is>
      </c>
      <c r="C4744" t="inlineStr">
        <is>
          <t>habit how to strategically pick a cue
that will increase your chances of</t>
        </is>
      </c>
      <c r="D4744">
        <f>HYPERLINK("https://www.youtube.com/watch?v=7DSscQlSZR4&amp;t=499s", "Go to time")</f>
        <v/>
      </c>
    </row>
    <row r="4745">
      <c r="A4745">
        <f>HYPERLINK("https://www.youtube.com/watch?v=7DSscQlSZR4", "Video")</f>
        <v/>
      </c>
      <c r="B4745" t="inlineStr">
        <is>
          <t>8:23</t>
        </is>
      </c>
      <c r="C4745" t="inlineStr">
        <is>
          <t>sticking to this habit how to get closer
to the line of automaticity without</t>
        </is>
      </c>
      <c r="D4745">
        <f>HYPERLINK("https://www.youtube.com/watch?v=7DSscQlSZR4&amp;t=503s", "Go to time")</f>
        <v/>
      </c>
    </row>
    <row r="4746">
      <c r="A4746">
        <f>HYPERLINK("https://www.youtube.com/watch?v=3UGRJRkaOnA", "Video")</f>
        <v/>
      </c>
      <c r="B4746" t="inlineStr">
        <is>
          <t>1:03</t>
        </is>
      </c>
      <c r="C4746" t="inlineStr">
        <is>
          <t>bit i would sit down on their porch
or on their steps and start talking to</t>
        </is>
      </c>
      <c r="D4746">
        <f>HYPERLINK("https://www.youtube.com/watch?v=3UGRJRkaOnA&amp;t=63s", "Go to time")</f>
        <v/>
      </c>
    </row>
    <row r="4747">
      <c r="A4747">
        <f>HYPERLINK("https://www.youtube.com/watch?v=3UGRJRkaOnA", "Video")</f>
        <v/>
      </c>
      <c r="B4747" t="inlineStr">
        <is>
          <t>3:24</t>
        </is>
      </c>
      <c r="C4747" t="inlineStr">
        <is>
          <t>habits or making money online
or even social skills the stronger our</t>
        </is>
      </c>
      <c r="D4747">
        <f>HYPERLINK("https://www.youtube.com/watch?v=3UGRJRkaOnA&amp;t=204s", "Go to time")</f>
        <v/>
      </c>
    </row>
    <row r="4748">
      <c r="A4748">
        <f>HYPERLINK("https://www.youtube.com/watch?v=3UGRJRkaOnA", "Video")</f>
        <v/>
      </c>
      <c r="B4748" t="inlineStr">
        <is>
          <t>8:01</t>
        </is>
      </c>
      <c r="C4748" t="inlineStr">
        <is>
          <t>domain habitbuilder.com
for one of my programs early on because</t>
        </is>
      </c>
      <c r="D4748">
        <f>HYPERLINK("https://www.youtube.com/watch?v=3UGRJRkaOnA&amp;t=481s", "Go to time")</f>
        <v/>
      </c>
    </row>
    <row r="4749">
      <c r="A4749">
        <f>HYPERLINK("https://www.youtube.com/watch?v=O-ETErmpVxI", "Video")</f>
        <v/>
      </c>
      <c r="B4749" t="inlineStr">
        <is>
          <t>1:28</t>
        </is>
      </c>
      <c r="C4749" t="inlineStr">
        <is>
          <t>Let me know where you currently stand in the
comments down below – I'm a bit curious.</t>
        </is>
      </c>
      <c r="D4749">
        <f>HYPERLINK("https://www.youtube.com/watch?v=O-ETErmpVxI&amp;t=88s", "Go to time")</f>
        <v/>
      </c>
    </row>
    <row r="4750">
      <c r="A4750">
        <f>HYPERLINK("https://www.youtube.com/watch?v=O-ETErmpVxI", "Video")</f>
        <v/>
      </c>
      <c r="B4750" t="inlineStr">
        <is>
          <t>2:04</t>
        </is>
      </c>
      <c r="C4750" t="inlineStr">
        <is>
          <t>– just like how you would rest a bit between
doing sets in the gym – and then you would</t>
        </is>
      </c>
      <c r="D4750">
        <f>HYPERLINK("https://www.youtube.com/watch?v=O-ETErmpVxI&amp;t=124s", "Go to time")</f>
        <v/>
      </c>
    </row>
    <row r="4751">
      <c r="A4751">
        <f>HYPERLINK("https://www.youtube.com/watch?v=O-ETErmpVxI", "Video")</f>
        <v/>
      </c>
      <c r="B4751" t="inlineStr">
        <is>
          <t>3:30</t>
        </is>
      </c>
      <c r="C4751" t="inlineStr">
        <is>
          <t>The best way to train your focus muscles is
by building a habit that automatically does</t>
        </is>
      </c>
      <c r="D4751">
        <f>HYPERLINK("https://www.youtube.com/watch?v=O-ETErmpVxI&amp;t=210s", "Go to time")</f>
        <v/>
      </c>
    </row>
    <row r="4752">
      <c r="A4752">
        <f>HYPERLINK("https://www.youtube.com/watch?v=O-ETErmpVxI", "Video")</f>
        <v/>
      </c>
      <c r="B4752" t="inlineStr">
        <is>
          <t>3:51</t>
        </is>
      </c>
      <c r="C4752" t="inlineStr">
        <is>
          <t>this habit.</t>
        </is>
      </c>
      <c r="D4752">
        <f>HYPERLINK("https://www.youtube.com/watch?v=O-ETErmpVxI&amp;t=231s", "Go to time")</f>
        <v/>
      </c>
    </row>
    <row r="4753">
      <c r="A4753">
        <f>HYPERLINK("https://www.youtube.com/watch?v=O-ETErmpVxI", "Video")</f>
        <v/>
      </c>
      <c r="B4753" t="inlineStr">
        <is>
          <t>6:14</t>
        </is>
      </c>
      <c r="C4753" t="inlineStr">
        <is>
          <t>Make a habit of reading the entire article.</t>
        </is>
      </c>
      <c r="D4753">
        <f>HYPERLINK("https://www.youtube.com/watch?v=O-ETErmpVxI&amp;t=374s", "Go to time")</f>
        <v/>
      </c>
    </row>
    <row r="4754">
      <c r="A4754">
        <f>HYPERLINK("https://www.youtube.com/watch?v=9MFrslI2aM4", "Video")</f>
        <v/>
      </c>
      <c r="B4754" t="inlineStr">
        <is>
          <t>0:12</t>
        </is>
      </c>
      <c r="C4754" t="inlineStr">
        <is>
          <t>and why the first step is to exhibit</t>
        </is>
      </c>
      <c r="D4754">
        <f>HYPERLINK("https://www.youtube.com/watch?v=9MFrslI2aM4&amp;t=12s", "Go to time")</f>
        <v/>
      </c>
    </row>
    <row r="4755">
      <c r="A4755">
        <f>HYPERLINK("https://www.youtube.com/watch?v=9MFrslI2aM4", "Video")</f>
        <v/>
      </c>
      <c r="B4755" t="inlineStr">
        <is>
          <t>0:58</t>
        </is>
      </c>
      <c r="C4755" t="inlineStr">
        <is>
          <t>her to like you you have to exhibit high</t>
        </is>
      </c>
      <c r="D4755">
        <f>HYPERLINK("https://www.youtube.com/watch?v=9MFrslI2aM4&amp;t=58s", "Go to time")</f>
        <v/>
      </c>
    </row>
    <row r="4756">
      <c r="A4756">
        <f>HYPERLINK("https://www.youtube.com/watch?v=9MFrslI2aM4", "Video")</f>
        <v/>
      </c>
      <c r="B4756" t="inlineStr">
        <is>
          <t>3:33</t>
        </is>
      </c>
      <c r="C4756" t="inlineStr">
        <is>
          <t>like you is to exhibit desire and this</t>
        </is>
      </c>
      <c r="D4756">
        <f>HYPERLINK("https://www.youtube.com/watch?v=9MFrslI2aM4&amp;t=213s", "Go to time")</f>
        <v/>
      </c>
    </row>
    <row r="4757">
      <c r="A4757">
        <f>HYPERLINK("https://www.youtube.com/watch?v=9MFrslI2aM4", "Video")</f>
        <v/>
      </c>
      <c r="B4757" t="inlineStr">
        <is>
          <t>5:14</t>
        </is>
      </c>
      <c r="C4757" t="inlineStr">
        <is>
          <t>the second way to go about exhibited</t>
        </is>
      </c>
      <c r="D4757">
        <f>HYPERLINK("https://www.youtube.com/watch?v=9MFrslI2aM4&amp;t=314s", "Go to time")</f>
        <v/>
      </c>
    </row>
    <row r="4758">
      <c r="A4758">
        <f>HYPERLINK("https://www.youtube.com/watch?v=9MFrslI2aM4", "Video")</f>
        <v/>
      </c>
      <c r="B4758" t="inlineStr">
        <is>
          <t>5:43</t>
        </is>
      </c>
      <c r="C4758" t="inlineStr">
        <is>
          <t>you can use touch to exhibit your desire</t>
        </is>
      </c>
      <c r="D4758">
        <f>HYPERLINK("https://www.youtube.com/watch?v=9MFrslI2aM4&amp;t=343s", "Go to time")</f>
        <v/>
      </c>
    </row>
    <row r="4759">
      <c r="A4759">
        <f>HYPERLINK("https://www.youtube.com/watch?v=9MFrslI2aM4", "Video")</f>
        <v/>
      </c>
      <c r="B4759" t="inlineStr">
        <is>
          <t>5:46</t>
        </is>
      </c>
      <c r="C4759" t="inlineStr">
        <is>
          <t>now in order for you to exhibit desire</t>
        </is>
      </c>
      <c r="D4759">
        <f>HYPERLINK("https://www.youtube.com/watch?v=9MFrslI2aM4&amp;t=346s", "Go to time")</f>
        <v/>
      </c>
    </row>
    <row r="4760">
      <c r="A4760">
        <f>HYPERLINK("https://www.youtube.com/watch?v=9MFrslI2aM4", "Video")</f>
        <v/>
      </c>
      <c r="B4760" t="inlineStr">
        <is>
          <t>5:56</t>
        </is>
      </c>
      <c r="C4760" t="inlineStr">
        <is>
          <t>come out on a date with you then exhibit</t>
        </is>
      </c>
      <c r="D4760">
        <f>HYPERLINK("https://www.youtube.com/watch?v=9MFrslI2aM4&amp;t=356s", "Go to time")</f>
        <v/>
      </c>
    </row>
    <row r="4761">
      <c r="A4761">
        <f>HYPERLINK("https://www.youtube.com/watch?v=9MFrslI2aM4", "Video")</f>
        <v/>
      </c>
      <c r="B4761" t="inlineStr">
        <is>
          <t>6:24</t>
        </is>
      </c>
      <c r="C4761" t="inlineStr">
        <is>
          <t>this is a little bit different in that</t>
        </is>
      </c>
      <c r="D4761">
        <f>HYPERLINK("https://www.youtube.com/watch?v=9MFrslI2aM4&amp;t=384s", "Go to time")</f>
        <v/>
      </c>
    </row>
    <row r="4762">
      <c r="A4762">
        <f>HYPERLINK("https://www.youtube.com/watch?v=4P_wJhPN2UA", "Video")</f>
        <v/>
      </c>
      <c r="B4762" t="inlineStr">
        <is>
          <t>2:50</t>
        </is>
      </c>
      <c r="C4762" t="inlineStr">
        <is>
          <t>See - developing a romantic relationship and
getting a significant other is a bit different</t>
        </is>
      </c>
      <c r="D4762">
        <f>HYPERLINK("https://www.youtube.com/watch?v=4P_wJhPN2UA&amp;t=170s", "Go to time")</f>
        <v/>
      </c>
    </row>
    <row r="4763">
      <c r="A4763">
        <f>HYPERLINK("https://www.youtube.com/watch?v=WmzT-2lLCXs", "Video")</f>
        <v/>
      </c>
      <c r="B4763" t="inlineStr">
        <is>
          <t>0:04</t>
        </is>
      </c>
      <c r="C4763" t="inlineStr">
        <is>
          <t>it comes to building the right habits</t>
        </is>
      </c>
      <c r="D4763">
        <f>HYPERLINK("https://www.youtube.com/watch?v=WmzT-2lLCXs&amp;t=4s", "Go to time")</f>
        <v/>
      </c>
    </row>
    <row r="4764">
      <c r="A4764">
        <f>HYPERLINK("https://www.youtube.com/watch?v=WmzT-2lLCXs", "Video")</f>
        <v/>
      </c>
      <c r="B4764" t="inlineStr">
        <is>
          <t>0:11</t>
        </is>
      </c>
      <c r="C4764" t="inlineStr">
        <is>
          <t>sticking to habits so effortless and</t>
        </is>
      </c>
      <c r="D4764">
        <f>HYPERLINK("https://www.youtube.com/watch?v=WmzT-2lLCXs&amp;t=11s", "Go to time")</f>
        <v/>
      </c>
    </row>
    <row r="4765">
      <c r="A4765">
        <f>HYPERLINK("https://www.youtube.com/watch?v=WmzT-2lLCXs", "Video")</f>
        <v/>
      </c>
      <c r="B4765" t="inlineStr">
        <is>
          <t>0:43</t>
        </is>
      </c>
      <c r="C4765" t="inlineStr">
        <is>
          <t>sticking to my fitness habits the</t>
        </is>
      </c>
      <c r="D4765">
        <f>HYPERLINK("https://www.youtube.com/watch?v=WmzT-2lLCXs&amp;t=43s", "Go to time")</f>
        <v/>
      </c>
    </row>
    <row r="4766">
      <c r="A4766">
        <f>HYPERLINK("https://www.youtube.com/watch?v=WmzT-2lLCXs", "Video")</f>
        <v/>
      </c>
      <c r="B4766" t="inlineStr">
        <is>
          <t>1:47</t>
        </is>
      </c>
      <c r="C4766" t="inlineStr">
        <is>
          <t>when you Outsource your habits your</t>
        </is>
      </c>
      <c r="D4766">
        <f>HYPERLINK("https://www.youtube.com/watch?v=WmzT-2lLCXs&amp;t=107s", "Go to time")</f>
        <v/>
      </c>
    </row>
    <row r="4767">
      <c r="A4767">
        <f>HYPERLINK("https://www.youtube.com/watch?v=WmzT-2lLCXs", "Video")</f>
        <v/>
      </c>
      <c r="B4767" t="inlineStr">
        <is>
          <t>1:51</t>
        </is>
      </c>
      <c r="C4767" t="inlineStr">
        <is>
          <t>habit drastically increase one of the</t>
        </is>
      </c>
      <c r="D4767">
        <f>HYPERLINK("https://www.youtube.com/watch?v=WmzT-2lLCXs&amp;t=111s", "Go to time")</f>
        <v/>
      </c>
    </row>
    <row r="4768">
      <c r="A4768">
        <f>HYPERLINK("https://www.youtube.com/watch?v=WmzT-2lLCXs", "Video")</f>
        <v/>
      </c>
      <c r="B4768" t="inlineStr">
        <is>
          <t>3:41</t>
        </is>
      </c>
      <c r="C4768" t="inlineStr">
        <is>
          <t>habits and live a more healthy and</t>
        </is>
      </c>
      <c r="D4768">
        <f>HYPERLINK("https://www.youtube.com/watch?v=WmzT-2lLCXs&amp;t=221s", "Go to time")</f>
        <v/>
      </c>
    </row>
    <row r="4769">
      <c r="A4769">
        <f>HYPERLINK("https://www.youtube.com/watch?v=WmzT-2lLCXs", "Video")</f>
        <v/>
      </c>
      <c r="B4769" t="inlineStr">
        <is>
          <t>3:49</t>
        </is>
      </c>
      <c r="C4769" t="inlineStr">
        <is>
          <t>building habits is a constant struggle</t>
        </is>
      </c>
      <c r="D4769">
        <f>HYPERLINK("https://www.youtube.com/watch?v=WmzT-2lLCXs&amp;t=229s", "Go to time")</f>
        <v/>
      </c>
    </row>
    <row r="4770">
      <c r="A4770">
        <f>HYPERLINK("https://www.youtube.com/watch?v=WmzT-2lLCXs", "Video")</f>
        <v/>
      </c>
      <c r="B4770" t="inlineStr">
        <is>
          <t>4:22</t>
        </is>
      </c>
      <c r="C4770" t="inlineStr">
        <is>
          <t>build habits however you do need to know</t>
        </is>
      </c>
      <c r="D4770">
        <f>HYPERLINK("https://www.youtube.com/watch?v=WmzT-2lLCXs&amp;t=262s", "Go to time")</f>
        <v/>
      </c>
    </row>
    <row r="4771">
      <c r="A4771">
        <f>HYPERLINK("https://www.youtube.com/watch?v=WmzT-2lLCXs", "Video")</f>
        <v/>
      </c>
      <c r="B4771" t="inlineStr">
        <is>
          <t>4:58</t>
        </is>
      </c>
      <c r="C4771" t="inlineStr">
        <is>
          <t>habits and also for the people looking</t>
        </is>
      </c>
      <c r="D4771">
        <f>HYPERLINK("https://www.youtube.com/watch?v=WmzT-2lLCXs&amp;t=298s", "Go to time")</f>
        <v/>
      </c>
    </row>
    <row r="4772">
      <c r="A4772">
        <f>HYPERLINK("https://www.youtube.com/watch?v=Cw4dL-fl9AQ", "Video")</f>
        <v/>
      </c>
      <c r="B4772" t="inlineStr">
        <is>
          <t>2:10</t>
        </is>
      </c>
      <c r="C4772" t="inlineStr">
        <is>
          <t>incorporate healthy habits which brings</t>
        </is>
      </c>
      <c r="D4772">
        <f>HYPERLINK("https://www.youtube.com/watch?v=Cw4dL-fl9AQ&amp;t=130s", "Go to time")</f>
        <v/>
      </c>
    </row>
    <row r="4773">
      <c r="A4773">
        <f>HYPERLINK("https://www.youtube.com/watch?v=Vae4Y91bBl0", "Video")</f>
        <v/>
      </c>
      <c r="B4773" t="inlineStr">
        <is>
          <t>3:56</t>
        </is>
      </c>
      <c r="C4773" t="inlineStr">
        <is>
          <t>all of which trigger my habits for surfing the web 
playing games and watching netflix because that's</t>
        </is>
      </c>
      <c r="D4773">
        <f>HYPERLINK("https://www.youtube.com/watch?v=Vae4Y91bBl0&amp;t=236s", "Go to time")</f>
        <v/>
      </c>
    </row>
    <row r="4774">
      <c r="A4774">
        <f>HYPERLINK("https://www.youtube.com/watch?v=Vae4Y91bBl0", "Video")</f>
        <v/>
      </c>
      <c r="B4774" t="inlineStr">
        <is>
          <t>4:58</t>
        </is>
      </c>
      <c r="C4774" t="inlineStr">
        <is>
          <t>intervals and a great way to do this is to work 
for a bit and then purposely reward yourself for</t>
        </is>
      </c>
      <c r="D4774">
        <f>HYPERLINK("https://www.youtube.com/watch?v=Vae4Y91bBl0&amp;t=298s", "Go to time")</f>
        <v/>
      </c>
    </row>
    <row r="4775">
      <c r="A4775">
        <f>HYPERLINK("https://www.youtube.com/watch?v=D5qrUJsberc", "Video")</f>
        <v/>
      </c>
      <c r="B4775" t="inlineStr">
        <is>
          <t>0:48</t>
        </is>
      </c>
      <c r="C4775" t="inlineStr">
        <is>
          <t>gym into a habit but we've been having a</t>
        </is>
      </c>
      <c r="D4775">
        <f>HYPERLINK("https://www.youtube.com/watch?v=D5qrUJsberc&amp;t=48s", "Go to time")</f>
        <v/>
      </c>
    </row>
    <row r="4776">
      <c r="A4776">
        <f>HYPERLINK("https://www.youtube.com/watch?v=D5qrUJsberc", "Video")</f>
        <v/>
      </c>
      <c r="B4776" t="inlineStr">
        <is>
          <t>3:12</t>
        </is>
      </c>
      <c r="C4776" t="inlineStr">
        <is>
          <t>you didn't stop procrastinating be a bit</t>
        </is>
      </c>
      <c r="D4776">
        <f>HYPERLINK("https://www.youtube.com/watch?v=D5qrUJsberc&amp;t=192s", "Go to time")</f>
        <v/>
      </c>
    </row>
    <row r="4777">
      <c r="A4777">
        <f>HYPERLINK("https://www.youtube.com/watch?v=D5qrUJsberc", "Video")</f>
        <v/>
      </c>
      <c r="B4777" t="inlineStr">
        <is>
          <t>3:16</t>
        </is>
      </c>
      <c r="C4777" t="inlineStr">
        <is>
          <t>scenario I know this sounds a bit</t>
        </is>
      </c>
      <c r="D4777">
        <f>HYPERLINK("https://www.youtube.com/watch?v=D5qrUJsberc&amp;t=196s", "Go to time")</f>
        <v/>
      </c>
    </row>
    <row r="4778">
      <c r="A4778">
        <f>HYPERLINK("https://www.youtube.com/watch?v=D5qrUJsberc", "Video")</f>
        <v/>
      </c>
      <c r="B4778" t="inlineStr">
        <is>
          <t>6:38</t>
        </is>
      </c>
      <c r="C4778" t="inlineStr">
        <is>
          <t>board into a habit if you have too many</t>
        </is>
      </c>
      <c r="D4778">
        <f>HYPERLINK("https://www.youtube.com/watch?v=D5qrUJsberc&amp;t=398s", "Go to time")</f>
        <v/>
      </c>
    </row>
    <row r="4779">
      <c r="A4779">
        <f>HYPERLINK("https://www.youtube.com/watch?v=D5qrUJsberc", "Video")</f>
        <v/>
      </c>
      <c r="B4779" t="inlineStr">
        <is>
          <t>6:52</t>
        </is>
      </c>
      <c r="C4779" t="inlineStr">
        <is>
          <t>can develop this habit much easier and</t>
        </is>
      </c>
      <c r="D4779">
        <f>HYPERLINK("https://www.youtube.com/watch?v=D5qrUJsberc&amp;t=412s", "Go to time")</f>
        <v/>
      </c>
    </row>
    <row r="4780">
      <c r="A4780">
        <f>HYPERLINK("https://www.youtube.com/watch?v=D5qrUJsberc", "Video")</f>
        <v/>
      </c>
      <c r="B4780" t="inlineStr">
        <is>
          <t>6:54</t>
        </is>
      </c>
      <c r="C4780" t="inlineStr">
        <is>
          <t>once the habit is locked in it starts to</t>
        </is>
      </c>
      <c r="D4780">
        <f>HYPERLINK("https://www.youtube.com/watch?v=D5qrUJsberc&amp;t=414s", "Go to time")</f>
        <v/>
      </c>
    </row>
    <row r="4781">
      <c r="A4781">
        <f>HYPERLINK("https://www.youtube.com/watch?v=D5qrUJsberc", "Video")</f>
        <v/>
      </c>
      <c r="B4781" t="inlineStr">
        <is>
          <t>8:14</t>
        </is>
      </c>
      <c r="C4781" t="inlineStr">
        <is>
          <t>make this into a habit and that's it</t>
        </is>
      </c>
      <c r="D4781">
        <f>HYPERLINK("https://www.youtube.com/watch?v=D5qrUJsberc&amp;t=494s", "Go to time")</f>
        <v/>
      </c>
    </row>
    <row r="4782">
      <c r="A4782">
        <f>HYPERLINK("https://www.youtube.com/watch?v=hufBZc0I5Ng", "Video")</f>
        <v/>
      </c>
      <c r="B4782" t="inlineStr">
        <is>
          <t>1:31</t>
        </is>
      </c>
      <c r="C4782" t="inlineStr">
        <is>
          <t>single day and they're feeling a bit annoyed which 
is why they ended up saying this when faced with</t>
        </is>
      </c>
      <c r="D4782">
        <f>HYPERLINK("https://www.youtube.com/watch?v=hufBZc0I5Ng&amp;t=91s", "Go to time")</f>
        <v/>
      </c>
    </row>
    <row r="4783">
      <c r="A4783">
        <f>HYPERLINK("https://www.youtube.com/watch?v=hufBZc0I5Ng", "Video")</f>
        <v/>
      </c>
      <c r="B4783" t="inlineStr">
        <is>
          <t>11:11</t>
        </is>
      </c>
      <c r="C4783" t="inlineStr">
        <is>
          <t>you have to dive a bit deeper into in order to fix 
now i'm gonna go into rapid fire mode and answer</t>
        </is>
      </c>
      <c r="D4783">
        <f>HYPERLINK("https://www.youtube.com/watch?v=hufBZc0I5Ng&amp;t=671s", "Go to time")</f>
        <v/>
      </c>
    </row>
    <row r="4784">
      <c r="A4784">
        <f>HYPERLINK("https://www.youtube.com/watch?v=3MxXaZagraw", "Video")</f>
        <v/>
      </c>
      <c r="B4784" t="inlineStr">
        <is>
          <t>0:33</t>
        </is>
      </c>
      <c r="C4784" t="inlineStr">
        <is>
          <t>success and he noticed that one habit</t>
        </is>
      </c>
      <c r="D4784">
        <f>HYPERLINK("https://www.youtube.com/watch?v=3MxXaZagraw&amp;t=33s", "Go to time")</f>
        <v/>
      </c>
    </row>
    <row r="4785">
      <c r="A4785">
        <f>HYPERLINK("https://www.youtube.com/watch?v=3MxXaZagraw", "Video")</f>
        <v/>
      </c>
      <c r="B4785" t="inlineStr">
        <is>
          <t>0:39</t>
        </is>
      </c>
      <c r="C4785" t="inlineStr">
        <is>
          <t>what was the Habit he found that each of</t>
        </is>
      </c>
      <c r="D4785">
        <f>HYPERLINK("https://www.youtube.com/watch?v=3MxXaZagraw&amp;t=39s", "Go to time")</f>
        <v/>
      </c>
    </row>
    <row r="4786">
      <c r="A4786">
        <f>HYPERLINK("https://www.youtube.com/watch?v=3MxXaZagraw", "Video")</f>
        <v/>
      </c>
      <c r="B4786" t="inlineStr">
        <is>
          <t>2:08</t>
        </is>
      </c>
      <c r="C4786" t="inlineStr">
        <is>
          <t>ambitious people get stuck not knowing</t>
        </is>
      </c>
      <c r="D4786">
        <f>HYPERLINK("https://www.youtube.com/watch?v=3MxXaZagraw&amp;t=128s", "Go to time")</f>
        <v/>
      </c>
    </row>
    <row r="4787">
      <c r="A4787">
        <f>HYPERLINK("https://www.youtube.com/watch?v=3MxXaZagraw", "Video")</f>
        <v/>
      </c>
      <c r="B4787" t="inlineStr">
        <is>
          <t>2:17</t>
        </is>
      </c>
      <c r="C4787" t="inlineStr">
        <is>
          <t>said he who chases two rabbits catches</t>
        </is>
      </c>
      <c r="D4787">
        <f>HYPERLINK("https://www.youtube.com/watch?v=3MxXaZagraw&amp;t=137s", "Go to time")</f>
        <v/>
      </c>
    </row>
    <row r="4788">
      <c r="A4788">
        <f>HYPERLINK("https://www.youtube.com/watch?v=lvAaSIrAu30", "Video")</f>
        <v/>
      </c>
      <c r="B4788" t="inlineStr">
        <is>
          <t>2:30</t>
        </is>
      </c>
      <c r="C4788" t="inlineStr">
        <is>
          <t>actually be less happy than someone who
makes a bit less than you but has a lot</t>
        </is>
      </c>
      <c r="D4788">
        <f>HYPERLINK("https://www.youtube.com/watch?v=lvAaSIrAu30&amp;t=150s", "Go to time")</f>
        <v/>
      </c>
    </row>
    <row r="4789">
      <c r="A4789">
        <f>HYPERLINK("https://www.youtube.com/watch?v=JvSDfHzrxhM", "Video")</f>
        <v/>
      </c>
      <c r="B4789" t="inlineStr">
        <is>
          <t>3:21</t>
        </is>
      </c>
      <c r="C4789" t="inlineStr">
        <is>
          <t>just a bit more but right as he was</t>
        </is>
      </c>
      <c r="D4789">
        <f>HYPERLINK("https://www.youtube.com/watch?v=JvSDfHzrxhM&amp;t=201s", "Go to time")</f>
        <v/>
      </c>
    </row>
    <row r="4790">
      <c r="A4790">
        <f>HYPERLINK("https://www.youtube.com/watch?v=JvSDfHzrxhM", "Video")</f>
        <v/>
      </c>
      <c r="B4790" t="inlineStr">
        <is>
          <t>5:24</t>
        </is>
      </c>
      <c r="C4790" t="inlineStr">
        <is>
          <t>were bitter and resentful we have a deep</t>
        </is>
      </c>
      <c r="D4790">
        <f>HYPERLINK("https://www.youtube.com/watch?v=JvSDfHzrxhM&amp;t=324s", "Go to time")</f>
        <v/>
      </c>
    </row>
    <row r="4791">
      <c r="A4791">
        <f>HYPERLINK("https://www.youtube.com/watch?v=JvSDfHzrxhM", "Video")</f>
        <v/>
      </c>
      <c r="B4791" t="inlineStr">
        <is>
          <t>7:26</t>
        </is>
      </c>
      <c r="C4791" t="inlineStr">
        <is>
          <t>stuck in familiar habits and ways of</t>
        </is>
      </c>
      <c r="D4791">
        <f>HYPERLINK("https://www.youtube.com/watch?v=JvSDfHzrxhM&amp;t=446s", "Go to time")</f>
        <v/>
      </c>
    </row>
    <row r="4792">
      <c r="A4792">
        <f>HYPERLINK("https://www.youtube.com/watch?v=aRCR2H1fzjI", "Video")</f>
        <v/>
      </c>
      <c r="B4792" t="inlineStr">
        <is>
          <t>2:04</t>
        </is>
      </c>
      <c r="C4792" t="inlineStr">
        <is>
          <t>interests if you dig a bit deeper the</t>
        </is>
      </c>
      <c r="D4792">
        <f>HYPERLINK("https://www.youtube.com/watch?v=aRCR2H1fzjI&amp;t=124s", "Go to time")</f>
        <v/>
      </c>
    </row>
    <row r="4793">
      <c r="A4793">
        <f>HYPERLINK("https://www.youtube.com/watch?v=aRCR2H1fzjI", "Video")</f>
        <v/>
      </c>
      <c r="B4793" t="inlineStr">
        <is>
          <t>4:14</t>
        </is>
      </c>
      <c r="C4793" t="inlineStr">
        <is>
          <t>and ambition it shows you are willing to</t>
        </is>
      </c>
      <c r="D4793">
        <f>HYPERLINK("https://www.youtube.com/watch?v=aRCR2H1fzjI&amp;t=254s", "Go to time")</f>
        <v/>
      </c>
    </row>
    <row r="4794">
      <c r="A4794">
        <f>HYPERLINK("https://www.youtube.com/watch?v=Aw0p4jQeW0U", "Video")</f>
        <v/>
      </c>
      <c r="B4794" t="inlineStr">
        <is>
          <t>8:32</t>
        </is>
      </c>
      <c r="C4794" t="inlineStr">
        <is>
          <t>using my bullet journal which has been
the most life-changing habit that i've</t>
        </is>
      </c>
      <c r="D4794">
        <f>HYPERLINK("https://www.youtube.com/watch?v=Aw0p4jQeW0U&amp;t=512s", "Go to time")</f>
        <v/>
      </c>
    </row>
    <row r="4795">
      <c r="A4795">
        <f>HYPERLINK("https://www.youtube.com/watch?v=Aw0p4jQeW0U", "Video")</f>
        <v/>
      </c>
      <c r="B4795" t="inlineStr">
        <is>
          <t>8:38</t>
        </is>
      </c>
      <c r="C4795" t="inlineStr">
        <is>
          <t>habit works you can check out my video
on the topic</t>
        </is>
      </c>
      <c r="D4795">
        <f>HYPERLINK("https://www.youtube.com/watch?v=Aw0p4jQeW0U&amp;t=518s", "Go to time")</f>
        <v/>
      </c>
    </row>
    <row r="4796">
      <c r="A4796">
        <f>HYPERLINK("https://www.youtube.com/watch?v=sjZ08xUAA0o", "Video")</f>
        <v/>
      </c>
      <c r="B4796" t="inlineStr">
        <is>
          <t>5:44</t>
        </is>
      </c>
      <c r="C4796" t="inlineStr">
        <is>
          <t>that someone is feeling a bit insecure as it 
is a pacifying movement designed to comfort us</t>
        </is>
      </c>
      <c r="D4796">
        <f>HYPERLINK("https://www.youtube.com/watch?v=sjZ08xUAA0o&amp;t=344s", "Go to time")</f>
        <v/>
      </c>
    </row>
    <row r="4797">
      <c r="A4797">
        <f>HYPERLINK("https://www.youtube.com/watch?v=pRynMDAKrvI", "Video")</f>
        <v/>
      </c>
      <c r="B4797" t="inlineStr">
        <is>
          <t>0:04</t>
        </is>
      </c>
      <c r="C4797" t="inlineStr">
        <is>
          <t>day having you have to create it you
have to build the right habits and over</t>
        </is>
      </c>
      <c r="D4797">
        <f>HYPERLINK("https://www.youtube.com/watch?v=pRynMDAKrvI&amp;t=4s", "Go to time")</f>
        <v/>
      </c>
    </row>
    <row r="4798">
      <c r="A4798">
        <f>HYPERLINK("https://www.youtube.com/watch?v=pRynMDAKrvI", "Video")</f>
        <v/>
      </c>
      <c r="B4798" t="inlineStr">
        <is>
          <t>1:09</t>
        </is>
      </c>
      <c r="C4798" t="inlineStr">
        <is>
          <t>about doing this the first is by
building a habit of expressing gratitude</t>
        </is>
      </c>
      <c r="D4798">
        <f>HYPERLINK("https://www.youtube.com/watch?v=pRynMDAKrvI&amp;t=69s", "Go to time")</f>
        <v/>
      </c>
    </row>
    <row r="4799">
      <c r="A4799">
        <f>HYPERLINK("https://www.youtube.com/watch?v=pRynMDAKrvI", "Video")</f>
        <v/>
      </c>
      <c r="B4799" t="inlineStr">
        <is>
          <t>5:20</t>
        </is>
      </c>
      <c r="C4799" t="inlineStr">
        <is>
          <t>by simply building a habit of reaching
out to at least one person every day it</t>
        </is>
      </c>
      <c r="D4799">
        <f>HYPERLINK("https://www.youtube.com/watch?v=pRynMDAKrvI&amp;t=320s", "Go to time")</f>
        <v/>
      </c>
    </row>
    <row r="4800">
      <c r="A4800">
        <f>HYPERLINK("https://www.youtube.com/watch?v=pRynMDAKrvI", "Video")</f>
        <v/>
      </c>
      <c r="B4800" t="inlineStr">
        <is>
          <t>6:00</t>
        </is>
      </c>
      <c r="C4800" t="inlineStr">
        <is>
          <t>depends on your ability to build new
habits building a habit of journaling or</t>
        </is>
      </c>
      <c r="D4800">
        <f>HYPERLINK("https://www.youtube.com/watch?v=pRynMDAKrvI&amp;t=360s", "Go to time")</f>
        <v/>
      </c>
    </row>
    <row r="4801">
      <c r="A4801">
        <f>HYPERLINK("https://www.youtube.com/watch?v=pRynMDAKrvI", "Video")</f>
        <v/>
      </c>
      <c r="B4801" t="inlineStr">
        <is>
          <t>6:05</t>
        </is>
      </c>
      <c r="C4801" t="inlineStr">
        <is>
          <t>a habit of meditation or even a habit of
reaching out to someone every day the</t>
        </is>
      </c>
      <c r="D4801">
        <f>HYPERLINK("https://www.youtube.com/watch?v=pRynMDAKrvI&amp;t=365s", "Go to time")</f>
        <v/>
      </c>
    </row>
    <row r="4802">
      <c r="A4802">
        <f>HYPERLINK("https://www.youtube.com/watch?v=pRynMDAKrvI", "Video")</f>
        <v/>
      </c>
      <c r="B4802" t="inlineStr">
        <is>
          <t>6:13</t>
        </is>
      </c>
      <c r="C4802" t="inlineStr">
        <is>
          <t>progress in your life is if you manage
to build and stick to a habit you can</t>
        </is>
      </c>
      <c r="D4802">
        <f>HYPERLINK("https://www.youtube.com/watch?v=pRynMDAKrvI&amp;t=373s", "Go to time")</f>
        <v/>
      </c>
    </row>
    <row r="4803">
      <c r="A4803">
        <f>HYPERLINK("https://www.youtube.com/watch?v=pRynMDAKrvI", "Video")</f>
        <v/>
      </c>
      <c r="B4803" t="inlineStr">
        <is>
          <t>6:21</t>
        </is>
      </c>
      <c r="C4803" t="inlineStr">
        <is>
          <t>you don't actually build a habit and
stick to it your life isn't gonna change</t>
        </is>
      </c>
      <c r="D4803">
        <f>HYPERLINK("https://www.youtube.com/watch?v=pRynMDAKrvI&amp;t=381s", "Go to time")</f>
        <v/>
      </c>
    </row>
    <row r="4804">
      <c r="A4804">
        <f>HYPERLINK("https://www.youtube.com/watch?v=pRynMDAKrvI", "Video")</f>
        <v/>
      </c>
      <c r="B4804" t="inlineStr">
        <is>
          <t>6:24</t>
        </is>
      </c>
      <c r="C4804" t="inlineStr">
        <is>
          <t>at all which is why I've decided to
create the habit builder challenge this</t>
        </is>
      </c>
      <c r="D4804">
        <f>HYPERLINK("https://www.youtube.com/watch?v=pRynMDAKrvI&amp;t=384s", "Go to time")</f>
        <v/>
      </c>
    </row>
    <row r="4805">
      <c r="A4805">
        <f>HYPERLINK("https://www.youtube.com/watch?v=pRynMDAKrvI", "Video")</f>
        <v/>
      </c>
      <c r="B4805" t="inlineStr">
        <is>
          <t>6:33</t>
        </is>
      </c>
      <c r="C4805" t="inlineStr">
        <is>
          <t>possible for you to actually build and
stick to a habit and this</t>
        </is>
      </c>
      <c r="D4805">
        <f>HYPERLINK("https://www.youtube.com/watch?v=pRynMDAKrvI&amp;t=393s", "Go to time")</f>
        <v/>
      </c>
    </row>
    <row r="4806">
      <c r="A4806">
        <f>HYPERLINK("https://www.youtube.com/watch?v=pRynMDAKrvI", "Video")</f>
        <v/>
      </c>
      <c r="B4806" t="inlineStr">
        <is>
          <t>8:41</t>
        </is>
      </c>
      <c r="C4806" t="inlineStr">
        <is>
          <t>some way and you just have to make a
habit of spending some time every single</t>
        </is>
      </c>
      <c r="D4806">
        <f>HYPERLINK("https://www.youtube.com/watch?v=pRynMDAKrvI&amp;t=521s", "Go to time")</f>
        <v/>
      </c>
    </row>
    <row r="4807">
      <c r="A4807">
        <f>HYPERLINK("https://www.youtube.com/watch?v=pRynMDAKrvI", "Video")</f>
        <v/>
      </c>
      <c r="B4807" t="inlineStr">
        <is>
          <t>9:43</t>
        </is>
      </c>
      <c r="C4807" t="inlineStr">
        <is>
          <t>and sticking to habits click on the link
in the description box below to sign up</t>
        </is>
      </c>
      <c r="D4807">
        <f>HYPERLINK("https://www.youtube.com/watch?v=pRynMDAKrvI&amp;t=583s", "Go to time")</f>
        <v/>
      </c>
    </row>
    <row r="4808">
      <c r="A4808">
        <f>HYPERLINK("https://www.youtube.com/watch?v=pRynMDAKrvI", "Video")</f>
        <v/>
      </c>
      <c r="B4808" t="inlineStr">
        <is>
          <t>9:50</t>
        </is>
      </c>
      <c r="C4808" t="inlineStr">
        <is>
          <t>habit builder challenge
besides that guys stay tuned</t>
        </is>
      </c>
      <c r="D4808">
        <f>HYPERLINK("https://www.youtube.com/watch?v=pRynMDAKrvI&amp;t=590s", "Go to time")</f>
        <v/>
      </c>
    </row>
    <row r="4809">
      <c r="A4809">
        <f>HYPERLINK("https://www.youtube.com/watch?v=xIDsgi9ytFE", "Video")</f>
        <v/>
      </c>
      <c r="B4809" t="inlineStr">
        <is>
          <t>2:15</t>
        </is>
      </c>
      <c r="C4809" t="inlineStr">
        <is>
          <t>sort of habit change and habit changes
have a huge drain on your body's</t>
        </is>
      </c>
      <c r="D4809">
        <f>HYPERLINK("https://www.youtube.com/watch?v=xIDsgi9ytFE&amp;t=135s", "Go to time")</f>
        <v/>
      </c>
    </row>
    <row r="4810">
      <c r="A4810">
        <f>HYPERLINK("https://www.youtube.com/watch?v=xIDsgi9ytFE", "Video")</f>
        <v/>
      </c>
      <c r="B4810" t="inlineStr">
        <is>
          <t>4:23</t>
        </is>
      </c>
      <c r="C4810" t="inlineStr">
        <is>
          <t>21 days to either from a habit
or break a habit. Luckily for you the</t>
        </is>
      </c>
      <c r="D4810">
        <f>HYPERLINK("https://www.youtube.com/watch?v=xIDsgi9ytFE&amp;t=263s", "Go to time")</f>
        <v/>
      </c>
    </row>
    <row r="4811">
      <c r="A4811">
        <f>HYPERLINK("https://www.youtube.com/watch?v=reLWIn9F0H0", "Video")</f>
        <v/>
      </c>
      <c r="B4811" t="inlineStr">
        <is>
          <t>4:27</t>
        </is>
      </c>
      <c r="C4811" t="inlineStr">
        <is>
          <t>building healthy habits and avoid places</t>
        </is>
      </c>
      <c r="D4811">
        <f>HYPERLINK("https://www.youtube.com/watch?v=reLWIn9F0H0&amp;t=267s", "Go to time")</f>
        <v/>
      </c>
    </row>
    <row r="4812">
      <c r="A4812">
        <f>HYPERLINK("https://www.youtube.com/watch?v=OUQ7LNGG93Q", "Video")</f>
        <v/>
      </c>
      <c r="B4812" t="inlineStr">
        <is>
          <t>5:17</t>
        </is>
      </c>
      <c r="C4812" t="inlineStr">
        <is>
          <t>isn't the right bit for any reason you</t>
        </is>
      </c>
      <c r="D4812">
        <f>HYPERLINK("https://www.youtube.com/watch?v=OUQ7LNGG93Q&amp;t=317s", "Go to time")</f>
        <v/>
      </c>
    </row>
    <row r="4813">
      <c r="A4813">
        <f>HYPERLINK("https://www.youtube.com/watch?v=uKO6MidWggs", "Video")</f>
        <v/>
      </c>
      <c r="B4813" t="inlineStr">
        <is>
          <t>3:55</t>
        </is>
      </c>
      <c r="C4813" t="inlineStr">
        <is>
          <t>you I want to quickly tell you about a
new program of ours the habit builder</t>
        </is>
      </c>
      <c r="D4813">
        <f>HYPERLINK("https://www.youtube.com/watch?v=uKO6MidWggs&amp;t=235s", "Go to time")</f>
        <v/>
      </c>
    </row>
    <row r="4814">
      <c r="A4814">
        <f>HYPERLINK("https://www.youtube.com/watch?v=uKO6MidWggs", "Video")</f>
        <v/>
      </c>
      <c r="B4814" t="inlineStr">
        <is>
          <t>4:07</t>
        </is>
      </c>
      <c r="C4814" t="inlineStr">
        <is>
          <t>your relationships is if you build the
right habits you won't suddenly become a</t>
        </is>
      </c>
      <c r="D4814">
        <f>HYPERLINK("https://www.youtube.com/watch?v=uKO6MidWggs&amp;t=247s", "Go to time")</f>
        <v/>
      </c>
    </row>
    <row r="4815">
      <c r="A4815">
        <f>HYPERLINK("https://www.youtube.com/watch?v=uKO6MidWggs", "Video")</f>
        <v/>
      </c>
      <c r="B4815" t="inlineStr">
        <is>
          <t>4:15</t>
        </is>
      </c>
      <c r="C4815" t="inlineStr">
        <is>
          <t>right because you actually have to go
out there and build a habit of talking</t>
        </is>
      </c>
      <c r="D4815">
        <f>HYPERLINK("https://www.youtube.com/watch?v=uKO6MidWggs&amp;t=255s", "Go to time")</f>
        <v/>
      </c>
    </row>
    <row r="4816">
      <c r="A4816">
        <f>HYPERLINK("https://www.youtube.com/watch?v=uKO6MidWggs", "Video")</f>
        <v/>
      </c>
      <c r="B4816" t="inlineStr">
        <is>
          <t>4:18</t>
        </is>
      </c>
      <c r="C4816" t="inlineStr">
        <is>
          <t>to people so if you're interested in
receiving news about this habit building</t>
        </is>
      </c>
      <c r="D4816">
        <f>HYPERLINK("https://www.youtube.com/watch?v=uKO6MidWggs&amp;t=258s", "Go to time")</f>
        <v/>
      </c>
    </row>
    <row r="4817">
      <c r="A4817">
        <f>HYPERLINK("https://www.youtube.com/watch?v=uKO6MidWggs", "Video")</f>
        <v/>
      </c>
      <c r="B4817" t="inlineStr">
        <is>
          <t>6:50</t>
        </is>
      </c>
      <c r="C4817" t="inlineStr">
        <is>
          <t>it doesn't mean anything unless you take
action and you turn it into a habit</t>
        </is>
      </c>
      <c r="D4817">
        <f>HYPERLINK("https://www.youtube.com/watch?v=uKO6MidWggs&amp;t=410s", "Go to time")</f>
        <v/>
      </c>
    </row>
    <row r="4818">
      <c r="A4818">
        <f>HYPERLINK("https://www.youtube.com/watch?v=uKO6MidWggs", "Video")</f>
        <v/>
      </c>
      <c r="B4818" t="inlineStr">
        <is>
          <t>6:54</t>
        </is>
      </c>
      <c r="C4818" t="inlineStr">
        <is>
          <t>you've got to build a habit of talking
to people if you ever want to get people</t>
        </is>
      </c>
      <c r="D4818">
        <f>HYPERLINK("https://www.youtube.com/watch?v=uKO6MidWggs&amp;t=414s", "Go to time")</f>
        <v/>
      </c>
    </row>
    <row r="4819">
      <c r="A4819">
        <f>HYPERLINK("https://www.youtube.com/watch?v=uKO6MidWggs", "Video")</f>
        <v/>
      </c>
      <c r="B4819" t="inlineStr">
        <is>
          <t>6:58</t>
        </is>
      </c>
      <c r="C4819" t="inlineStr">
        <is>
          <t>to open up to you right so if you want
to learn more about the habit builder</t>
        </is>
      </c>
      <c r="D4819">
        <f>HYPERLINK("https://www.youtube.com/watch?v=uKO6MidWggs&amp;t=418s", "Go to time")</f>
        <v/>
      </c>
    </row>
    <row r="4820">
      <c r="A4820">
        <f>HYPERLINK("https://www.youtube.com/watch?v=3ZQn_xPShC0", "Video")</f>
        <v/>
      </c>
      <c r="B4820" t="inlineStr">
        <is>
          <t>2:12</t>
        </is>
      </c>
      <c r="C4820" t="inlineStr">
        <is>
          <t>Learn about fitness, learn about nutrition, learn about good sleep habits</t>
        </is>
      </c>
      <c r="D4820">
        <f>HYPERLINK("https://www.youtube.com/watch?v=3ZQn_xPShC0&amp;t=132s", "Go to time")</f>
        <v/>
      </c>
    </row>
    <row r="4821">
      <c r="A4821">
        <f>HYPERLINK("https://www.youtube.com/watch?v=3ZQn_xPShC0", "Video")</f>
        <v/>
      </c>
      <c r="B4821" t="inlineStr">
        <is>
          <t>2:41</t>
        </is>
      </c>
      <c r="C4821" t="inlineStr">
        <is>
          <t>The next time you get bit by a mosquito</t>
        </is>
      </c>
      <c r="D4821">
        <f>HYPERLINK("https://www.youtube.com/watch?v=3ZQn_xPShC0&amp;t=161s", "Go to time")</f>
        <v/>
      </c>
    </row>
    <row r="4822">
      <c r="A4822">
        <f>HYPERLINK("https://www.youtube.com/watch?v=3ZQn_xPShC0", "Video")</f>
        <v/>
      </c>
      <c r="B4822" t="inlineStr">
        <is>
          <t>2:45</t>
        </is>
      </c>
      <c r="C4822" t="inlineStr">
        <is>
          <t>If you're focusing enough on the bite, the itch should feels unbearably itchy</t>
        </is>
      </c>
      <c r="D4822">
        <f>HYPERLINK("https://www.youtube.com/watch?v=3ZQn_xPShC0&amp;t=165s", "Go to time")</f>
        <v/>
      </c>
    </row>
    <row r="4823">
      <c r="A4823">
        <f>HYPERLINK("https://www.youtube.com/watch?v=3ZQn_xPShC0", "Video")</f>
        <v/>
      </c>
      <c r="B4823" t="inlineStr">
        <is>
          <t>4:05</t>
        </is>
      </c>
      <c r="C4823" t="inlineStr">
        <is>
          <t>That's why people have an extremely hard time getting into the habit of meditation.</t>
        </is>
      </c>
      <c r="D4823">
        <f>HYPERLINK("https://www.youtube.com/watch?v=3ZQn_xPShC0&amp;t=245s", "Go to time")</f>
        <v/>
      </c>
    </row>
    <row r="4824">
      <c r="A4824">
        <f>HYPERLINK("https://www.youtube.com/watch?v=CjfW2LEmzVU", "Video")</f>
        <v/>
      </c>
      <c r="B4824" t="inlineStr">
        <is>
          <t>5:32</t>
        </is>
      </c>
      <c r="C4824" t="inlineStr">
        <is>
          <t>habits in these three areas you will</t>
        </is>
      </c>
      <c r="D4824">
        <f>HYPERLINK("https://www.youtube.com/watch?v=CjfW2LEmzVU&amp;t=332s", "Go to time")</f>
        <v/>
      </c>
    </row>
    <row r="4825">
      <c r="A4825">
        <f>HYPERLINK("https://www.youtube.com/watch?v=CjfW2LEmzVU", "Video")</f>
        <v/>
      </c>
      <c r="B4825" t="inlineStr">
        <is>
          <t>5:39</t>
        </is>
      </c>
      <c r="C4825" t="inlineStr">
        <is>
          <t>habits that actually stick check out our</t>
        </is>
      </c>
      <c r="D4825">
        <f>HYPERLINK("https://www.youtube.com/watch?v=CjfW2LEmzVU&amp;t=339s", "Go to time")</f>
        <v/>
      </c>
    </row>
    <row r="4826">
      <c r="A4826">
        <f>HYPERLINK("https://www.youtube.com/watch?v=CjfW2LEmzVU", "Video")</f>
        <v/>
      </c>
      <c r="B4826" t="inlineStr">
        <is>
          <t>5:41</t>
        </is>
      </c>
      <c r="C4826" t="inlineStr">
        <is>
          <t>other video on habit building which is</t>
        </is>
      </c>
      <c r="D4826">
        <f>HYPERLINK("https://www.youtube.com/watch?v=CjfW2LEmzVU&amp;t=341s", "Go to time")</f>
        <v/>
      </c>
    </row>
    <row r="4827">
      <c r="A4827">
        <f>HYPERLINK("https://www.youtube.com/watch?v=-oM6wDxaXI0", "Video")</f>
        <v/>
      </c>
      <c r="B4827" t="inlineStr">
        <is>
          <t>0:08</t>
        </is>
      </c>
      <c r="C4827" t="inlineStr">
        <is>
          <t>When you go to your favorite restaurant  after a hard long days of work and you take that first bite into your favorite meal</t>
        </is>
      </c>
      <c r="D4827">
        <f>HYPERLINK("https://www.youtube.com/watch?v=-oM6wDxaXI0&amp;t=8s", "Go to time")</f>
        <v/>
      </c>
    </row>
    <row r="4828">
      <c r="A4828">
        <f>HYPERLINK("https://www.youtube.com/watch?v=rN8cMFIPcS8", "Video")</f>
        <v/>
      </c>
      <c r="B4828" t="inlineStr">
        <is>
          <t>3:46</t>
        </is>
      </c>
      <c r="C4828" t="inlineStr">
        <is>
          <t>Now if you don't have money – that's totally
fine – you just got to be a little bit more</t>
        </is>
      </c>
      <c r="D4828">
        <f>HYPERLINK("https://www.youtube.com/watch?v=rN8cMFIPcS8&amp;t=226s", "Go to time")</f>
        <v/>
      </c>
    </row>
    <row r="4829">
      <c r="A4829">
        <f>HYPERLINK("https://www.youtube.com/watch?v=g8WIHXHbz9I", "Video")</f>
        <v/>
      </c>
      <c r="B4829" t="inlineStr">
        <is>
          <t>5:37</t>
        </is>
      </c>
      <c r="C4829" t="inlineStr">
        <is>
          <t>habits can be challenging but it's</t>
        </is>
      </c>
      <c r="D4829">
        <f>HYPERLINK("https://www.youtube.com/watch?v=g8WIHXHbz9I&amp;t=337s", "Go to time")</f>
        <v/>
      </c>
    </row>
    <row r="4830">
      <c r="A4830">
        <f>HYPERLINK("https://www.youtube.com/watch?v=njU4pROL9rM", "Video")</f>
        <v/>
      </c>
      <c r="B4830" t="inlineStr">
        <is>
          <t>0:08</t>
        </is>
      </c>
      <c r="C4830" t="inlineStr">
        <is>
          <t>When you go to your favourite restaurant, after a hard long days of work and you take that first bite into your favourite meal, you feel great.</t>
        </is>
      </c>
      <c r="D4830">
        <f>HYPERLINK("https://www.youtube.com/watch?v=njU4pROL9rM&amp;t=8s", "Go to time")</f>
        <v/>
      </c>
    </row>
    <row r="4831">
      <c r="A4831">
        <f>HYPERLINK("https://www.youtube.com/watch?v=5jtyxsiXksc", "Video")</f>
        <v/>
      </c>
      <c r="B4831" t="inlineStr">
        <is>
          <t>1:31</t>
        </is>
      </c>
      <c r="C4831" t="inlineStr">
        <is>
          <t>Well you're going to have to make mediation
intoa a habit.</t>
        </is>
      </c>
      <c r="D4831">
        <f>HYPERLINK("https://www.youtube.com/watch?v=5jtyxsiXksc&amp;t=91s", "Go to time")</f>
        <v/>
      </c>
    </row>
    <row r="4832">
      <c r="A4832">
        <f>HYPERLINK("https://www.youtube.com/watch?v=5jtyxsiXksc", "Video")</f>
        <v/>
      </c>
      <c r="B4832" t="inlineStr">
        <is>
          <t>2:40</t>
        </is>
      </c>
      <c r="C4832" t="inlineStr">
        <is>
          <t>It get's a little bit More capable at conquering
the bigger tasks like going to the gym every</t>
        </is>
      </c>
      <c r="D4832">
        <f>HYPERLINK("https://www.youtube.com/watch?v=5jtyxsiXksc&amp;t=160s", "Go to time")</f>
        <v/>
      </c>
    </row>
    <row r="4833">
      <c r="A4833">
        <f>HYPERLINK("https://www.youtube.com/watch?v=Kz8fhxfDI7U", "Video")</f>
        <v/>
      </c>
      <c r="B4833" t="inlineStr">
        <is>
          <t>3:01</t>
        </is>
      </c>
      <c r="C4833" t="inlineStr">
        <is>
          <t>productivity how to build habits that</t>
        </is>
      </c>
      <c r="D4833">
        <f>HYPERLINK("https://www.youtube.com/watch?v=Kz8fhxfDI7U&amp;t=181s", "Go to time")</f>
        <v/>
      </c>
    </row>
    <row r="4834">
      <c r="A4834">
        <f>HYPERLINK("https://www.youtube.com/watch?v=Kz8fhxfDI7U", "Video")</f>
        <v/>
      </c>
      <c r="B4834" t="inlineStr">
        <is>
          <t>3:05</t>
        </is>
      </c>
      <c r="C4834" t="inlineStr">
        <is>
          <t>you how to build habits and deal with</t>
        </is>
      </c>
      <c r="D4834">
        <f>HYPERLINK("https://www.youtube.com/watch?v=Kz8fhxfDI7U&amp;t=185s", "Go to time")</f>
        <v/>
      </c>
    </row>
    <row r="4835">
      <c r="A4835">
        <f>HYPERLINK("https://www.youtube.com/watch?v=-gOgmgqAEyQ", "Video")</f>
        <v/>
      </c>
      <c r="B4835" t="inlineStr">
        <is>
          <t>0:52</t>
        </is>
      </c>
      <c r="C4835" t="inlineStr">
        <is>
          <t>If think about them for a bit longer they
begin to hurt.</t>
        </is>
      </c>
      <c r="D4835">
        <f>HYPERLINK("https://www.youtube.com/watch?v=-gOgmgqAEyQ&amp;t=52s", "Go to time")</f>
        <v/>
      </c>
    </row>
    <row r="4836">
      <c r="A4836">
        <f>HYPERLINK("https://www.youtube.com/watch?v=5gJ0KUPNqzw", "Video")</f>
        <v/>
      </c>
      <c r="B4836" t="inlineStr">
        <is>
          <t>6:14</t>
        </is>
      </c>
      <c r="C4836" t="inlineStr">
        <is>
          <t>a little bit higher if you follow</t>
        </is>
      </c>
      <c r="D4836">
        <f>HYPERLINK("https://www.youtube.com/watch?v=5gJ0KUPNqzw&amp;t=374s", "Go to time")</f>
        <v/>
      </c>
    </row>
    <row r="4837">
      <c r="A4837">
        <f>HYPERLINK("https://www.youtube.com/watch?v=k3Efd0DnqQM", "Video")</f>
        <v/>
      </c>
      <c r="B4837" t="inlineStr">
        <is>
          <t>2:53</t>
        </is>
      </c>
      <c r="C4837" t="inlineStr">
        <is>
          <t>eyebrow flash combined with a bit of eye
contact and a genuine smile you'd be</t>
        </is>
      </c>
      <c r="D4837">
        <f>HYPERLINK("https://www.youtube.com/watch?v=k3Efd0DnqQM&amp;t=173s", "Go to time")</f>
        <v/>
      </c>
    </row>
    <row r="4838">
      <c r="A4838">
        <f>HYPERLINK("https://www.youtube.com/watch?v=k3Efd0DnqQM", "Video")</f>
        <v/>
      </c>
      <c r="B4838" t="inlineStr">
        <is>
          <t>4:01</t>
        </is>
      </c>
      <c r="C4838" t="inlineStr">
        <is>
          <t>you're interacting with will also feel a
little bit of that too so your feeling</t>
        </is>
      </c>
      <c r="D4838">
        <f>HYPERLINK("https://www.youtube.com/watch?v=k3Efd0DnqQM&amp;t=241s", "Go to time")</f>
        <v/>
      </c>
    </row>
    <row r="4839">
      <c r="A4839">
        <f>HYPERLINK("https://www.youtube.com/watch?v=k3Efd0DnqQM", "Video")</f>
        <v/>
      </c>
      <c r="B4839" t="inlineStr">
        <is>
          <t>4:20</t>
        </is>
      </c>
      <c r="C4839" t="inlineStr">
        <is>
          <t>sure that you're tilting your head just
a little bit not so much anywhere from</t>
        </is>
      </c>
      <c r="D4839">
        <f>HYPERLINK("https://www.youtube.com/watch?v=k3Efd0DnqQM&amp;t=260s", "Go to time")</f>
        <v/>
      </c>
    </row>
    <row r="4840">
      <c r="A4840">
        <f>HYPERLINK("https://www.youtube.com/watch?v=NZtZBtqXmdE", "Video")</f>
        <v/>
      </c>
      <c r="B4840" t="inlineStr">
        <is>
          <t>3:58</t>
        </is>
      </c>
      <c r="C4840" t="inlineStr">
        <is>
          <t>have a habit of procrastinating
as a species we don't like to take</t>
        </is>
      </c>
      <c r="D4840">
        <f>HYPERLINK("https://www.youtube.com/watch?v=NZtZBtqXmdE&amp;t=238s", "Go to time")</f>
        <v/>
      </c>
    </row>
    <row r="4841">
      <c r="A4841">
        <f>HYPERLINK("https://www.youtube.com/watch?v=NZtZBtqXmdE", "Video")</f>
        <v/>
      </c>
      <c r="B4841" t="inlineStr">
        <is>
          <t>9:14</t>
        </is>
      </c>
      <c r="C4841" t="inlineStr">
        <is>
          <t>now it can be a bit hard to study the
laws of nature because most of us are</t>
        </is>
      </c>
      <c r="D4841">
        <f>HYPERLINK("https://www.youtube.com/watch?v=NZtZBtqXmdE&amp;t=554s", "Go to time")</f>
        <v/>
      </c>
    </row>
    <row r="4842">
      <c r="A4842">
        <f>HYPERLINK("https://www.youtube.com/watch?v=a1-rzo3Nt-8", "Video")</f>
        <v/>
      </c>
      <c r="B4842" t="inlineStr">
        <is>
          <t>1:36</t>
        </is>
      </c>
      <c r="C4842" t="inlineStr">
        <is>
          <t>ads perform better this may sound a bit</t>
        </is>
      </c>
      <c r="D4842">
        <f>HYPERLINK("https://www.youtube.com/watch?v=a1-rzo3Nt-8&amp;t=96s", "Go to time")</f>
        <v/>
      </c>
    </row>
    <row r="4843">
      <c r="A4843">
        <f>HYPERLINK("https://www.youtube.com/watch?v=Zxj3P0enJNQ", "Video")</f>
        <v/>
      </c>
      <c r="B4843" t="inlineStr">
        <is>
          <t>1:29</t>
        </is>
      </c>
      <c r="C4843" t="inlineStr">
        <is>
          <t>bit more tricky it needs to be something
that the world needs see we've been</t>
        </is>
      </c>
      <c r="D4843">
        <f>HYPERLINK("https://www.youtube.com/watch?v=Zxj3P0enJNQ&amp;t=89s", "Go to time")</f>
        <v/>
      </c>
    </row>
    <row r="4844">
      <c r="A4844">
        <f>HYPERLINK("https://www.youtube.com/watch?v=Zxj3P0enJNQ", "Video")</f>
        <v/>
      </c>
      <c r="B4844" t="inlineStr">
        <is>
          <t>5:13</t>
        </is>
      </c>
      <c r="C4844" t="inlineStr">
        <is>
          <t>often fall into the bad habit of
teaching the same things every single</t>
        </is>
      </c>
      <c r="D4844">
        <f>HYPERLINK("https://www.youtube.com/watch?v=Zxj3P0enJNQ&amp;t=313s", "Go to time")</f>
        <v/>
      </c>
    </row>
    <row r="4845">
      <c r="A4845">
        <f>HYPERLINK("https://www.youtube.com/watch?v=5W0pzx3mPOA", "Video")</f>
        <v/>
      </c>
      <c r="B4845" t="inlineStr">
        <is>
          <t>2:35</t>
        </is>
      </c>
      <c r="C4845" t="inlineStr">
        <is>
          <t>a minute your next step is to figure out
which one habit would help improve your</t>
        </is>
      </c>
      <c r="D4845">
        <f>HYPERLINK("https://www.youtube.com/watch?v=5W0pzx3mPOA&amp;t=155s", "Go to time")</f>
        <v/>
      </c>
    </row>
    <row r="4846">
      <c r="A4846">
        <f>HYPERLINK("https://www.youtube.com/watch?v=5W0pzx3mPOA", "Video")</f>
        <v/>
      </c>
      <c r="B4846" t="inlineStr">
        <is>
          <t>3:09</t>
        </is>
      </c>
      <c r="C4846" t="inlineStr">
        <is>
          <t>yourself this which one habit could I
build that would help me improve the</t>
        </is>
      </c>
      <c r="D4846">
        <f>HYPERLINK("https://www.youtube.com/watch?v=5W0pzx3mPOA&amp;t=189s", "Go to time")</f>
        <v/>
      </c>
    </row>
    <row r="4847">
      <c r="A4847">
        <f>HYPERLINK("https://www.youtube.com/watch?v=5W0pzx3mPOA", "Video")</f>
        <v/>
      </c>
      <c r="B4847" t="inlineStr">
        <is>
          <t>3:18</t>
        </is>
      </c>
      <c r="C4847" t="inlineStr">
        <is>
          <t>couple things you could do building a
habit of reading could help write</t>
        </is>
      </c>
      <c r="D4847">
        <f>HYPERLINK("https://www.youtube.com/watch?v=5W0pzx3mPOA&amp;t=198s", "Go to time")</f>
        <v/>
      </c>
    </row>
    <row r="4848">
      <c r="A4848">
        <f>HYPERLINK("https://www.youtube.com/watch?v=5W0pzx3mPOA", "Video")</f>
        <v/>
      </c>
      <c r="B4848" t="inlineStr">
        <is>
          <t>3:32</t>
        </is>
      </c>
      <c r="C4848" t="inlineStr">
        <is>
          <t>making money even during this period of
uncertainty another habit that might</t>
        </is>
      </c>
      <c r="D4848">
        <f>HYPERLINK("https://www.youtube.com/watch?v=5W0pzx3mPOA&amp;t=212s", "Go to time")</f>
        <v/>
      </c>
    </row>
    <row r="4849">
      <c r="A4849">
        <f>HYPERLINK("https://www.youtube.com/watch?v=5W0pzx3mPOA", "Video")</f>
        <v/>
      </c>
      <c r="B4849" t="inlineStr">
        <is>
          <t>4:01</t>
        </is>
      </c>
      <c r="C4849" t="inlineStr">
        <is>
          <t>figuring out which one habit would help
you out the most when you do so make</t>
        </is>
      </c>
      <c r="D4849">
        <f>HYPERLINK("https://www.youtube.com/watch?v=5W0pzx3mPOA&amp;t=241s", "Go to time")</f>
        <v/>
      </c>
    </row>
    <row r="4850">
      <c r="A4850">
        <f>HYPERLINK("https://www.youtube.com/watch?v=5W0pzx3mPOA", "Video")</f>
        <v/>
      </c>
      <c r="B4850" t="inlineStr">
        <is>
          <t>4:08</t>
        </is>
      </c>
      <c r="C4850" t="inlineStr">
        <is>
          <t>accountable this is the habit that you
will focus on for the Quarantine</t>
        </is>
      </c>
      <c r="D4850">
        <f>HYPERLINK("https://www.youtube.com/watch?v=5W0pzx3mPOA&amp;t=248s", "Go to time")</f>
        <v/>
      </c>
    </row>
    <row r="4851">
      <c r="A4851">
        <f>HYPERLINK("https://www.youtube.com/watch?v=5W0pzx3mPOA", "Video")</f>
        <v/>
      </c>
      <c r="B4851" t="inlineStr">
        <is>
          <t>4:53</t>
        </is>
      </c>
      <c r="C4851" t="inlineStr">
        <is>
          <t>challenge is to stick to your habit as
much as possible during this lockdown</t>
        </is>
      </c>
      <c r="D4851">
        <f>HYPERLINK("https://www.youtube.com/watch?v=5W0pzx3mPOA&amp;t=293s", "Go to time")</f>
        <v/>
      </c>
    </row>
    <row r="4852">
      <c r="A4852">
        <f>HYPERLINK("https://www.youtube.com/watch?v=5W0pzx3mPOA", "Video")</f>
        <v/>
      </c>
      <c r="B4852" t="inlineStr">
        <is>
          <t>5:04</t>
        </is>
      </c>
      <c r="C4852" t="inlineStr">
        <is>
          <t>streaks your goal is to try and stick to
your habit for at least 90% of the days</t>
        </is>
      </c>
      <c r="D4852">
        <f>HYPERLINK("https://www.youtube.com/watch?v=5W0pzx3mPOA&amp;t=304s", "Go to time")</f>
        <v/>
      </c>
    </row>
    <row r="4853">
      <c r="A4853">
        <f>HYPERLINK("https://www.youtube.com/watch?v=5W0pzx3mPOA", "Video")</f>
        <v/>
      </c>
      <c r="B4853" t="inlineStr">
        <is>
          <t>5:43</t>
        </is>
      </c>
      <c r="C4853" t="inlineStr">
        <is>
          <t>sure you stick to your habit the next
day now I usually do not recommend</t>
        </is>
      </c>
      <c r="D4853">
        <f>HYPERLINK("https://www.youtube.com/watch?v=5W0pzx3mPOA&amp;t=343s", "Go to time")</f>
        <v/>
      </c>
    </row>
    <row r="4854">
      <c r="A4854">
        <f>HYPERLINK("https://www.youtube.com/watch?v=5W0pzx3mPOA", "Video")</f>
        <v/>
      </c>
      <c r="B4854" t="inlineStr">
        <is>
          <t>5:48</t>
        </is>
      </c>
      <c r="C4854" t="inlineStr">
        <is>
          <t>building more than one habit at once but
because of the extraordinary amount of</t>
        </is>
      </c>
      <c r="D4854">
        <f>HYPERLINK("https://www.youtube.com/watch?v=5W0pzx3mPOA&amp;t=348s", "Go to time")</f>
        <v/>
      </c>
    </row>
    <row r="4855">
      <c r="A4855">
        <f>HYPERLINK("https://www.youtube.com/watch?v=5W0pzx3mPOA", "Video")</f>
        <v/>
      </c>
      <c r="B4855" t="inlineStr">
        <is>
          <t>5:56</t>
        </is>
      </c>
      <c r="C4855" t="inlineStr">
        <is>
          <t>it's safe for some of you to try and
build two habits at the same time right</t>
        </is>
      </c>
      <c r="D4855">
        <f>HYPERLINK("https://www.youtube.com/watch?v=5W0pzx3mPOA&amp;t=356s", "Go to time")</f>
        <v/>
      </c>
    </row>
    <row r="4856">
      <c r="A4856">
        <f>HYPERLINK("https://www.youtube.com/watch?v=5W0pzx3mPOA", "Video")</f>
        <v/>
      </c>
      <c r="B4856" t="inlineStr">
        <is>
          <t>6:21</t>
        </is>
      </c>
      <c r="C4856" t="inlineStr">
        <is>
          <t>trying to build more than two habits at
once even if you have a tremendous</t>
        </is>
      </c>
      <c r="D4856">
        <f>HYPERLINK("https://www.youtube.com/watch?v=5W0pzx3mPOA&amp;t=381s", "Go to time")</f>
        <v/>
      </c>
    </row>
    <row r="4857">
      <c r="A4857">
        <f>HYPERLINK("https://www.youtube.com/watch?v=5W0pzx3mPOA", "Video")</f>
        <v/>
      </c>
      <c r="B4857" t="inlineStr">
        <is>
          <t>6:32</t>
        </is>
      </c>
      <c r="C4857" t="inlineStr">
        <is>
          <t>regards to building habits you can refer
to the team course which I will link to</t>
        </is>
      </c>
      <c r="D4857">
        <f>HYPERLINK("https://www.youtube.com/watch?v=5W0pzx3mPOA&amp;t=392s", "Go to time")</f>
        <v/>
      </c>
    </row>
    <row r="4858">
      <c r="A4858">
        <f>HYPERLINK("https://www.youtube.com/watch?v=5W0pzx3mPOA", "Video")</f>
        <v/>
      </c>
      <c r="B4858" t="inlineStr">
        <is>
          <t>6:42</t>
        </is>
      </c>
      <c r="C4858" t="inlineStr">
        <is>
          <t>it's one of the best habits you can
build right now for the quarantine</t>
        </is>
      </c>
      <c r="D4858">
        <f>HYPERLINK("https://www.youtube.com/watch?v=5W0pzx3mPOA&amp;t=402s", "Go to time")</f>
        <v/>
      </c>
    </row>
    <row r="4859">
      <c r="A4859">
        <f>HYPERLINK("https://www.youtube.com/watch?v=EeVEKfJ1BvI", "Video")</f>
        <v/>
      </c>
      <c r="B4859" t="inlineStr">
        <is>
          <t>0:00</t>
        </is>
      </c>
      <c r="C4859" t="inlineStr">
        <is>
          <t>Improvement pill here this year i
decided to build a new habit of</t>
        </is>
      </c>
      <c r="D4859">
        <f>HYPERLINK("https://www.youtube.com/watch?v=EeVEKfJ1BvI&amp;t=0s", "Go to time")</f>
        <v/>
      </c>
    </row>
    <row r="4860">
      <c r="A4860">
        <f>HYPERLINK("https://www.youtube.com/watch?v=EeVEKfJ1BvI", "Video")</f>
        <v/>
      </c>
      <c r="B4860" t="inlineStr">
        <is>
          <t>0:16</t>
        </is>
      </c>
      <c r="C4860" t="inlineStr">
        <is>
          <t>this habit
exactly how it works and also what</t>
        </is>
      </c>
      <c r="D4860">
        <f>HYPERLINK("https://www.youtube.com/watch?v=EeVEKfJ1BvI&amp;t=16s", "Go to time")</f>
        <v/>
      </c>
    </row>
    <row r="4861">
      <c r="A4861">
        <f>HYPERLINK("https://www.youtube.com/watch?v=EeVEKfJ1BvI", "Video")</f>
        <v/>
      </c>
      <c r="B4861" t="inlineStr">
        <is>
          <t>2:09</t>
        </is>
      </c>
      <c r="C4861" t="inlineStr">
        <is>
          <t>so i decided to build a new habit called
bullet journaling and here's how it</t>
        </is>
      </c>
      <c r="D4861">
        <f>HYPERLINK("https://www.youtube.com/watch?v=EeVEKfJ1BvI&amp;t=129s", "Go to time")</f>
        <v/>
      </c>
    </row>
    <row r="4862">
      <c r="A4862">
        <f>HYPERLINK("https://www.youtube.com/watch?v=EeVEKfJ1BvI", "Video")</f>
        <v/>
      </c>
      <c r="B4862" t="inlineStr">
        <is>
          <t>3:47</t>
        </is>
      </c>
      <c r="C4862" t="inlineStr">
        <is>
          <t>also use this page to track my habits
i've been taking note of all the times i</t>
        </is>
      </c>
      <c r="D4862">
        <f>HYPERLINK("https://www.youtube.com/watch?v=EeVEKfJ1BvI&amp;t=227s", "Go to time")</f>
        <v/>
      </c>
    </row>
    <row r="4863">
      <c r="A4863">
        <f>HYPERLINK("https://www.youtube.com/watch?v=EeVEKfJ1BvI", "Video")</f>
        <v/>
      </c>
      <c r="B4863" t="inlineStr">
        <is>
          <t>3:51</t>
        </is>
      </c>
      <c r="C4863" t="inlineStr">
        <is>
          <t>go to the gym and i can observe if i'm
sticking to this habit</t>
        </is>
      </c>
      <c r="D4863">
        <f>HYPERLINK("https://www.youtube.com/watch?v=EeVEKfJ1BvI&amp;t=231s", "Go to time")</f>
        <v/>
      </c>
    </row>
    <row r="4864">
      <c r="A4864">
        <f>HYPERLINK("https://www.youtube.com/watch?v=EeVEKfJ1BvI", "Video")</f>
        <v/>
      </c>
      <c r="B4864" t="inlineStr">
        <is>
          <t>7:10</t>
        </is>
      </c>
      <c r="C4864" t="inlineStr">
        <is>
          <t>because it makes the habit itself
more rewarding it's also important to</t>
        </is>
      </c>
      <c r="D4864">
        <f>HYPERLINK("https://www.youtube.com/watch?v=EeVEKfJ1BvI&amp;t=430s", "Go to time")</f>
        <v/>
      </c>
    </row>
    <row r="4865">
      <c r="A4865">
        <f>HYPERLINK("https://www.youtube.com/watch?v=EeVEKfJ1BvI", "Video")</f>
        <v/>
      </c>
      <c r="B4865" t="inlineStr">
        <is>
          <t>7:32</t>
        </is>
      </c>
      <c r="C4865" t="inlineStr">
        <is>
          <t>philosophy when it comes to building
habits is to make it as</t>
        </is>
      </c>
      <c r="D4865">
        <f>HYPERLINK("https://www.youtube.com/watch?v=EeVEKfJ1BvI&amp;t=452s", "Go to time")</f>
        <v/>
      </c>
    </row>
    <row r="4866">
      <c r="A4866">
        <f>HYPERLINK("https://www.youtube.com/watch?v=EeVEKfJ1BvI", "Video")</f>
        <v/>
      </c>
      <c r="B4866" t="inlineStr">
        <is>
          <t>11:57</t>
        </is>
      </c>
      <c r="C4866" t="inlineStr">
        <is>
          <t>habit to build
is because it serves as an extremely</t>
        </is>
      </c>
      <c r="D4866">
        <f>HYPERLINK("https://www.youtube.com/watch?v=EeVEKfJ1BvI&amp;t=717s", "Go to time")</f>
        <v/>
      </c>
    </row>
    <row r="4867">
      <c r="A4867">
        <f>HYPERLINK("https://www.youtube.com/watch?v=EeVEKfJ1BvI", "Video")</f>
        <v/>
      </c>
      <c r="B4867" t="inlineStr">
        <is>
          <t>12:52</t>
        </is>
      </c>
      <c r="C4867" t="inlineStr">
        <is>
          <t>actually made this habit very enjoyable
which has allowed me to build it almost</t>
        </is>
      </c>
      <c r="D4867">
        <f>HYPERLINK("https://www.youtube.com/watch?v=EeVEKfJ1BvI&amp;t=772s", "Go to time")</f>
        <v/>
      </c>
    </row>
    <row r="4868">
      <c r="A4868">
        <f>HYPERLINK("https://www.youtube.com/watch?v=EeVEKfJ1BvI", "Video")</f>
        <v/>
      </c>
      <c r="B4868" t="inlineStr">
        <is>
          <t>13:33</t>
        </is>
      </c>
      <c r="C4868" t="inlineStr">
        <is>
          <t>if any of you want help building habits
or with self-improvement in general</t>
        </is>
      </c>
      <c r="D4868">
        <f>HYPERLINK("https://www.youtube.com/watch?v=EeVEKfJ1BvI&amp;t=813s", "Go to time")</f>
        <v/>
      </c>
    </row>
    <row r="4869">
      <c r="A4869">
        <f>HYPERLINK("https://www.youtube.com/watch?v=EeVEKfJ1BvI", "Video")</f>
        <v/>
      </c>
      <c r="B4869" t="inlineStr">
        <is>
          <t>13:43</t>
        </is>
      </c>
      <c r="C4869" t="inlineStr">
        <is>
          <t>whenever i decide to run
the next habit builder challenge i hope</t>
        </is>
      </c>
      <c r="D4869">
        <f>HYPERLINK("https://www.youtube.com/watch?v=EeVEKfJ1BvI&amp;t=823s", "Go to time")</f>
        <v/>
      </c>
    </row>
    <row r="4870">
      <c r="A4870">
        <f>HYPERLINK("https://www.youtube.com/watch?v=D3EZJL8tylo", "Video")</f>
        <v/>
      </c>
      <c r="B4870" t="inlineStr">
        <is>
          <t>0:18</t>
        </is>
      </c>
      <c r="C4870" t="inlineStr">
        <is>
          <t>problem solving skills and exhibit</t>
        </is>
      </c>
      <c r="D4870">
        <f>HYPERLINK("https://www.youtube.com/watch?v=D3EZJL8tylo&amp;t=18s", "Go to time")</f>
        <v/>
      </c>
    </row>
    <row r="4871">
      <c r="A4871">
        <f>HYPERLINK("https://www.youtube.com/watch?v=D3EZJL8tylo", "Video")</f>
        <v/>
      </c>
      <c r="B4871" t="inlineStr">
        <is>
          <t>0:24</t>
        </is>
      </c>
      <c r="C4871" t="inlineStr">
        <is>
          <t>habit tip number one use negative</t>
        </is>
      </c>
      <c r="D4871">
        <f>HYPERLINK("https://www.youtube.com/watch?v=D3EZJL8tylo&amp;t=24s", "Go to time")</f>
        <v/>
      </c>
    </row>
    <row r="4872">
      <c r="A4872">
        <f>HYPERLINK("https://www.youtube.com/watch?v=D3EZJL8tylo", "Video")</f>
        <v/>
      </c>
      <c r="B4872" t="inlineStr">
        <is>
          <t>3:55</t>
        </is>
      </c>
      <c r="C4872" t="inlineStr">
        <is>
          <t>gratitude a habit is to make it the very</t>
        </is>
      </c>
      <c r="D4872">
        <f>HYPERLINK("https://www.youtube.com/watch?v=D3EZJL8tylo&amp;t=235s", "Go to time")</f>
        <v/>
      </c>
    </row>
    <row r="4873">
      <c r="A4873">
        <f>HYPERLINK("https://www.youtube.com/watch?v=D3EZJL8tylo", "Video")</f>
        <v/>
      </c>
      <c r="B4873" t="inlineStr">
        <is>
          <t>6:06</t>
        </is>
      </c>
      <c r="C4873" t="inlineStr">
        <is>
          <t>grateful to find out which other habits</t>
        </is>
      </c>
      <c r="D4873">
        <f>HYPERLINK("https://www.youtube.com/watch?v=D3EZJL8tylo&amp;t=366s", "Go to time")</f>
        <v/>
      </c>
    </row>
    <row r="4874">
      <c r="A4874">
        <f>HYPERLINK("https://www.youtube.com/watch?v=TnWwDYbgweg", "Video")</f>
        <v/>
      </c>
      <c r="B4874" t="inlineStr">
        <is>
          <t>3:24</t>
        </is>
      </c>
      <c r="C4874" t="inlineStr">
        <is>
          <t>one of the books I recommend you guys to
listen to is high-performance habits by</t>
        </is>
      </c>
      <c r="D4874">
        <f>HYPERLINK("https://www.youtube.com/watch?v=TnWwDYbgweg&amp;t=204s", "Go to time")</f>
        <v/>
      </c>
    </row>
    <row r="4875">
      <c r="A4875">
        <f>HYPERLINK("https://www.youtube.com/watch?v=TnWwDYbgweg", "Video")</f>
        <v/>
      </c>
      <c r="B4875" t="inlineStr">
        <is>
          <t>3:27</t>
        </is>
      </c>
      <c r="C4875" t="inlineStr">
        <is>
          <t>Brendon Burchard which talks about six
very powerful habits that will change</t>
        </is>
      </c>
      <c r="D4875">
        <f>HYPERLINK("https://www.youtube.com/watch?v=TnWwDYbgweg&amp;t=207s", "Go to time")</f>
        <v/>
      </c>
    </row>
    <row r="4876">
      <c r="A4876">
        <f>HYPERLINK("https://www.youtube.com/watch?v=Vv9BKxcHgsU", "Video")</f>
        <v/>
      </c>
      <c r="B4876" t="inlineStr">
        <is>
          <t>2:58</t>
        </is>
      </c>
      <c r="C4876" t="inlineStr">
        <is>
          <t>it can feel a bit out dated while it has</t>
        </is>
      </c>
      <c r="D4876">
        <f>HYPERLINK("https://www.youtube.com/watch?v=Vv9BKxcHgsU&amp;t=178s", "Go to time")</f>
        <v/>
      </c>
    </row>
    <row r="4877">
      <c r="A4877">
        <f>HYPERLINK("https://www.youtube.com/watch?v=Vv9BKxcHgsU", "Video")</f>
        <v/>
      </c>
      <c r="B4877" t="inlineStr">
        <is>
          <t>3:25</t>
        </is>
      </c>
      <c r="C4877" t="inlineStr">
        <is>
          <t>it does have a bit of a cliche and</t>
        </is>
      </c>
      <c r="D4877">
        <f>HYPERLINK("https://www.youtube.com/watch?v=Vv9BKxcHgsU&amp;t=205s", "Go to time")</f>
        <v/>
      </c>
    </row>
    <row r="4878">
      <c r="A4878">
        <f>HYPERLINK("https://www.youtube.com/watch?v=Vv9BKxcHgsU", "Video")</f>
        <v/>
      </c>
      <c r="B4878" t="inlineStr">
        <is>
          <t>8:11</t>
        </is>
      </c>
      <c r="C4878" t="inlineStr">
        <is>
          <t>but it might be a bit too Whimsical for</t>
        </is>
      </c>
      <c r="D4878">
        <f>HYPERLINK("https://www.youtube.com/watch?v=Vv9BKxcHgsU&amp;t=491s", "Go to time")</f>
        <v/>
      </c>
    </row>
    <row r="4879">
      <c r="A4879">
        <f>HYPERLINK("https://www.youtube.com/watch?v=Vv9BKxcHgsU", "Video")</f>
        <v/>
      </c>
      <c r="B4879" t="inlineStr">
        <is>
          <t>10:01</t>
        </is>
      </c>
      <c r="C4879" t="inlineStr">
        <is>
          <t>self-reflection and belief it's a bit</t>
        </is>
      </c>
      <c r="D4879">
        <f>HYPERLINK("https://www.youtube.com/watch?v=Vv9BKxcHgsU&amp;t=601s", "Go to time")</f>
        <v/>
      </c>
    </row>
    <row r="4880">
      <c r="A4880">
        <f>HYPERLINK("https://www.youtube.com/watch?v=Vv9BKxcHgsU", "Video")</f>
        <v/>
      </c>
      <c r="B4880" t="inlineStr">
        <is>
          <t>10:34</t>
        </is>
      </c>
      <c r="C4880" t="inlineStr">
        <is>
          <t>bit obvious at times so it's going in a</t>
        </is>
      </c>
      <c r="D4880">
        <f>HYPERLINK("https://www.youtube.com/watch?v=Vv9BKxcHgsU&amp;t=634s", "Go to time")</f>
        <v/>
      </c>
    </row>
    <row r="4881">
      <c r="A4881">
        <f>HYPERLINK("https://www.youtube.com/watch?v=sTw_iAhonJ4", "Video")</f>
        <v/>
      </c>
      <c r="B4881" t="inlineStr">
        <is>
          <t>1:03</t>
        </is>
      </c>
      <c r="C4881" t="inlineStr">
        <is>
          <t>this little habit was actually the key
to Stanley success today we're gonna</t>
        </is>
      </c>
      <c r="D4881">
        <f>HYPERLINK("https://www.youtube.com/watch?v=sTw_iAhonJ4&amp;t=63s", "Go to time")</f>
        <v/>
      </c>
    </row>
    <row r="4882">
      <c r="A4882">
        <f>HYPERLINK("https://www.youtube.com/watch?v=sTw_iAhonJ4", "Video")</f>
        <v/>
      </c>
      <c r="B4882" t="inlineStr">
        <is>
          <t>1:23</t>
        </is>
      </c>
      <c r="C4882" t="inlineStr">
        <is>
          <t>cues can be anything that triggers a
routine for a habit it can be a sound a</t>
        </is>
      </c>
      <c r="D4882">
        <f>HYPERLINK("https://www.youtube.com/watch?v=sTw_iAhonJ4&amp;t=83s", "Go to time")</f>
        <v/>
      </c>
    </row>
    <row r="4883">
      <c r="A4883">
        <f>HYPERLINK("https://www.youtube.com/watch?v=sTw_iAhonJ4", "Video")</f>
        <v/>
      </c>
      <c r="B4883" t="inlineStr">
        <is>
          <t>1:34</t>
        </is>
      </c>
      <c r="C4883" t="inlineStr">
        <is>
          <t>should start your habit
however cues also do something that's</t>
        </is>
      </c>
      <c r="D4883">
        <f>HYPERLINK("https://www.youtube.com/watch?v=sTw_iAhonJ4&amp;t=94s", "Go to time")</f>
        <v/>
      </c>
    </row>
    <row r="4884">
      <c r="A4884">
        <f>HYPERLINK("https://www.youtube.com/watch?v=sTw_iAhonJ4", "Video")</f>
        <v/>
      </c>
      <c r="B4884" t="inlineStr">
        <is>
          <t>4:12</t>
        </is>
      </c>
      <c r="C4884" t="inlineStr">
        <is>
          <t>because by actively trying to stick to
this little habit you will also build up</t>
        </is>
      </c>
      <c r="D4884">
        <f>HYPERLINK("https://www.youtube.com/watch?v=sTw_iAhonJ4&amp;t=252s", "Go to time")</f>
        <v/>
      </c>
    </row>
    <row r="4885">
      <c r="A4885">
        <f>HYPERLINK("https://www.youtube.com/watch?v=sTw_iAhonJ4", "Video")</f>
        <v/>
      </c>
      <c r="B4885" t="inlineStr">
        <is>
          <t>4:31</t>
        </is>
      </c>
      <c r="C4885" t="inlineStr">
        <is>
          <t>habit the stronger your willpower muscle
becomes this means that you'll have more</t>
        </is>
      </c>
      <c r="D4885">
        <f>HYPERLINK("https://www.youtube.com/watch?v=sTw_iAhonJ4&amp;t=271s", "Go to time")</f>
        <v/>
      </c>
    </row>
    <row r="4886">
      <c r="A4886">
        <f>HYPERLINK("https://www.youtube.com/watch?v=a81Wze-w7Go", "Video")</f>
        <v/>
      </c>
      <c r="B4886" t="inlineStr">
        <is>
          <t>5:05</t>
        </is>
      </c>
      <c r="C4886" t="inlineStr">
        <is>
          <t>here's how use tools like habit trackers</t>
        </is>
      </c>
      <c r="D4886">
        <f>HYPERLINK("https://www.youtube.com/watch?v=a81Wze-w7Go&amp;t=305s", "Go to time")</f>
        <v/>
      </c>
    </row>
    <row r="4887">
      <c r="A4887">
        <f>HYPERLINK("https://www.youtube.com/watch?v=pZLsss65N6Y", "Video")</f>
        <v/>
      </c>
      <c r="B4887" t="inlineStr">
        <is>
          <t>4:26</t>
        </is>
      </c>
      <c r="C4887" t="inlineStr">
        <is>
          <t>something hard like this and building a
habit are two</t>
        </is>
      </c>
      <c r="D4887">
        <f>HYPERLINK("https://www.youtube.com/watch?v=pZLsss65N6Y&amp;t=266s", "Go to time")</f>
        <v/>
      </c>
    </row>
    <row r="4888">
      <c r="A4888">
        <f>HYPERLINK("https://www.youtube.com/watch?v=pZLsss65N6Y", "Video")</f>
        <v/>
      </c>
      <c r="B4888" t="inlineStr">
        <is>
          <t>4:38</t>
        </is>
      </c>
      <c r="C4888" t="inlineStr">
        <is>
          <t>into a habit and you can learn more
about this by checking out my free habit</t>
        </is>
      </c>
      <c r="D4888">
        <f>HYPERLINK("https://www.youtube.com/watch?v=pZLsss65N6Y&amp;t=278s", "Go to time")</f>
        <v/>
      </c>
    </row>
    <row r="4889">
      <c r="A4889">
        <f>HYPERLINK("https://www.youtube.com/watch?v=kaMwkBUP-tY", "Video")</f>
        <v/>
      </c>
      <c r="B4889" t="inlineStr">
        <is>
          <t>7:53</t>
        </is>
      </c>
      <c r="C4889" t="inlineStr">
        <is>
          <t>we chat a bit and once we finish we</t>
        </is>
      </c>
      <c r="D4889">
        <f>HYPERLINK("https://www.youtube.com/watch?v=kaMwkBUP-tY&amp;t=473s", "Go to time")</f>
        <v/>
      </c>
    </row>
    <row r="4890">
      <c r="A4890">
        <f>HYPERLINK("https://www.youtube.com/watch?v=kaMwkBUP-tY", "Video")</f>
        <v/>
      </c>
      <c r="B4890" t="inlineStr">
        <is>
          <t>9:25</t>
        </is>
      </c>
      <c r="C4890" t="inlineStr">
        <is>
          <t>own so after scolding us a bit more he</t>
        </is>
      </c>
      <c r="D4890">
        <f>HYPERLINK("https://www.youtube.com/watch?v=kaMwkBUP-tY&amp;t=565s", "Go to time")</f>
        <v/>
      </c>
    </row>
    <row r="4891">
      <c r="A4891">
        <f>HYPERLINK("https://www.youtube.com/watch?v=kaMwkBUP-tY", "Video")</f>
        <v/>
      </c>
      <c r="B4891" t="inlineStr">
        <is>
          <t>12:55</t>
        </is>
      </c>
      <c r="C4891" t="inlineStr">
        <is>
          <t>even play on the swings for a bit where</t>
        </is>
      </c>
      <c r="D4891">
        <f>HYPERLINK("https://www.youtube.com/watch?v=kaMwkBUP-tY&amp;t=775s", "Go to time")</f>
        <v/>
      </c>
    </row>
    <row r="4892">
      <c r="A4892">
        <f>HYPERLINK("https://www.youtube.com/watch?v=kaMwkBUP-tY", "Video")</f>
        <v/>
      </c>
      <c r="B4892" t="inlineStr">
        <is>
          <t>13:00</t>
        </is>
      </c>
      <c r="C4892" t="inlineStr">
        <is>
          <t>just to mess with them a bit more again</t>
        </is>
      </c>
      <c r="D4892">
        <f>HYPERLINK("https://www.youtube.com/watch?v=kaMwkBUP-tY&amp;t=780s", "Go to time")</f>
        <v/>
      </c>
    </row>
    <row r="4893">
      <c r="A4893">
        <f>HYPERLINK("https://www.youtube.com/watch?v=kaMwkBUP-tY", "Video")</f>
        <v/>
      </c>
      <c r="B4893" t="inlineStr">
        <is>
          <t>15:02</t>
        </is>
      </c>
      <c r="C4893" t="inlineStr">
        <is>
          <t>bit just to show them that hey I like</t>
        </is>
      </c>
      <c r="D4893">
        <f>HYPERLINK("https://www.youtube.com/watch?v=kaMwkBUP-tY&amp;t=902s", "Go to time")</f>
        <v/>
      </c>
    </row>
    <row r="4894">
      <c r="A4894">
        <f>HYPERLINK("https://www.youtube.com/watch?v=kaMwkBUP-tY", "Video")</f>
        <v/>
      </c>
      <c r="B4894" t="inlineStr">
        <is>
          <t>15:07</t>
        </is>
      </c>
      <c r="C4894" t="inlineStr">
        <is>
          <t>bit more intimate with you so I'm doing</t>
        </is>
      </c>
      <c r="D4894">
        <f>HYPERLINK("https://www.youtube.com/watch?v=kaMwkBUP-tY&amp;t=907s", "Go to time")</f>
        <v/>
      </c>
    </row>
    <row r="4895">
      <c r="A4895">
        <f>HYPERLINK("https://www.youtube.com/watch?v=kaMwkBUP-tY", "Video")</f>
        <v/>
      </c>
      <c r="B4895" t="inlineStr">
        <is>
          <t>16:29</t>
        </is>
      </c>
      <c r="C4895" t="inlineStr">
        <is>
          <t>little bit of a daredevil experience I</t>
        </is>
      </c>
      <c r="D4895">
        <f>HYPERLINK("https://www.youtube.com/watch?v=kaMwkBUP-tY&amp;t=989s", "Go to time")</f>
        <v/>
      </c>
    </row>
    <row r="4896">
      <c r="A4896">
        <f>HYPERLINK("https://www.youtube.com/watch?v=7wah48oQ-ro", "Video")</f>
        <v/>
      </c>
      <c r="B4896" t="inlineStr">
        <is>
          <t>0:11</t>
        </is>
      </c>
      <c r="C4896" t="inlineStr">
        <is>
          <t>past few months. It's going to sound a bit 
crazy – ok? What if you and I are the same.</t>
        </is>
      </c>
      <c r="D4896">
        <f>HYPERLINK("https://www.youtube.com/watch?v=7wah48oQ-ro&amp;t=11s", "Go to time")</f>
        <v/>
      </c>
    </row>
    <row r="4897">
      <c r="A4897">
        <f>HYPERLINK("https://www.youtube.com/watch?v=y7HT2EgMvLo", "Video")</f>
        <v/>
      </c>
      <c r="B4897" t="inlineStr">
        <is>
          <t>0:00</t>
        </is>
      </c>
      <c r="C4897" t="inlineStr">
        <is>
          <t>One of the bad habits I had back in a
day was spending hours and hours on</t>
        </is>
      </c>
      <c r="D4897">
        <f>HYPERLINK("https://www.youtube.com/watch?v=y7HT2EgMvLo&amp;t=0s", "Go to time")</f>
        <v/>
      </c>
    </row>
    <row r="4898">
      <c r="A4898">
        <f>HYPERLINK("https://www.youtube.com/watch?v=y7HT2EgMvLo", "Video")</f>
        <v/>
      </c>
      <c r="B4898" t="inlineStr">
        <is>
          <t>0:45</t>
        </is>
      </c>
      <c r="C4898" t="inlineStr">
        <is>
          <t>world of self-development I realized
that I had to get rid of this bad habit</t>
        </is>
      </c>
      <c r="D4898">
        <f>HYPERLINK("https://www.youtube.com/watch?v=y7HT2EgMvLo&amp;t=45s", "Go to time")</f>
        <v/>
      </c>
    </row>
    <row r="4899">
      <c r="A4899">
        <f>HYPERLINK("https://www.youtube.com/watch?v=y7HT2EgMvLo", "Video")</f>
        <v/>
      </c>
      <c r="B4899" t="inlineStr">
        <is>
          <t>1:29</t>
        </is>
      </c>
      <c r="C4899" t="inlineStr">
        <is>
          <t>change your habits but you'll want to
pay close attention to two things when</t>
        </is>
      </c>
      <c r="D4899">
        <f>HYPERLINK("https://www.youtube.com/watch?v=y7HT2EgMvLo&amp;t=89s", "Go to time")</f>
        <v/>
      </c>
    </row>
    <row r="4900">
      <c r="A4900">
        <f>HYPERLINK("https://www.youtube.com/watch?v=y7HT2EgMvLo", "Video")</f>
        <v/>
      </c>
      <c r="B4900" t="inlineStr">
        <is>
          <t>1:40</t>
        </is>
      </c>
      <c r="C4900" t="inlineStr">
        <is>
          <t>to in the description box below every
habit begins with a cue it's what starts</t>
        </is>
      </c>
      <c r="D4900">
        <f>HYPERLINK("https://www.youtube.com/watch?v=y7HT2EgMvLo&amp;t=100s", "Go to time")</f>
        <v/>
      </c>
    </row>
    <row r="4901">
      <c r="A4901">
        <f>HYPERLINK("https://www.youtube.com/watch?v=y7HT2EgMvLo", "Video")</f>
        <v/>
      </c>
      <c r="B4901" t="inlineStr">
        <is>
          <t>1:44</t>
        </is>
      </c>
      <c r="C4901" t="inlineStr">
        <is>
          <t>the whole process in the case of my bad
facebook habit the cue was the newsfeed</t>
        </is>
      </c>
      <c r="D4901">
        <f>HYPERLINK("https://www.youtube.com/watch?v=y7HT2EgMvLo&amp;t=104s", "Go to time")</f>
        <v/>
      </c>
    </row>
    <row r="4902">
      <c r="A4902">
        <f>HYPERLINK("https://www.youtube.com/watch?v=y7HT2EgMvLo", "Video")</f>
        <v/>
      </c>
      <c r="B4902" t="inlineStr">
        <is>
          <t>1:52</t>
        </is>
      </c>
      <c r="C4902" t="inlineStr">
        <is>
          <t>cue completely it became almost
impossible for my bad habit to even</t>
        </is>
      </c>
      <c r="D4902">
        <f>HYPERLINK("https://www.youtube.com/watch?v=y7HT2EgMvLo&amp;t=112s", "Go to time")</f>
        <v/>
      </c>
    </row>
    <row r="4903">
      <c r="A4903">
        <f>HYPERLINK("https://www.youtube.com/watch?v=y7HT2EgMvLo", "Video")</f>
        <v/>
      </c>
      <c r="B4903" t="inlineStr">
        <is>
          <t>1:58</t>
        </is>
      </c>
      <c r="C4903" t="inlineStr">
        <is>
          <t>the other hand you should increase the
queues for good habits in your life a</t>
        </is>
      </c>
      <c r="D4903">
        <f>HYPERLINK("https://www.youtube.com/watch?v=y7HT2EgMvLo&amp;t=118s", "Go to time")</f>
        <v/>
      </c>
    </row>
    <row r="4904">
      <c r="A4904">
        <f>HYPERLINK("https://www.youtube.com/watch?v=y7HT2EgMvLo", "Video")</f>
        <v/>
      </c>
      <c r="B4904" t="inlineStr">
        <is>
          <t>2:15</t>
        </is>
      </c>
      <c r="C4904" t="inlineStr">
        <is>
          <t>confronted with the cue for my pull-up
habit which is being under a pull-up bar</t>
        </is>
      </c>
      <c r="D4904">
        <f>HYPERLINK("https://www.youtube.com/watch?v=y7HT2EgMvLo&amp;t=135s", "Go to time")</f>
        <v/>
      </c>
    </row>
    <row r="4905">
      <c r="A4905">
        <f>HYPERLINK("https://www.youtube.com/watch?v=y7HT2EgMvLo", "Video")</f>
        <v/>
      </c>
      <c r="B4905" t="inlineStr">
        <is>
          <t>2:24</t>
        </is>
      </c>
      <c r="C4905" t="inlineStr">
        <is>
          <t>habits and easier to follow through with
your good habits what I mean by this</t>
        </is>
      </c>
      <c r="D4905">
        <f>HYPERLINK("https://www.youtube.com/watch?v=y7HT2EgMvLo&amp;t=144s", "Go to time")</f>
        <v/>
      </c>
    </row>
    <row r="4906">
      <c r="A4906">
        <f>HYPERLINK("https://www.youtube.com/watch?v=y7HT2EgMvLo", "Video")</f>
        <v/>
      </c>
      <c r="B4906" t="inlineStr">
        <is>
          <t>2:28</t>
        </is>
      </c>
      <c r="C4906" t="inlineStr">
        <is>
          <t>well there are certain habits with cues
are unavoidable let's say you're a bit</t>
        </is>
      </c>
      <c r="D4906">
        <f>HYPERLINK("https://www.youtube.com/watch?v=y7HT2EgMvLo&amp;t=148s", "Go to time")</f>
        <v/>
      </c>
    </row>
    <row r="4907">
      <c r="A4907">
        <f>HYPERLINK("https://www.youtube.com/watch?v=y7HT2EgMvLo", "Video")</f>
        <v/>
      </c>
      <c r="B4907" t="inlineStr">
        <is>
          <t>2:35</t>
        </is>
      </c>
      <c r="C4907" t="inlineStr">
        <is>
          <t>looking at this habit you can't really
get rid of the cue here because the cue</t>
        </is>
      </c>
      <c r="D4907">
        <f>HYPERLINK("https://www.youtube.com/watch?v=y7HT2EgMvLo&amp;t=155s", "Go to time")</f>
        <v/>
      </c>
    </row>
    <row r="4908">
      <c r="A4908">
        <f>HYPERLINK("https://www.youtube.com/watch?v=y7HT2EgMvLo", "Video")</f>
        <v/>
      </c>
      <c r="B4908" t="inlineStr">
        <is>
          <t>3:05</t>
        </is>
      </c>
      <c r="C4908" t="inlineStr">
        <is>
          <t>harder to stick to your bad habit and
easier to stick to your good one or</t>
        </is>
      </c>
      <c r="D4908">
        <f>HYPERLINK("https://www.youtube.com/watch?v=y7HT2EgMvLo&amp;t=185s", "Go to time")</f>
        <v/>
      </c>
    </row>
    <row r="4909">
      <c r="A4909">
        <f>HYPERLINK("https://www.youtube.com/watch?v=y7HT2EgMvLo", "Video")</f>
        <v/>
      </c>
      <c r="B4909" t="inlineStr">
        <is>
          <t>3:08</t>
        </is>
      </c>
      <c r="C4909" t="inlineStr">
        <is>
          <t>let's say you want to make going to the
gym into a habit one of the biggest</t>
        </is>
      </c>
      <c r="D4909">
        <f>HYPERLINK("https://www.youtube.com/watch?v=y7HT2EgMvLo&amp;t=188s", "Go to time")</f>
        <v/>
      </c>
    </row>
    <row r="4910">
      <c r="A4910">
        <f>HYPERLINK("https://www.youtube.com/watch?v=y7HT2EgMvLo", "Video")</f>
        <v/>
      </c>
      <c r="B4910" t="inlineStr">
        <is>
          <t>3:46</t>
        </is>
      </c>
      <c r="C4910" t="inlineStr">
        <is>
          <t>your gym clothes to sleep this actually
builds off of an old habit of yours from</t>
        </is>
      </c>
      <c r="D4910">
        <f>HYPERLINK("https://www.youtube.com/watch?v=y7HT2EgMvLo&amp;t=226s", "Go to time")</f>
        <v/>
      </c>
    </row>
    <row r="4911">
      <c r="A4911">
        <f>HYPERLINK("https://www.youtube.com/watch?v=y7HT2EgMvLo", "Video")</f>
        <v/>
      </c>
      <c r="B4911" t="inlineStr">
        <is>
          <t>4:02</t>
        </is>
      </c>
      <c r="C4911" t="inlineStr">
        <is>
          <t>become a habit
so when you wake up wearing your gym</t>
        </is>
      </c>
      <c r="D4911">
        <f>HYPERLINK("https://www.youtube.com/watch?v=y7HT2EgMvLo&amp;t=242s", "Go to time")</f>
        <v/>
      </c>
    </row>
    <row r="4912">
      <c r="A4912">
        <f>HYPERLINK("https://www.youtube.com/watch?v=y7HT2EgMvLo", "Video")</f>
        <v/>
      </c>
      <c r="B4912" t="inlineStr">
        <is>
          <t>4:14</t>
        </is>
      </c>
      <c r="C4912" t="inlineStr">
        <is>
          <t>environment that promotes my good habits
or my bad ones and what changes can I</t>
        </is>
      </c>
      <c r="D4912">
        <f>HYPERLINK("https://www.youtube.com/watch?v=y7HT2EgMvLo&amp;t=254s", "Go to time")</f>
        <v/>
      </c>
    </row>
    <row r="4913">
      <c r="A4913">
        <f>HYPERLINK("https://www.youtube.com/watch?v=y7HT2EgMvLo", "Video")</f>
        <v/>
      </c>
      <c r="B4913" t="inlineStr">
        <is>
          <t>4:21</t>
        </is>
      </c>
      <c r="C4913" t="inlineStr">
        <is>
          <t>likely for me to stick to my good habits
and stop doing my bad ones I'd love to</t>
        </is>
      </c>
      <c r="D4913">
        <f>HYPERLINK("https://www.youtube.com/watch?v=y7HT2EgMvLo&amp;t=261s", "Go to time")</f>
        <v/>
      </c>
    </row>
    <row r="4914">
      <c r="A4914">
        <f>HYPERLINK("https://www.youtube.com/watch?v=Y_2Pb5muauE", "Video")</f>
        <v/>
      </c>
      <c r="B4914" t="inlineStr">
        <is>
          <t>1:07</t>
        </is>
      </c>
      <c r="C4914" t="inlineStr">
        <is>
          <t>habits
tied to this place so whenever you're</t>
        </is>
      </c>
      <c r="D4914">
        <f>HYPERLINK("https://www.youtube.com/watch?v=Y_2Pb5muauE&amp;t=67s", "Go to time")</f>
        <v/>
      </c>
    </row>
    <row r="4915">
      <c r="A4915">
        <f>HYPERLINK("https://www.youtube.com/watch?v=Y_2Pb5muauE", "Video")</f>
        <v/>
      </c>
      <c r="B4915" t="inlineStr">
        <is>
          <t>1:14</t>
        </is>
      </c>
      <c r="C4915" t="inlineStr">
        <is>
          <t>habits
most of which are things that are much</t>
        </is>
      </c>
      <c r="D4915">
        <f>HYPERLINK("https://www.youtube.com/watch?v=Y_2Pb5muauE&amp;t=74s", "Go to time")</f>
        <v/>
      </c>
    </row>
    <row r="4916">
      <c r="A4916">
        <f>HYPERLINK("https://www.youtube.com/watch?v=Y_2Pb5muauE", "Video")</f>
        <v/>
      </c>
      <c r="B4916" t="inlineStr">
        <is>
          <t>4:20</t>
        </is>
      </c>
      <c r="C4916" t="inlineStr">
        <is>
          <t>so that i'll go to my exclusive location
so that my habit of working there can</t>
        </is>
      </c>
      <c r="D4916">
        <f>HYPERLINK("https://www.youtube.com/watch?v=Y_2Pb5muauE&amp;t=260s", "Go to time")</f>
        <v/>
      </c>
    </row>
    <row r="4917">
      <c r="A4917">
        <f>HYPERLINK("https://www.youtube.com/watch?v=Y_2Pb5muauE", "Video")</f>
        <v/>
      </c>
      <c r="B4917" t="inlineStr">
        <is>
          <t>7:45</t>
        </is>
      </c>
      <c r="C4917" t="inlineStr">
        <is>
          <t>become a habit now it's best to reward
yourself with things that you naturally</t>
        </is>
      </c>
      <c r="D4917">
        <f>HYPERLINK("https://www.youtube.com/watch?v=Y_2Pb5muauE&amp;t=465s", "Go to time")</f>
        <v/>
      </c>
    </row>
    <row r="4918">
      <c r="A4918">
        <f>HYPERLINK("https://www.youtube.com/watch?v=Y_2Pb5muauE", "Video")</f>
        <v/>
      </c>
      <c r="B4918" t="inlineStr">
        <is>
          <t>8:48</t>
        </is>
      </c>
      <c r="C4918" t="inlineStr">
        <is>
          <t>looking forward to going to work
because there are little bits of</t>
        </is>
      </c>
      <c r="D4918">
        <f>HYPERLINK("https://www.youtube.com/watch?v=Y_2Pb5muauE&amp;t=528s", "Go to time")</f>
        <v/>
      </c>
    </row>
    <row r="4919">
      <c r="A4919">
        <f>HYPERLINK("https://www.youtube.com/watch?v=o8eZpV7T_1E", "Video")</f>
        <v/>
      </c>
      <c r="B4919" t="inlineStr">
        <is>
          <t>0:36</t>
        </is>
      </c>
      <c r="C4919" t="inlineStr">
        <is>
          <t>bit so that it's just a question what is</t>
        </is>
      </c>
      <c r="D4919">
        <f>HYPERLINK("https://www.youtube.com/watch?v=o8eZpV7T_1E&amp;t=36s", "Go to time")</f>
        <v/>
      </c>
    </row>
    <row r="4920">
      <c r="A4920">
        <f>HYPERLINK("https://www.youtube.com/watch?v=o8eZpV7T_1E", "Video")</f>
        <v/>
      </c>
      <c r="B4920" t="inlineStr">
        <is>
          <t>5:15</t>
        </is>
      </c>
      <c r="C4920" t="inlineStr">
        <is>
          <t>something something a little bit</t>
        </is>
      </c>
      <c r="D4920">
        <f>HYPERLINK("https://www.youtube.com/watch?v=o8eZpV7T_1E&amp;t=315s", "Go to time")</f>
        <v/>
      </c>
    </row>
    <row r="4921">
      <c r="A4921">
        <f>HYPERLINK("https://www.youtube.com/watch?v=o8eZpV7T_1E", "Video")</f>
        <v/>
      </c>
      <c r="B4921" t="inlineStr">
        <is>
          <t>5:26</t>
        </is>
      </c>
      <c r="C4921" t="inlineStr">
        <is>
          <t>very hard to build this habit what</t>
        </is>
      </c>
      <c r="D4921">
        <f>HYPERLINK("https://www.youtube.com/watch?v=o8eZpV7T_1E&amp;t=326s", "Go to time")</f>
        <v/>
      </c>
    </row>
    <row r="4922">
      <c r="A4922">
        <f>HYPERLINK("https://www.youtube.com/watch?v=o8eZpV7T_1E", "Video")</f>
        <v/>
      </c>
      <c r="B4922" t="inlineStr">
        <is>
          <t>5:33</t>
        </is>
      </c>
      <c r="C4922" t="inlineStr">
        <is>
          <t>habit of meditation uh come across they</t>
        </is>
      </c>
      <c r="D4922">
        <f>HYPERLINK("https://www.youtube.com/watch?v=o8eZpV7T_1E&amp;t=333s", "Go to time")</f>
        <v/>
      </c>
    </row>
    <row r="4923">
      <c r="A4923">
        <f>HYPERLINK("https://www.youtube.com/watch?v=o8eZpV7T_1E", "Video")</f>
        <v/>
      </c>
      <c r="B4923" t="inlineStr">
        <is>
          <t>8:06</t>
        </is>
      </c>
      <c r="C4923" t="inlineStr">
        <is>
          <t>three is to make it a habits four is to</t>
        </is>
      </c>
      <c r="D4923">
        <f>HYPERLINK("https://www.youtube.com/watch?v=o8eZpV7T_1E&amp;t=486s", "Go to time")</f>
        <v/>
      </c>
    </row>
    <row r="4924">
      <c r="A4924">
        <f>HYPERLINK("https://www.youtube.com/watch?v=o8eZpV7T_1E", "Video")</f>
        <v/>
      </c>
      <c r="B4924" t="inlineStr">
        <is>
          <t>8:26</t>
        </is>
      </c>
      <c r="C4924" t="inlineStr">
        <is>
          <t>time creating habits can you give me a</t>
        </is>
      </c>
      <c r="D4924">
        <f>HYPERLINK("https://www.youtube.com/watch?v=o8eZpV7T_1E&amp;t=506s", "Go to time")</f>
        <v/>
      </c>
    </row>
    <row r="4925">
      <c r="A4925">
        <f>HYPERLINK("https://www.youtube.com/watch?v=o8eZpV7T_1E", "Video")</f>
        <v/>
      </c>
      <c r="B4925" t="inlineStr">
        <is>
          <t>8:36</t>
        </is>
      </c>
      <c r="C4925" t="inlineStr">
        <is>
          <t>step-by-step process for creating habits</t>
        </is>
      </c>
      <c r="D4925">
        <f>HYPERLINK("https://www.youtube.com/watch?v=o8eZpV7T_1E&amp;t=516s", "Go to time")</f>
        <v/>
      </c>
    </row>
    <row r="4926">
      <c r="A4926">
        <f>HYPERLINK("https://www.youtube.com/watch?v=o8eZpV7T_1E", "Video")</f>
        <v/>
      </c>
      <c r="B4926" t="inlineStr">
        <is>
          <t>8:39</t>
        </is>
      </c>
      <c r="C4926" t="inlineStr">
        <is>
          <t>you want to turn into a habit number two</t>
        </is>
      </c>
      <c r="D4926">
        <f>HYPERLINK("https://www.youtube.com/watch?v=o8eZpV7T_1E&amp;t=519s", "Go to time")</f>
        <v/>
      </c>
    </row>
    <row r="4927">
      <c r="A4927">
        <f>HYPERLINK("https://www.youtube.com/watch?v=o8eZpV7T_1E", "Video")</f>
        <v/>
      </c>
      <c r="B4927" t="inlineStr">
        <is>
          <t>9:25</t>
        </is>
      </c>
      <c r="C4927" t="inlineStr">
        <is>
          <t>reward the reward part of the Habit Loop</t>
        </is>
      </c>
      <c r="D4927">
        <f>HYPERLINK("https://www.youtube.com/watch?v=o8eZpV7T_1E&amp;t=565s", "Go to time")</f>
        <v/>
      </c>
    </row>
    <row r="4928">
      <c r="A4928">
        <f>HYPERLINK("https://www.youtube.com/watch?v=o8eZpV7T_1E", "Video")</f>
        <v/>
      </c>
      <c r="B4928" t="inlineStr">
        <is>
          <t>9:30</t>
        </is>
      </c>
      <c r="C4928" t="inlineStr">
        <is>
          <t>actually make it remember it as a habit</t>
        </is>
      </c>
      <c r="D4928">
        <f>HYPERLINK("https://www.youtube.com/watch?v=o8eZpV7T_1E&amp;t=570s", "Go to time")</f>
        <v/>
      </c>
    </row>
    <row r="4929">
      <c r="A4929">
        <f>HYPERLINK("https://www.youtube.com/watch?v=o8eZpV7T_1E", "Video")</f>
        <v/>
      </c>
      <c r="B4929" t="inlineStr">
        <is>
          <t>9:40</t>
        </is>
      </c>
      <c r="C4929" t="inlineStr">
        <is>
          <t>after running the Habit Builder</t>
        </is>
      </c>
      <c r="D4929">
        <f>HYPERLINK("https://www.youtube.com/watch?v=o8eZpV7T_1E&amp;t=580s", "Go to time")</f>
        <v/>
      </c>
    </row>
    <row r="4930">
      <c r="A4930">
        <f>HYPERLINK("https://www.youtube.com/watch?v=o8eZpV7T_1E", "Video")</f>
        <v/>
      </c>
      <c r="B4930" t="inlineStr">
        <is>
          <t>9:57</t>
        </is>
      </c>
      <c r="C4930" t="inlineStr">
        <is>
          <t>examples that trigger or minor habits oh</t>
        </is>
      </c>
      <c r="D4930">
        <f>HYPERLINK("https://www.youtube.com/watch?v=o8eZpV7T_1E&amp;t=597s", "Go to time")</f>
        <v/>
      </c>
    </row>
    <row r="4931">
      <c r="A4931">
        <f>HYPERLINK("https://www.youtube.com/watch?v=o8eZpV7T_1E", "Video")</f>
        <v/>
      </c>
      <c r="B4931" t="inlineStr">
        <is>
          <t>10:35</t>
        </is>
      </c>
      <c r="C4931" t="inlineStr">
        <is>
          <t>it comes to not forgetting your habit</t>
        </is>
      </c>
      <c r="D4931">
        <f>HYPERLINK("https://www.youtube.com/watch?v=o8eZpV7T_1E&amp;t=635s", "Go to time")</f>
        <v/>
      </c>
    </row>
    <row r="4932">
      <c r="A4932">
        <f>HYPERLINK("https://www.youtube.com/watch?v=o8eZpV7T_1E", "Video")</f>
        <v/>
      </c>
      <c r="B4932" t="inlineStr">
        <is>
          <t>12:07</t>
        </is>
      </c>
      <c r="C4932" t="inlineStr">
        <is>
          <t>with when building their habits they're</t>
        </is>
      </c>
      <c r="D4932">
        <f>HYPERLINK("https://www.youtube.com/watch?v=o8eZpV7T_1E&amp;t=727s", "Go to time")</f>
        <v/>
      </c>
    </row>
    <row r="4933">
      <c r="A4933">
        <f>HYPERLINK("https://www.youtube.com/watch?v=o8eZpV7T_1E", "Video")</f>
        <v/>
      </c>
      <c r="B4933" t="inlineStr">
        <is>
          <t>12:11</t>
        </is>
      </c>
      <c r="C4933" t="inlineStr">
        <is>
          <t>the Habit so let's see what chat GPT</t>
        </is>
      </c>
      <c r="D4933">
        <f>HYPERLINK("https://www.youtube.com/watch?v=o8eZpV7T_1E&amp;t=731s", "Go to time")</f>
        <v/>
      </c>
    </row>
    <row r="4934">
      <c r="A4934">
        <f>HYPERLINK("https://www.youtube.com/watch?v=o8eZpV7T_1E", "Video")</f>
        <v/>
      </c>
      <c r="B4934" t="inlineStr">
        <is>
          <t>12:37</t>
        </is>
      </c>
      <c r="C4934" t="inlineStr">
        <is>
          <t>every single time you finish a habit</t>
        </is>
      </c>
      <c r="D4934">
        <f>HYPERLINK("https://www.youtube.com/watch?v=o8eZpV7T_1E&amp;t=757s", "Go to time")</f>
        <v/>
      </c>
    </row>
    <row r="4935">
      <c r="A4935">
        <f>HYPERLINK("https://www.youtube.com/watch?v=Y88ci7DUByw", "Video")</f>
        <v/>
      </c>
      <c r="B4935" t="inlineStr">
        <is>
          <t>2:27</t>
        </is>
      </c>
      <c r="C4935" t="inlineStr">
        <is>
          <t>forming habits for long-term goals this</t>
        </is>
      </c>
      <c r="D4935">
        <f>HYPERLINK("https://www.youtube.com/watch?v=Y88ci7DUByw&amp;t=147s", "Go to time")</f>
        <v/>
      </c>
    </row>
    <row r="4936">
      <c r="A4936">
        <f>HYPERLINK("https://www.youtube.com/watch?v=Y88ci7DUByw", "Video")</f>
        <v/>
      </c>
      <c r="B4936" t="inlineStr">
        <is>
          <t>2:46</t>
        </is>
      </c>
      <c r="C4936" t="inlineStr">
        <is>
          <t>stutter a bit while having a</t>
        </is>
      </c>
      <c r="D4936">
        <f>HYPERLINK("https://www.youtube.com/watch?v=Y88ci7DUByw&amp;t=166s", "Go to time")</f>
        <v/>
      </c>
    </row>
    <row r="4937">
      <c r="A4937">
        <f>HYPERLINK("https://www.youtube.com/watch?v=b2goxVg5grU", "Video")</f>
        <v/>
      </c>
      <c r="B4937" t="inlineStr">
        <is>
          <t>3:50</t>
        </is>
      </c>
      <c r="C4937" t="inlineStr">
        <is>
          <t>someone is in pain you will feel a bit</t>
        </is>
      </c>
      <c r="D4937">
        <f>HYPERLINK("https://www.youtube.com/watch?v=b2goxVg5grU&amp;t=230s", "Go to time")</f>
        <v/>
      </c>
    </row>
    <row r="4938">
      <c r="A4938">
        <f>HYPERLINK("https://www.youtube.com/watch?v=9ou2MUSF0v8", "Video")</f>
        <v/>
      </c>
      <c r="B4938" t="inlineStr">
        <is>
          <t>0:03</t>
        </is>
      </c>
      <c r="C4938" t="inlineStr">
        <is>
          <t>In the previous lessons you learned about
how habits worked, then you picked out a habit</t>
        </is>
      </c>
      <c r="D4938">
        <f>HYPERLINK("https://www.youtube.com/watch?v=9ou2MUSF0v8&amp;t=3s", "Go to time")</f>
        <v/>
      </c>
    </row>
    <row r="4939">
      <c r="A4939">
        <f>HYPERLINK("https://www.youtube.com/watch?v=9ou2MUSF0v8", "Video")</f>
        <v/>
      </c>
      <c r="B4939" t="inlineStr">
        <is>
          <t>0:27</t>
        </is>
      </c>
      <c r="C4939" t="inlineStr">
        <is>
          <t>Because If you really want to change your
life and get rid of your bad habits you need</t>
        </is>
      </c>
      <c r="D4939">
        <f>HYPERLINK("https://www.youtube.com/watch?v=9ou2MUSF0v8&amp;t=27s", "Go to time")</f>
        <v/>
      </c>
    </row>
    <row r="4940">
      <c r="A4940">
        <f>HYPERLINK("https://www.youtube.com/watch?v=9ou2MUSF0v8", "Video")</f>
        <v/>
      </c>
      <c r="B4940" t="inlineStr">
        <is>
          <t>0:47</t>
        </is>
      </c>
      <c r="C4940" t="inlineStr">
        <is>
          <t>impulsive and slack off on our good habits.</t>
        </is>
      </c>
      <c r="D4940">
        <f>HYPERLINK("https://www.youtube.com/watch?v=9ou2MUSF0v8&amp;t=47s", "Go to time")</f>
        <v/>
      </c>
    </row>
    <row r="4941">
      <c r="A4941">
        <f>HYPERLINK("https://www.youtube.com/watch?v=9ou2MUSF0v8", "Video")</f>
        <v/>
      </c>
      <c r="B4941" t="inlineStr">
        <is>
          <t>6:30</t>
        </is>
      </c>
      <c r="C4941" t="inlineStr">
        <is>
          <t>You have a hard time relaxing, I suggest you
look into the habit of Meditation.</t>
        </is>
      </c>
      <c r="D4941">
        <f>HYPERLINK("https://www.youtube.com/watch?v=9ou2MUSF0v8&amp;t=390s", "Go to time")</f>
        <v/>
      </c>
    </row>
    <row r="4942">
      <c r="A4942">
        <f>HYPERLINK("https://www.youtube.com/watch?v=9ou2MUSF0v8", "Video")</f>
        <v/>
      </c>
      <c r="B4942" t="inlineStr">
        <is>
          <t>6:33</t>
        </is>
      </c>
      <c r="C4942" t="inlineStr">
        <is>
          <t>In fact there's a very high chance that meditation
would be the best keystone habit for you.</t>
        </is>
      </c>
      <c r="D4942">
        <f>HYPERLINK("https://www.youtube.com/watch?v=9ou2MUSF0v8&amp;t=393s", "Go to time")</f>
        <v/>
      </c>
    </row>
    <row r="4943">
      <c r="A4943">
        <f>HYPERLINK("https://www.youtube.com/watch?v=9ou2MUSF0v8", "Video")</f>
        <v/>
      </c>
      <c r="B4943" t="inlineStr">
        <is>
          <t>6:37</t>
        </is>
      </c>
      <c r="C4943" t="inlineStr">
        <is>
          <t>This is because if you get into the habit
of Meditating your ability to quiet your mind</t>
        </is>
      </c>
      <c r="D4943">
        <f>HYPERLINK("https://www.youtube.com/watch?v=9ou2MUSF0v8&amp;t=397s", "Go to time")</f>
        <v/>
      </c>
    </row>
    <row r="4944">
      <c r="A4944">
        <f>HYPERLINK("https://www.youtube.com/watch?v=9ou2MUSF0v8", "Video")</f>
        <v/>
      </c>
      <c r="B4944" t="inlineStr">
        <is>
          <t>7:33</t>
        </is>
      </c>
      <c r="C4944" t="inlineStr">
        <is>
          <t>habits if they don't get enough sleep the
previous night.</t>
        </is>
      </c>
      <c r="D4944">
        <f>HYPERLINK("https://www.youtube.com/watch?v=9ou2MUSF0v8&amp;t=453s", "Go to time")</f>
        <v/>
      </c>
    </row>
    <row r="4945">
      <c r="A4945">
        <f>HYPERLINK("https://www.youtube.com/watch?v=ujVDNWM01Qk", "Video")</f>
        <v/>
      </c>
      <c r="B4945" t="inlineStr">
        <is>
          <t>4:38</t>
        </is>
      </c>
      <c r="C4945" t="inlineStr">
        <is>
          <t>But it&amp;#39;s also very important to note that
many people do this out of habit.</t>
        </is>
      </c>
      <c r="D4945">
        <f>HYPERLINK("https://www.youtube.com/watch?v=ujVDNWM01Qk&amp;t=278s", "Go to time")</f>
        <v/>
      </c>
    </row>
    <row r="4946">
      <c r="A4946">
        <f>HYPERLINK("https://www.youtube.com/watch?v=ujVDNWM01Qk", "Video")</f>
        <v/>
      </c>
      <c r="B4946" t="inlineStr">
        <is>
          <t>6:22</t>
        </is>
      </c>
      <c r="C4946" t="inlineStr">
        <is>
          <t>Vessi shoes are perfect for dressing up a
bit for first dates and for dressing down</t>
        </is>
      </c>
      <c r="D4946">
        <f>HYPERLINK("https://www.youtube.com/watch?v=ujVDNWM01Qk&amp;t=382s", "Go to time")</f>
        <v/>
      </c>
    </row>
    <row r="4947">
      <c r="A4947">
        <f>HYPERLINK("https://www.youtube.com/watch?v=ujVDNWM01Qk", "Video")</f>
        <v/>
      </c>
      <c r="B4947" t="inlineStr">
        <is>
          <t>6:26</t>
        </is>
      </c>
      <c r="C4947" t="inlineStr">
        <is>
          <t>a bit when you&amp;#39;re just
out meeting strangers especially if it&amp;#39;s</t>
        </is>
      </c>
      <c r="D4947">
        <f>HYPERLINK("https://www.youtube.com/watch?v=ujVDNWM01Qk&amp;t=386s", "Go to time")</f>
        <v/>
      </c>
    </row>
    <row r="4948">
      <c r="A4948">
        <f>HYPERLINK("https://www.youtube.com/watch?v=ujVDNWM01Qk", "Video")</f>
        <v/>
      </c>
      <c r="B4948" t="inlineStr">
        <is>
          <t>8:45</t>
        </is>
      </c>
      <c r="C4948" t="inlineStr">
        <is>
          <t>Others have a habit of doing this to simply
pass the time similar to leg shaking.</t>
        </is>
      </c>
      <c r="D4948">
        <f>HYPERLINK("https://www.youtube.com/watch?v=ujVDNWM01Qk&amp;t=525s", "Go to time")</f>
        <v/>
      </c>
    </row>
    <row r="4949">
      <c r="A4949">
        <f>HYPERLINK("https://www.youtube.com/watch?v=Dm39FRf7Ixg", "Video")</f>
        <v/>
      </c>
      <c r="B4949" t="inlineStr">
        <is>
          <t>4:37</t>
        </is>
      </c>
      <c r="C4949" t="inlineStr">
        <is>
          <t>Let's go back to the example of my toilet
habit.</t>
        </is>
      </c>
      <c r="D4949">
        <f>HYPERLINK("https://www.youtube.com/watch?v=Dm39FRf7Ixg&amp;t=277s", "Go to time")</f>
        <v/>
      </c>
    </row>
    <row r="4950">
      <c r="A4950">
        <f>HYPERLINK("https://www.youtube.com/watch?v=Dm39FRf7Ixg", "Video")</f>
        <v/>
      </c>
      <c r="B4950" t="inlineStr">
        <is>
          <t>5:00</t>
        </is>
      </c>
      <c r="C4950" t="inlineStr">
        <is>
          <t>Chances are, you also feel a bit interested
in why I do this.</t>
        </is>
      </c>
      <c r="D4950">
        <f>HYPERLINK("https://www.youtube.com/watch?v=Dm39FRf7Ixg&amp;t=300s", "Go to time")</f>
        <v/>
      </c>
    </row>
    <row r="4951">
      <c r="A4951">
        <f>HYPERLINK("https://www.youtube.com/watch?v=vl-44jDYDJQ", "Video")</f>
        <v/>
      </c>
      <c r="B4951" t="inlineStr">
        <is>
          <t>3:52</t>
        </is>
      </c>
      <c r="C4951" t="inlineStr">
        <is>
          <t>about the reward you get after this is
basically how habits work we</t>
        </is>
      </c>
      <c r="D4951">
        <f>HYPERLINK("https://www.youtube.com/watch?v=vl-44jDYDJQ&amp;t=232s", "Go to time")</f>
        <v/>
      </c>
    </row>
    <row r="4952">
      <c r="A4952">
        <f>HYPERLINK("https://www.youtube.com/watch?v=EkEuJBsm6Kk", "Video")</f>
        <v/>
      </c>
      <c r="B4952" t="inlineStr">
        <is>
          <t>5:02</t>
        </is>
      </c>
      <c r="C4952" t="inlineStr">
        <is>
          <t>they'll just ban Bitcoin they would never allow 
it to grow big enough to be a threat but had you</t>
        </is>
      </c>
      <c r="D4952">
        <f>HYPERLINK("https://www.youtube.com/watch?v=EkEuJBsm6Kk&amp;t=302s", "Go to time")</f>
        <v/>
      </c>
    </row>
    <row r="4953">
      <c r="A4953">
        <f>HYPERLINK("https://www.youtube.com/watch?v=EkEuJBsm6Kk", "Video")</f>
        <v/>
      </c>
      <c r="B4953" t="inlineStr">
        <is>
          <t>5:11</t>
        </is>
      </c>
      <c r="C4953" t="inlineStr">
        <is>
          <t>something truly decentralized like Bitcoin your 
wealth would have multiplied many times over</t>
        </is>
      </c>
      <c r="D4953">
        <f>HYPERLINK("https://www.youtube.com/watch?v=EkEuJBsm6Kk&amp;t=311s", "Go to time")</f>
        <v/>
      </c>
    </row>
    <row r="4954">
      <c r="A4954">
        <f>HYPERLINK("https://www.youtube.com/watch?v=qBTRatvT2cU", "Video")</f>
        <v/>
      </c>
      <c r="B4954" t="inlineStr">
        <is>
          <t>2:07</t>
        </is>
      </c>
      <c r="C4954" t="inlineStr">
        <is>
          <t>make just as much if not a bit more</t>
        </is>
      </c>
      <c r="D4954">
        <f>HYPERLINK("https://www.youtube.com/watch?v=qBTRatvT2cU&amp;t=127s", "Go to time")</f>
        <v/>
      </c>
    </row>
    <row r="4955">
      <c r="A4955">
        <f>HYPERLINK("https://www.youtube.com/watch?v=dBT_vqFHfEY", "Video")</f>
        <v/>
      </c>
      <c r="B4955" t="inlineStr">
        <is>
          <t>0:08</t>
        </is>
      </c>
      <c r="C4955" t="inlineStr">
        <is>
          <t>habit building course that I've promised</t>
        </is>
      </c>
      <c r="D4955">
        <f>HYPERLINK("https://www.youtube.com/watch?v=dBT_vqFHfEY&amp;t=8s", "Go to time")</f>
        <v/>
      </c>
    </row>
    <row r="4956">
      <c r="A4956">
        <f>HYPERLINK("https://www.youtube.com/watch?v=dBT_vqFHfEY", "Video")</f>
        <v/>
      </c>
      <c r="B4956" t="inlineStr">
        <is>
          <t>1:02</t>
        </is>
      </c>
      <c r="C4956" t="inlineStr">
        <is>
          <t>of the course to habit building in</t>
        </is>
      </c>
      <c r="D4956">
        <f>HYPERLINK("https://www.youtube.com/watch?v=dBT_vqFHfEY&amp;t=62s", "Go to time")</f>
        <v/>
      </c>
    </row>
    <row r="4957">
      <c r="A4957">
        <f>HYPERLINK("https://www.youtube.com/watch?v=dBT_vqFHfEY", "Video")</f>
        <v/>
      </c>
      <c r="B4957" t="inlineStr">
        <is>
          <t>1:06</t>
        </is>
      </c>
      <c r="C4957" t="inlineStr">
        <is>
          <t>change their habits I can change their</t>
        </is>
      </c>
      <c r="D4957">
        <f>HYPERLINK("https://www.youtube.com/watch?v=dBT_vqFHfEY&amp;t=66s", "Go to time")</f>
        <v/>
      </c>
    </row>
    <row r="4958">
      <c r="A4958">
        <f>HYPERLINK("https://www.youtube.com/watch?v=6rFiOkZ0-8U", "Video")</f>
        <v/>
      </c>
      <c r="B4958" t="inlineStr">
        <is>
          <t>5:06</t>
        </is>
      </c>
      <c r="C4958" t="inlineStr">
        <is>
          <t>percent of the participants exhibited</t>
        </is>
      </c>
      <c r="D4958">
        <f>HYPERLINK("https://www.youtube.com/watch?v=6rFiOkZ0-8U&amp;t=306s", "Go to time")</f>
        <v/>
      </c>
    </row>
    <row r="4959">
      <c r="A4959">
        <f>HYPERLINK("https://www.youtube.com/watch?v=6rFiOkZ0-8U", "Video")</f>
        <v/>
      </c>
      <c r="B4959" t="inlineStr">
        <is>
          <t>5:15</t>
        </is>
      </c>
      <c r="C4959" t="inlineStr">
        <is>
          <t>participants who exhibited no hoarding</t>
        </is>
      </c>
      <c r="D4959">
        <f>HYPERLINK("https://www.youtube.com/watch?v=6rFiOkZ0-8U&amp;t=315s", "Go to time")</f>
        <v/>
      </c>
    </row>
    <row r="4960">
      <c r="A4960">
        <f>HYPERLINK("https://www.youtube.com/watch?v=qDBV1GcCqvs", "Video")</f>
        <v/>
      </c>
      <c r="B4960" t="inlineStr">
        <is>
          <t>0:08</t>
        </is>
      </c>
      <c r="C4960" t="inlineStr">
        <is>
          <t>replace your bad habits with good
Keystone habits then we discussed how</t>
        </is>
      </c>
      <c r="D4960">
        <f>HYPERLINK("https://www.youtube.com/watch?v=qDBV1GcCqvs&amp;t=8s", "Go to time")</f>
        <v/>
      </c>
    </row>
    <row r="4961">
      <c r="A4961">
        <f>HYPERLINK("https://www.youtube.com/watch?v=qDBV1GcCqvs", "Video")</f>
        <v/>
      </c>
      <c r="B4961" t="inlineStr">
        <is>
          <t>0:12</t>
        </is>
      </c>
      <c r="C4961" t="inlineStr">
        <is>
          <t>habits work the bunked a couple of
misconceptions and in our last video we</t>
        </is>
      </c>
      <c r="D4961">
        <f>HYPERLINK("https://www.youtube.com/watch?v=qDBV1GcCqvs&amp;t=12s", "Go to time")</f>
        <v/>
      </c>
    </row>
    <row r="4962">
      <c r="A4962">
        <f>HYPERLINK("https://www.youtube.com/watch?v=qDBV1GcCqvs", "Video")</f>
        <v/>
      </c>
      <c r="B4962" t="inlineStr">
        <is>
          <t>0:16</t>
        </is>
      </c>
      <c r="C4962" t="inlineStr">
        <is>
          <t>discussed three of the most powerful
habits you can adopt so by now you</t>
        </is>
      </c>
      <c r="D4962">
        <f>HYPERLINK("https://www.youtube.com/watch?v=qDBV1GcCqvs&amp;t=16s", "Go to time")</f>
        <v/>
      </c>
    </row>
    <row r="4963">
      <c r="A4963">
        <f>HYPERLINK("https://www.youtube.com/watch?v=qDBV1GcCqvs", "Video")</f>
        <v/>
      </c>
      <c r="B4963" t="inlineStr">
        <is>
          <t>0:20</t>
        </is>
      </c>
      <c r="C4963" t="inlineStr">
        <is>
          <t>should have a habit in mind that you're
going to work on for the remainder of</t>
        </is>
      </c>
      <c r="D4963">
        <f>HYPERLINK("https://www.youtube.com/watch?v=qDBV1GcCqvs&amp;t=20s", "Go to time")</f>
        <v/>
      </c>
    </row>
    <row r="4964">
      <c r="A4964">
        <f>HYPERLINK("https://www.youtube.com/watch?v=qDBV1GcCqvs", "Video")</f>
        <v/>
      </c>
      <c r="B4964" t="inlineStr">
        <is>
          <t>0:23</t>
        </is>
      </c>
      <c r="C4964" t="inlineStr">
        <is>
          <t>this course if you do not have this
habit in mind or if you've missed any of</t>
        </is>
      </c>
      <c r="D4964">
        <f>HYPERLINK("https://www.youtube.com/watch?v=qDBV1GcCqvs&amp;t=23s", "Go to time")</f>
        <v/>
      </c>
    </row>
    <row r="4965">
      <c r="A4965">
        <f>HYPERLINK("https://www.youtube.com/watch?v=qDBV1GcCqvs", "Video")</f>
        <v/>
      </c>
      <c r="B4965" t="inlineStr">
        <is>
          <t>0:38</t>
        </is>
      </c>
      <c r="C4965" t="inlineStr">
        <is>
          <t>we're going to talk about how to
properly start forming your habit we're</t>
        </is>
      </c>
      <c r="D4965">
        <f>HYPERLINK("https://www.youtube.com/watch?v=qDBV1GcCqvs&amp;t=38s", "Go to time")</f>
        <v/>
      </c>
    </row>
    <row r="4966">
      <c r="A4966">
        <f>HYPERLINK("https://www.youtube.com/watch?v=qDBV1GcCqvs", "Video")</f>
        <v/>
      </c>
      <c r="B4966" t="inlineStr">
        <is>
          <t>0:50</t>
        </is>
      </c>
      <c r="C4966" t="inlineStr">
        <is>
          <t>finally how to effectively reward
yourself so that your habit sticks this</t>
        </is>
      </c>
      <c r="D4966">
        <f>HYPERLINK("https://www.youtube.com/watch?v=qDBV1GcCqvs&amp;t=50s", "Go to time")</f>
        <v/>
      </c>
    </row>
    <row r="4967">
      <c r="A4967">
        <f>HYPERLINK("https://www.youtube.com/watch?v=qDBV1GcCqvs", "Video")</f>
        <v/>
      </c>
      <c r="B4967" t="inlineStr">
        <is>
          <t>1:17</t>
        </is>
      </c>
      <c r="C4967" t="inlineStr">
        <is>
          <t>to your habit most of the time but if
it's ever raining outside you won't be</t>
        </is>
      </c>
      <c r="D4967">
        <f>HYPERLINK("https://www.youtube.com/watch?v=qDBV1GcCqvs&amp;t=77s", "Go to time")</f>
        <v/>
      </c>
    </row>
    <row r="4968">
      <c r="A4968">
        <f>HYPERLINK("https://www.youtube.com/watch?v=qDBV1GcCqvs", "Video")</f>
        <v/>
      </c>
      <c r="B4968" t="inlineStr">
        <is>
          <t>1:34</t>
        </is>
      </c>
      <c r="C4968" t="inlineStr">
        <is>
          <t>feeling for example the cue from my
habit of reading is eating whenever I</t>
        </is>
      </c>
      <c r="D4968">
        <f>HYPERLINK("https://www.youtube.com/watch?v=qDBV1GcCqvs&amp;t=94s", "Go to time")</f>
        <v/>
      </c>
    </row>
    <row r="4969">
      <c r="A4969">
        <f>HYPERLINK("https://www.youtube.com/watch?v=qDBV1GcCqvs", "Video")</f>
        <v/>
      </c>
      <c r="B4969" t="inlineStr">
        <is>
          <t>1:52</t>
        </is>
      </c>
      <c r="C4969" t="inlineStr">
        <is>
          <t>still have to eat other unavoidable cues
that you can consider for your own habit</t>
        </is>
      </c>
      <c r="D4969">
        <f>HYPERLINK("https://www.youtube.com/watch?v=qDBV1GcCqvs&amp;t=112s", "Go to time")</f>
        <v/>
      </c>
    </row>
    <row r="4970">
      <c r="A4970">
        <f>HYPERLINK("https://www.youtube.com/watch?v=qDBV1GcCqvs", "Video")</f>
        <v/>
      </c>
      <c r="B4970" t="inlineStr">
        <is>
          <t>2:17</t>
        </is>
      </c>
      <c r="C4970" t="inlineStr">
        <is>
          <t>your routine immediately let's say for
example the Keystone habit you've</t>
        </is>
      </c>
      <c r="D4970">
        <f>HYPERLINK("https://www.youtube.com/watch?v=qDBV1GcCqvs&amp;t=137s", "Go to time")</f>
        <v/>
      </c>
    </row>
    <row r="4971">
      <c r="A4971">
        <f>HYPERLINK("https://www.youtube.com/watch?v=qDBV1GcCqvs", "Video")</f>
        <v/>
      </c>
      <c r="B4971" t="inlineStr">
        <is>
          <t>2:45</t>
        </is>
      </c>
      <c r="C4971" t="inlineStr">
        <is>
          <t>for example if the Keystone habit you're
trying to build is fitness it's</t>
        </is>
      </c>
      <c r="D4971">
        <f>HYPERLINK("https://www.youtube.com/watch?v=qDBV1GcCqvs&amp;t=165s", "Go to time")</f>
        <v/>
      </c>
    </row>
    <row r="4972">
      <c r="A4972">
        <f>HYPERLINK("https://www.youtube.com/watch?v=qDBV1GcCqvs", "Video")</f>
        <v/>
      </c>
      <c r="B4972" t="inlineStr">
        <is>
          <t>3:20</t>
        </is>
      </c>
      <c r="C4972" t="inlineStr">
        <is>
          <t>building two habits at the same time and
because of this it can take you twice as</t>
        </is>
      </c>
      <c r="D4972">
        <f>HYPERLINK("https://www.youtube.com/watch?v=qDBV1GcCqvs&amp;t=200s", "Go to time")</f>
        <v/>
      </c>
    </row>
    <row r="4973">
      <c r="A4973">
        <f>HYPERLINK("https://www.youtube.com/watch?v=qDBV1GcCqvs", "Video")</f>
        <v/>
      </c>
      <c r="B4973" t="inlineStr">
        <is>
          <t>3:30</t>
        </is>
      </c>
      <c r="C4973" t="inlineStr">
        <is>
          <t>you no longer even have to think about
doing your habit all right so the next</t>
        </is>
      </c>
      <c r="D4973">
        <f>HYPERLINK("https://www.youtube.com/watch?v=qDBV1GcCqvs&amp;t=210s", "Go to time")</f>
        <v/>
      </c>
    </row>
    <row r="4974">
      <c r="A4974">
        <f>HYPERLINK("https://www.youtube.com/watch?v=qDBV1GcCqvs", "Video")</f>
        <v/>
      </c>
      <c r="B4974" t="inlineStr">
        <is>
          <t>3:41</t>
        </is>
      </c>
      <c r="C4974" t="inlineStr">
        <is>
          <t>start a new habit set their expectations
for their routine very very high they</t>
        </is>
      </c>
      <c r="D4974">
        <f>HYPERLINK("https://www.youtube.com/watch?v=qDBV1GcCqvs&amp;t=221s", "Go to time")</f>
        <v/>
      </c>
    </row>
    <row r="4975">
      <c r="A4975">
        <f>HYPERLINK("https://www.youtube.com/watch?v=qDBV1GcCqvs", "Video")</f>
        <v/>
      </c>
      <c r="B4975" t="inlineStr">
        <is>
          <t>4:29</t>
        </is>
      </c>
      <c r="C4975" t="inlineStr">
        <is>
          <t>these two facts about willpower the
first fact is that if your habit is</t>
        </is>
      </c>
      <c r="D4975">
        <f>HYPERLINK("https://www.youtube.com/watch?v=qDBV1GcCqvs&amp;t=269s", "Go to time")</f>
        <v/>
      </c>
    </row>
    <row r="4976">
      <c r="A4976">
        <f>HYPERLINK("https://www.youtube.com/watch?v=qDBV1GcCqvs", "Video")</f>
        <v/>
      </c>
      <c r="B4976" t="inlineStr">
        <is>
          <t>4:38</t>
        </is>
      </c>
      <c r="C4976" t="inlineStr">
        <is>
          <t>the closer your habit gets to the line
of automaticity the less willpower it</t>
        </is>
      </c>
      <c r="D4976">
        <f>HYPERLINK("https://www.youtube.com/watch?v=qDBV1GcCqvs&amp;t=278s", "Go to time")</f>
        <v/>
      </c>
    </row>
    <row r="4977">
      <c r="A4977">
        <f>HYPERLINK("https://www.youtube.com/watch?v=qDBV1GcCqvs", "Video")</f>
        <v/>
      </c>
      <c r="B4977" t="inlineStr">
        <is>
          <t>6:22</t>
        </is>
      </c>
      <c r="C4977" t="inlineStr">
        <is>
          <t>keystone habit of yours into something
you do automatically without any effort</t>
        </is>
      </c>
      <c r="D4977">
        <f>HYPERLINK("https://www.youtube.com/watch?v=qDBV1GcCqvs&amp;t=382s", "Go to time")</f>
        <v/>
      </c>
    </row>
    <row r="4978">
      <c r="A4978">
        <f>HYPERLINK("https://www.youtube.com/watch?v=qDBV1GcCqvs", "Video")</f>
        <v/>
      </c>
      <c r="B4978" t="inlineStr">
        <is>
          <t>6:46</t>
        </is>
      </c>
      <c r="C4978" t="inlineStr">
        <is>
          <t>getting our habits in the line of
automaticity is our number one goal but</t>
        </is>
      </c>
      <c r="D4978">
        <f>HYPERLINK("https://www.youtube.com/watch?v=qDBV1GcCqvs&amp;t=406s", "Go to time")</f>
        <v/>
      </c>
    </row>
    <row r="4979">
      <c r="A4979">
        <f>HYPERLINK("https://www.youtube.com/watch?v=qDBV1GcCqvs", "Video")</f>
        <v/>
      </c>
      <c r="B4979" t="inlineStr">
        <is>
          <t>6:50</t>
        </is>
      </c>
      <c r="C4979" t="inlineStr">
        <is>
          <t>reaping the benefits of these Keystone
habits is also important that's why if</t>
        </is>
      </c>
      <c r="D4979">
        <f>HYPERLINK("https://www.youtube.com/watch?v=qDBV1GcCqvs&amp;t=410s", "Go to time")</f>
        <v/>
      </c>
    </row>
    <row r="4980">
      <c r="A4980">
        <f>HYPERLINK("https://www.youtube.com/watch?v=qDBV1GcCqvs", "Video")</f>
        <v/>
      </c>
      <c r="B4980" t="inlineStr">
        <is>
          <t>6:55</t>
        </is>
      </c>
      <c r="C4980" t="inlineStr">
        <is>
          <t>you want to get the most out of your
keys don't habit you need to implement</t>
        </is>
      </c>
      <c r="D4980">
        <f>HYPERLINK("https://www.youtube.com/watch?v=qDBV1GcCqvs&amp;t=415s", "Go to time")</f>
        <v/>
      </c>
    </row>
    <row r="4981">
      <c r="A4981">
        <f>HYPERLINK("https://www.youtube.com/watch?v=qDBV1GcCqvs", "Video")</f>
        <v/>
      </c>
      <c r="B4981" t="inlineStr">
        <is>
          <t>7:03</t>
        </is>
      </c>
      <c r="C4981" t="inlineStr">
        <is>
          <t>the least amount of work you can do that
will still move your habit closer to the</t>
        </is>
      </c>
      <c r="D4981">
        <f>HYPERLINK("https://www.youtube.com/watch?v=qDBV1GcCqvs&amp;t=423s", "Go to time")</f>
        <v/>
      </c>
    </row>
    <row r="4982">
      <c r="A4982">
        <f>HYPERLINK("https://www.youtube.com/watch?v=qDBV1GcCqvs", "Video")</f>
        <v/>
      </c>
      <c r="B4982" t="inlineStr">
        <is>
          <t>7:17</t>
        </is>
      </c>
      <c r="C4982" t="inlineStr">
        <is>
          <t>say that you're trying to make
meditation into a habit the low bar for</t>
        </is>
      </c>
      <c r="D4982">
        <f>HYPERLINK("https://www.youtube.com/watch?v=qDBV1GcCqvs&amp;t=437s", "Go to time")</f>
        <v/>
      </c>
    </row>
    <row r="4983">
      <c r="A4983">
        <f>HYPERLINK("https://www.youtube.com/watch?v=qDBV1GcCqvs", "Video")</f>
        <v/>
      </c>
      <c r="B4983" t="inlineStr">
        <is>
          <t>7:49</t>
        </is>
      </c>
      <c r="C4983" t="inlineStr">
        <is>
          <t>benefits of your habits it is the most
amount of work you allow yourself to do</t>
        </is>
      </c>
      <c r="D4983">
        <f>HYPERLINK("https://www.youtube.com/watch?v=qDBV1GcCqvs&amp;t=469s", "Go to time")</f>
        <v/>
      </c>
    </row>
    <row r="4984">
      <c r="A4984">
        <f>HYPERLINK("https://www.youtube.com/watch?v=qDBV1GcCqvs", "Video")</f>
        <v/>
      </c>
      <c r="B4984" t="inlineStr">
        <is>
          <t>7:54</t>
        </is>
      </c>
      <c r="C4984" t="inlineStr">
        <is>
          <t>so let's take the previous example of
our meditation habit the high bar for</t>
        </is>
      </c>
      <c r="D4984">
        <f>HYPERLINK("https://www.youtube.com/watch?v=qDBV1GcCqvs&amp;t=474s", "Go to time")</f>
        <v/>
      </c>
    </row>
    <row r="4985">
      <c r="A4985">
        <f>HYPERLINK("https://www.youtube.com/watch?v=qDBV1GcCqvs", "Video")</f>
        <v/>
      </c>
      <c r="B4985" t="inlineStr">
        <is>
          <t>8:46</t>
        </is>
      </c>
      <c r="C4985" t="inlineStr">
        <is>
          <t>especially in the beginning
of our habit building journey so by</t>
        </is>
      </c>
      <c r="D4985">
        <f>HYPERLINK("https://www.youtube.com/watch?v=qDBV1GcCqvs&amp;t=526s", "Go to time")</f>
        <v/>
      </c>
    </row>
    <row r="4986">
      <c r="A4986">
        <f>HYPERLINK("https://www.youtube.com/watch?v=qDBV1GcCqvs", "Video")</f>
        <v/>
      </c>
      <c r="B4986" t="inlineStr">
        <is>
          <t>9:37</t>
        </is>
      </c>
      <c r="C4986" t="inlineStr">
        <is>
          <t>out a bit longer my maximum for working
out is an hour and a half so let's try</t>
        </is>
      </c>
      <c r="D4986">
        <f>HYPERLINK("https://www.youtube.com/watch?v=qDBV1GcCqvs&amp;t=577s", "Go to time")</f>
        <v/>
      </c>
    </row>
    <row r="4987">
      <c r="A4987">
        <f>HYPERLINK("https://www.youtube.com/watch?v=qDBV1GcCqvs", "Video")</f>
        <v/>
      </c>
      <c r="B4987" t="inlineStr">
        <is>
          <t>10:01</t>
        </is>
      </c>
      <c r="C4987" t="inlineStr">
        <is>
          <t>the end of your habit loop otherwise
your brain has no reason to record this</t>
        </is>
      </c>
      <c r="D4987">
        <f>HYPERLINK("https://www.youtube.com/watch?v=qDBV1GcCqvs&amp;t=601s", "Go to time")</f>
        <v/>
      </c>
    </row>
    <row r="4988">
      <c r="A4988">
        <f>HYPERLINK("https://www.youtube.com/watch?v=qDBV1GcCqvs", "Video")</f>
        <v/>
      </c>
      <c r="B4988" t="inlineStr">
        <is>
          <t>10:18</t>
        </is>
      </c>
      <c r="C4988" t="inlineStr">
        <is>
          <t>the routine let's say for example that
you're trying to build a habit of</t>
        </is>
      </c>
      <c r="D4988">
        <f>HYPERLINK("https://www.youtube.com/watch?v=qDBV1GcCqvs&amp;t=618s", "Go to time")</f>
        <v/>
      </c>
    </row>
    <row r="4989">
      <c r="A4989">
        <f>HYPERLINK("https://www.youtube.com/watch?v=qDBV1GcCqvs", "Video")</f>
        <v/>
      </c>
      <c r="B4989" t="inlineStr">
        <is>
          <t>10:29</t>
        </is>
      </c>
      <c r="C4989" t="inlineStr">
        <is>
          <t>part of your brain that's responsible
for building habits will not associate</t>
        </is>
      </c>
      <c r="D4989">
        <f>HYPERLINK("https://www.youtube.com/watch?v=qDBV1GcCqvs&amp;t=629s", "Go to time")</f>
        <v/>
      </c>
    </row>
    <row r="4990">
      <c r="A4990">
        <f>HYPERLINK("https://www.youtube.com/watch?v=qDBV1GcCqvs", "Video")</f>
        <v/>
      </c>
      <c r="B4990" t="inlineStr">
        <is>
          <t>10:37</t>
        </is>
      </c>
      <c r="C4990" t="inlineStr">
        <is>
          <t>immediate reward when I was building my
habit of working out I would treat</t>
        </is>
      </c>
      <c r="D4990">
        <f>HYPERLINK("https://www.youtube.com/watch?v=qDBV1GcCqvs&amp;t=637s", "Go to time")</f>
        <v/>
      </c>
    </row>
    <row r="4991">
      <c r="A4991">
        <f>HYPERLINK("https://www.youtube.com/watch?v=qDBV1GcCqvs", "Video")</f>
        <v/>
      </c>
      <c r="B4991" t="inlineStr">
        <is>
          <t>11:01</t>
        </is>
      </c>
      <c r="C4991" t="inlineStr">
        <is>
          <t>while building my habit of working out I
started to catch myself thinking about</t>
        </is>
      </c>
      <c r="D4991">
        <f>HYPERLINK("https://www.youtube.com/watch?v=qDBV1GcCqvs&amp;t=661s", "Go to time")</f>
        <v/>
      </c>
    </row>
    <row r="4992">
      <c r="A4992">
        <f>HYPERLINK("https://www.youtube.com/watch?v=qDBV1GcCqvs", "Video")</f>
        <v/>
      </c>
      <c r="B4992" t="inlineStr">
        <is>
          <t>11:19</t>
        </is>
      </c>
      <c r="C4992" t="inlineStr">
        <is>
          <t>has to be pleasurable let's say that
you're trying to build a habit of</t>
        </is>
      </c>
      <c r="D4992">
        <f>HYPERLINK("https://www.youtube.com/watch?v=qDBV1GcCqvs&amp;t=679s", "Go to time")</f>
        <v/>
      </c>
    </row>
    <row r="4993">
      <c r="A4993">
        <f>HYPERLINK("https://www.youtube.com/watch?v=qDBV1GcCqvs", "Video")</f>
        <v/>
      </c>
      <c r="B4993" t="inlineStr">
        <is>
          <t>11:22</t>
        </is>
      </c>
      <c r="C4993" t="inlineStr">
        <is>
          <t>reading books every day and the reward
you assigned for this habit is quote</t>
        </is>
      </c>
      <c r="D4993">
        <f>HYPERLINK("https://www.youtube.com/watch?v=qDBV1GcCqvs&amp;t=682s", "Go to time")</f>
        <v/>
      </c>
    </row>
    <row r="4994">
      <c r="A4994">
        <f>HYPERLINK("https://www.youtube.com/watch?v=qDBV1GcCqvs", "Video")</f>
        <v/>
      </c>
      <c r="B4994" t="inlineStr">
        <is>
          <t>11:46</t>
        </is>
      </c>
      <c r="C4994" t="inlineStr">
        <is>
          <t>job but if you want to have the most
success in building your habits if you</t>
        </is>
      </c>
      <c r="D4994">
        <f>HYPERLINK("https://www.youtube.com/watch?v=qDBV1GcCqvs&amp;t=706s", "Go to time")</f>
        <v/>
      </c>
    </row>
    <row r="4995">
      <c r="A4995">
        <f>HYPERLINK("https://www.youtube.com/watch?v=qDBV1GcCqvs", "Video")</f>
        <v/>
      </c>
      <c r="B4995" t="inlineStr">
        <is>
          <t>11:50</t>
        </is>
      </c>
      <c r="C4995" t="inlineStr">
        <is>
          <t>want your habits to feel exciting it's
best to stick to what I like to call</t>
        </is>
      </c>
      <c r="D4995">
        <f>HYPERLINK("https://www.youtube.com/watch?v=qDBV1GcCqvs&amp;t=710s", "Go to time")</f>
        <v/>
      </c>
    </row>
    <row r="4996">
      <c r="A4996">
        <f>HYPERLINK("https://www.youtube.com/watch?v=qDBV1GcCqvs", "Video")</f>
        <v/>
      </c>
      <c r="B4996" t="inlineStr">
        <is>
          <t>13:57</t>
        </is>
      </c>
      <c r="C4996" t="inlineStr">
        <is>
          <t>you reach that line of automaticity for
this habit I'll include an example in</t>
        </is>
      </c>
      <c r="D4996">
        <f>HYPERLINK("https://www.youtube.com/watch?v=qDBV1GcCqvs&amp;t=837s", "Go to time")</f>
        <v/>
      </c>
    </row>
    <row r="4997">
      <c r="A4997">
        <f>HYPERLINK("https://www.youtube.com/watch?v=qDBV1GcCqvs", "Video")</f>
        <v/>
      </c>
      <c r="B4997" t="inlineStr">
        <is>
          <t>14:17</t>
        </is>
      </c>
      <c r="C4997" t="inlineStr">
        <is>
          <t>habits we'll be discussing what it is
and how it works in our next lesson the</t>
        </is>
      </c>
      <c r="D4997">
        <f>HYPERLINK("https://www.youtube.com/watch?v=qDBV1GcCqvs&amp;t=857s", "Go to time")</f>
        <v/>
      </c>
    </row>
    <row r="4998">
      <c r="A4998">
        <f>HYPERLINK("https://www.youtube.com/watch?v=qDBV1GcCqvs", "Video")</f>
        <v/>
      </c>
      <c r="B4998" t="inlineStr">
        <is>
          <t>14:46</t>
        </is>
      </c>
      <c r="C4998" t="inlineStr">
        <is>
          <t>receive and for all of you that are
starting your habits today I wish you</t>
        </is>
      </c>
      <c r="D4998">
        <f>HYPERLINK("https://www.youtube.com/watch?v=qDBV1GcCqvs&amp;t=886s", "Go to time")</f>
        <v/>
      </c>
    </row>
    <row r="4999">
      <c r="A4999">
        <f>HYPERLINK("https://www.youtube.com/watch?v=URP5rav1e3Y", "Video")</f>
        <v/>
      </c>
      <c r="B4999" t="inlineStr">
        <is>
          <t>2:19</t>
        </is>
      </c>
      <c r="C4999" t="inlineStr">
        <is>
          <t>annoying” which if you do enough of – will
actually cause people to feel a bit annoyed.</t>
        </is>
      </c>
      <c r="D4999">
        <f>HYPERLINK("https://www.youtube.com/watch?v=URP5rav1e3Y&amp;t=139s", "Go to time")</f>
        <v/>
      </c>
    </row>
    <row r="5000">
      <c r="A5000">
        <f>HYPERLINK("https://www.youtube.com/watch?v=c0qqcfXb45g", "Video")</f>
        <v/>
      </c>
      <c r="B5000" t="inlineStr">
        <is>
          <t>2:47</t>
        </is>
      </c>
      <c r="C5000" t="inlineStr">
        <is>
          <t>to sit down and play on my phone for a
bit and i started snacking on my fourth</t>
        </is>
      </c>
      <c r="D5000">
        <f>HYPERLINK("https://www.youtube.com/watch?v=c0qqcfXb45g&amp;t=167s", "Go to time")</f>
        <v/>
      </c>
    </row>
    <row r="5001">
      <c r="A5001">
        <f>HYPERLINK("https://www.youtube.com/watch?v=c0qqcfXb45g", "Video")</f>
        <v/>
      </c>
      <c r="B5001" t="inlineStr">
        <is>
          <t>3:20</t>
        </is>
      </c>
      <c r="C5001" t="inlineStr">
        <is>
          <t>feeling a bit weird
something was going on in my stomach and</t>
        </is>
      </c>
      <c r="D5001">
        <f>HYPERLINK("https://www.youtube.com/watch?v=c0qqcfXb45g&amp;t=200s", "Go to time")</f>
        <v/>
      </c>
    </row>
    <row r="5002">
      <c r="A5002">
        <f>HYPERLINK("https://www.youtube.com/watch?v=c0qqcfXb45g", "Video")</f>
        <v/>
      </c>
      <c r="B5002" t="inlineStr">
        <is>
          <t>8:07</t>
        </is>
      </c>
      <c r="C5002" t="inlineStr">
        <is>
          <t>and instantly the feeling went away i
thought this was a little bit strange</t>
        </is>
      </c>
      <c r="D5002">
        <f>HYPERLINK("https://www.youtube.com/watch?v=c0qqcfXb45g&amp;t=487s", "Go to time")</f>
        <v/>
      </c>
    </row>
    <row r="5003">
      <c r="A5003">
        <f>HYPERLINK("https://www.youtube.com/watch?v=wiZJbQFl5Ko", "Video")</f>
        <v/>
      </c>
      <c r="B5003" t="inlineStr">
        <is>
          <t>2:48</t>
        </is>
      </c>
      <c r="C5003" t="inlineStr">
        <is>
          <t>place your books and devices around you
spread them out a little bit more than</t>
        </is>
      </c>
      <c r="D5003">
        <f>HYPERLINK("https://www.youtube.com/watch?v=wiZJbQFl5Ko&amp;t=168s", "Go to time")</f>
        <v/>
      </c>
    </row>
    <row r="5004">
      <c r="A5004">
        <f>HYPERLINK("https://www.youtube.com/watch?v=n6kuygjTJxo", "Video")</f>
        <v/>
      </c>
      <c r="B5004" t="inlineStr">
        <is>
          <t>3:28</t>
        </is>
      </c>
      <c r="C5004" t="inlineStr">
        <is>
          <t>and maybe even years because toxic thinking is 
habitual so be patient and whenever they start</t>
        </is>
      </c>
      <c r="D5004">
        <f>HYPERLINK("https://www.youtube.com/watch?v=n6kuygjTJxo&amp;t=208s", "Go to time")</f>
        <v/>
      </c>
    </row>
    <row r="5005">
      <c r="A5005">
        <f>HYPERLINK("https://www.youtube.com/watch?v=P5sWBEs06Lw", "Video")</f>
        <v/>
      </c>
      <c r="B5005" t="inlineStr">
        <is>
          <t>0:03</t>
        </is>
      </c>
      <c r="C5005" t="inlineStr">
        <is>
          <t>In our previous lessons - We learned about
how habits and willpower work but today we're</t>
        </is>
      </c>
      <c r="D5005">
        <f>HYPERLINK("https://www.youtube.com/watch?v=P5sWBEs06Lw&amp;t=3s", "Go to time")</f>
        <v/>
      </c>
    </row>
    <row r="5006">
      <c r="A5006">
        <f>HYPERLINK("https://www.youtube.com/watch?v=P5sWBEs06Lw", "Video")</f>
        <v/>
      </c>
      <c r="B5006" t="inlineStr">
        <is>
          <t>0:13</t>
        </is>
      </c>
      <c r="C5006" t="inlineStr">
        <is>
          <t>You might be able to build a couple of good
habits, you might be able to increase your</t>
        </is>
      </c>
      <c r="D5006">
        <f>HYPERLINK("https://www.youtube.com/watch?v=P5sWBEs06Lw&amp;t=13s", "Go to time")</f>
        <v/>
      </c>
    </row>
    <row r="5007">
      <c r="A5007">
        <f>HYPERLINK("https://www.youtube.com/watch?v=P5sWBEs06Lw", "Video")</f>
        <v/>
      </c>
      <c r="B5007" t="inlineStr">
        <is>
          <t>1:02</t>
        </is>
      </c>
      <c r="C5007" t="inlineStr">
        <is>
          <t>A good way to combat this by setting up habits
with consistent rewards.</t>
        </is>
      </c>
      <c r="D5007">
        <f>HYPERLINK("https://www.youtube.com/watch?v=P5sWBEs06Lw&amp;t=62s", "Go to time")</f>
        <v/>
      </c>
    </row>
    <row r="5008">
      <c r="A5008">
        <f>HYPERLINK("https://www.youtube.com/watch?v=P5sWBEs06Lw", "Video")</f>
        <v/>
      </c>
      <c r="B5008" t="inlineStr">
        <is>
          <t>1:15</t>
        </is>
      </c>
      <c r="C5008" t="inlineStr">
        <is>
          <t>Forget about trying to build good new habits
forget about overcoming your addictions - Without</t>
        </is>
      </c>
      <c r="D5008">
        <f>HYPERLINK("https://www.youtube.com/watch?v=P5sWBEs06Lw&amp;t=75s", "Go to time")</f>
        <v/>
      </c>
    </row>
    <row r="5009">
      <c r="A5009">
        <f>HYPERLINK("https://www.youtube.com/watch?v=P5sWBEs06Lw", "Video")</f>
        <v/>
      </c>
      <c r="B5009" t="inlineStr">
        <is>
          <t>3:28</t>
        </is>
      </c>
      <c r="C5009" t="inlineStr">
        <is>
          <t>habits that can fulfill this need.</t>
        </is>
      </c>
      <c r="D5009">
        <f>HYPERLINK("https://www.youtube.com/watch?v=P5sWBEs06Lw&amp;t=208s", "Go to time")</f>
        <v/>
      </c>
    </row>
    <row r="5010">
      <c r="A5010">
        <f>HYPERLINK("https://www.youtube.com/watch?v=P5sWBEs06Lw", "Video")</f>
        <v/>
      </c>
      <c r="B5010" t="inlineStr">
        <is>
          <t>5:02</t>
        </is>
      </c>
      <c r="C5010" t="inlineStr">
        <is>
          <t>Because building good new habits and working
on ourselves can fulfill this need.</t>
        </is>
      </c>
      <c r="D5010">
        <f>HYPERLINK("https://www.youtube.com/watch?v=P5sWBEs06Lw&amp;t=302s", "Go to time")</f>
        <v/>
      </c>
    </row>
    <row r="5011">
      <c r="A5011">
        <f>HYPERLINK("https://www.youtube.com/watch?v=P5sWBEs06Lw", "Video")</f>
        <v/>
      </c>
      <c r="B5011" t="inlineStr">
        <is>
          <t>6:15</t>
        </is>
      </c>
      <c r="C5011" t="inlineStr">
        <is>
          <t>We do this by using our knowledge of willpower
and habits to building a single keystone habit.</t>
        </is>
      </c>
      <c r="D5011">
        <f>HYPERLINK("https://www.youtube.com/watch?v=P5sWBEs06Lw&amp;t=375s", "Go to time")</f>
        <v/>
      </c>
    </row>
    <row r="5012">
      <c r="A5012">
        <f>HYPERLINK("https://www.youtube.com/watch?v=P5sWBEs06Lw", "Video")</f>
        <v/>
      </c>
      <c r="B5012" t="inlineStr">
        <is>
          <t>6:20</t>
        </is>
      </c>
      <c r="C5012" t="inlineStr">
        <is>
          <t>This keystone habit will make us stronger
and allow us to build other good habits down</t>
        </is>
      </c>
      <c r="D5012">
        <f>HYPERLINK("https://www.youtube.com/watch?v=P5sWBEs06Lw&amp;t=380s", "Go to time")</f>
        <v/>
      </c>
    </row>
    <row r="5013">
      <c r="A5013">
        <f>HYPERLINK("https://www.youtube.com/watch?v=P5sWBEs06Lw", "Video")</f>
        <v/>
      </c>
      <c r="B5013" t="inlineStr">
        <is>
          <t>6:25</t>
        </is>
      </c>
      <c r="C5013" t="inlineStr">
        <is>
          <t>So continue to focus on building your keystone
habits.</t>
        </is>
      </c>
      <c r="D5013">
        <f>HYPERLINK("https://www.youtube.com/watch?v=P5sWBEs06Lw&amp;t=385s", "Go to time")</f>
        <v/>
      </c>
    </row>
    <row r="5014">
      <c r="A5014">
        <f>HYPERLINK("https://www.youtube.com/watch?v=HYQQhPnYsOw", "Video")</f>
        <v/>
      </c>
      <c r="B5014" t="inlineStr">
        <is>
          <t>4:39</t>
        </is>
      </c>
      <c r="C5014" t="inlineStr">
        <is>
          <t>that many people do this out of habit</t>
        </is>
      </c>
      <c r="D5014">
        <f>HYPERLINK("https://www.youtube.com/watch?v=HYQQhPnYsOw&amp;t=279s", "Go to time")</f>
        <v/>
      </c>
    </row>
    <row r="5015">
      <c r="A5015">
        <f>HYPERLINK("https://www.youtube.com/watch?v=HYQQhPnYsOw", "Video")</f>
        <v/>
      </c>
      <c r="B5015" t="inlineStr">
        <is>
          <t>7:49</t>
        </is>
      </c>
      <c r="C5015" t="inlineStr">
        <is>
          <t>others have a habit of doing this to</t>
        </is>
      </c>
      <c r="D5015">
        <f>HYPERLINK("https://www.youtube.com/watch?v=HYQQhPnYsOw&amp;t=469s", "Go to time")</f>
        <v/>
      </c>
    </row>
    <row r="5016">
      <c r="A5016">
        <f>HYPERLINK("https://www.youtube.com/watch?v=cEa3zJRAOjY", "Video")</f>
        <v/>
      </c>
      <c r="B5016" t="inlineStr">
        <is>
          <t>3:26</t>
        </is>
      </c>
      <c r="C5016" t="inlineStr">
        <is>
          <t>right bit of research because the most</t>
        </is>
      </c>
      <c r="D5016">
        <f>HYPERLINK("https://www.youtube.com/watch?v=cEa3zJRAOjY&amp;t=206s", "Go to time")</f>
        <v/>
      </c>
    </row>
    <row r="5017">
      <c r="A5017">
        <f>HYPERLINK("https://www.youtube.com/watch?v=efHXX0n5iCk", "Video")</f>
        <v/>
      </c>
      <c r="B5017" t="inlineStr">
        <is>
          <t>10:06</t>
        </is>
      </c>
      <c r="C5017" t="inlineStr">
        <is>
          <t>every single day nothing too crazy you
can jog a little bit on a treadmill you</t>
        </is>
      </c>
      <c r="D5017">
        <f>HYPERLINK("https://www.youtube.com/watch?v=efHXX0n5iCk&amp;t=606s", "Go to time")</f>
        <v/>
      </c>
    </row>
    <row r="5018">
      <c r="A5018">
        <f>HYPERLINK("https://www.youtube.com/watch?v=1F4SLF97yuk", "Video")</f>
        <v/>
      </c>
      <c r="B5018" t="inlineStr">
        <is>
          <t>2:17</t>
        </is>
      </c>
      <c r="C5018" t="inlineStr">
        <is>
          <t>towards achieving your Ambitions but</t>
        </is>
      </c>
      <c r="D5018">
        <f>HYPERLINK("https://www.youtube.com/watch?v=1F4SLF97yuk&amp;t=137s", "Go to time")</f>
        <v/>
      </c>
    </row>
    <row r="5019">
      <c r="A5019">
        <f>HYPERLINK("https://www.youtube.com/watch?v=1F4SLF97yuk", "Video")</f>
        <v/>
      </c>
      <c r="B5019" t="inlineStr">
        <is>
          <t>2:55</t>
        </is>
      </c>
      <c r="C5019" t="inlineStr">
        <is>
          <t>ambition in life is to inspire and</t>
        </is>
      </c>
      <c r="D5019">
        <f>HYPERLINK("https://www.youtube.com/watch?v=1F4SLF97yuk&amp;t=175s", "Go to time")</f>
        <v/>
      </c>
    </row>
    <row r="5020">
      <c r="A5020">
        <f>HYPERLINK("https://www.youtube.com/watch?v=1F4SLF97yuk", "Video")</f>
        <v/>
      </c>
      <c r="B5020" t="inlineStr">
        <is>
          <t>4:25</t>
        </is>
      </c>
      <c r="C5020" t="inlineStr">
        <is>
          <t>having Grand Ambitions are indeed</t>
        </is>
      </c>
      <c r="D5020">
        <f>HYPERLINK("https://www.youtube.com/watch?v=1F4SLF97yuk&amp;t=265s", "Go to time")</f>
        <v/>
      </c>
    </row>
    <row r="5021">
      <c r="A5021">
        <f>HYPERLINK("https://www.youtube.com/watch?v=1F4SLF97yuk", "Video")</f>
        <v/>
      </c>
      <c r="B5021" t="inlineStr">
        <is>
          <t>5:00</t>
        </is>
      </c>
      <c r="C5021" t="inlineStr">
        <is>
          <t>bite-sized interactive sessions ranging</t>
        </is>
      </c>
      <c r="D5021">
        <f>HYPERLINK("https://www.youtube.com/watch?v=1F4SLF97yuk&amp;t=300s", "Go to time")</f>
        <v/>
      </c>
    </row>
    <row r="5022">
      <c r="A5022">
        <f>HYPERLINK("https://www.youtube.com/watch?v=zZZEEZQroGM", "Video")</f>
        <v/>
      </c>
      <c r="B5022" t="inlineStr">
        <is>
          <t>0:34</t>
        </is>
      </c>
      <c r="C5022" t="inlineStr">
        <is>
          <t>everyone's a little bit different</t>
        </is>
      </c>
      <c r="D5022">
        <f>HYPERLINK("https://www.youtube.com/watch?v=zZZEEZQroGM&amp;t=34s", "Go to time")</f>
        <v/>
      </c>
    </row>
    <row r="5023">
      <c r="A5023">
        <f>HYPERLINK("https://www.youtube.com/watch?v=yB9jxp0u2Hk", "Video")</f>
        <v/>
      </c>
      <c r="B5023" t="inlineStr">
        <is>
          <t>0:45</t>
        </is>
      </c>
      <c r="C5023" t="inlineStr">
        <is>
          <t>This same thing can be applied to all your
dreams and ambitions in life.</t>
        </is>
      </c>
      <c r="D5023">
        <f>HYPERLINK("https://www.youtube.com/watch?v=yB9jxp0u2Hk&amp;t=45s", "Go to time")</f>
        <v/>
      </c>
    </row>
    <row r="5024">
      <c r="A5024">
        <f>HYPERLINK("https://www.youtube.com/watch?v=yB9jxp0u2Hk", "Video")</f>
        <v/>
      </c>
      <c r="B5024" t="inlineStr">
        <is>
          <t>6:52</t>
        </is>
      </c>
      <c r="C5024" t="inlineStr">
        <is>
          <t>We'll tell ourselves that we're going to build
all these new habits and do all these great</t>
        </is>
      </c>
      <c r="D5024">
        <f>HYPERLINK("https://www.youtube.com/watch?v=yB9jxp0u2Hk&amp;t=412s", "Go to time")</f>
        <v/>
      </c>
    </row>
    <row r="5025">
      <c r="A5025">
        <f>HYPERLINK("https://www.youtube.com/watch?v=lCL5HF0Ewyg", "Video")</f>
        <v/>
      </c>
      <c r="B5025" t="inlineStr">
        <is>
          <t>16:00</t>
        </is>
      </c>
      <c r="C5025" t="inlineStr">
        <is>
          <t>decision in just a little bit hollywood</t>
        </is>
      </c>
      <c r="D5025">
        <f>HYPERLINK("https://www.youtube.com/watch?v=lCL5HF0Ewyg&amp;t=960s", "Go to time")</f>
        <v/>
      </c>
    </row>
    <row r="5026">
      <c r="A5026">
        <f>HYPERLINK("https://www.youtube.com/watch?v=0A2gix_qEC4", "Video")</f>
        <v/>
      </c>
      <c r="B5026" t="inlineStr">
        <is>
          <t>13:47</t>
        </is>
      </c>
      <c r="C5026" t="inlineStr">
        <is>
          <t>a bit outside he tried to corner and</t>
        </is>
      </c>
      <c r="D5026">
        <f>HYPERLINK("https://www.youtube.com/watch?v=0A2gix_qEC4&amp;t=827s", "Go to time")</f>
        <v/>
      </c>
    </row>
    <row r="5027">
      <c r="A5027">
        <f>HYPERLINK("https://www.youtube.com/watch?v=0A2gix_qEC4", "Video")</f>
        <v/>
      </c>
      <c r="B5027" t="inlineStr">
        <is>
          <t>15:33</t>
        </is>
      </c>
      <c r="C5027" t="inlineStr">
        <is>
          <t>referenced during broadcast just a bit</t>
        </is>
      </c>
      <c r="D5027">
        <f>HYPERLINK("https://www.youtube.com/watch?v=0A2gix_qEC4&amp;t=933s", "Go to time")</f>
        <v/>
      </c>
    </row>
    <row r="5028">
      <c r="A5028">
        <f>HYPERLINK("https://www.youtube.com/watch?v=0A2gix_qEC4", "Video")</f>
        <v/>
      </c>
      <c r="B5028" t="inlineStr">
        <is>
          <t>21:53</t>
        </is>
      </c>
      <c r="C5028" t="inlineStr">
        <is>
          <t>bit of sand</t>
        </is>
      </c>
      <c r="D5028">
        <f>HYPERLINK("https://www.youtube.com/watch?v=0A2gix_qEC4&amp;t=1313s", "Go to time")</f>
        <v/>
      </c>
    </row>
    <row r="5029">
      <c r="A5029">
        <f>HYPERLINK("https://www.youtube.com/watch?v=T5XrCLk2r8Q", "Video")</f>
        <v/>
      </c>
      <c r="B5029" t="inlineStr">
        <is>
          <t>5:07</t>
        </is>
      </c>
      <c r="C5029" t="inlineStr">
        <is>
          <t>bit where is it oh it's</t>
        </is>
      </c>
      <c r="D5029">
        <f>HYPERLINK("https://www.youtube.com/watch?v=T5XrCLk2r8Q&amp;t=307s", "Go to time")</f>
        <v/>
      </c>
    </row>
    <row r="5030">
      <c r="A5030">
        <f>HYPERLINK("https://www.youtube.com/watch?v=W6fteqHGjpU", "Video")</f>
        <v/>
      </c>
      <c r="B5030" t="inlineStr">
        <is>
          <t>0:19</t>
        </is>
      </c>
      <c r="C5030" t="inlineStr">
        <is>
          <t>buck-toothed Jessica Rabbit looking</t>
        </is>
      </c>
      <c r="D5030">
        <f>HYPERLINK("https://www.youtube.com/watch?v=W6fteqHGjpU&amp;t=19s", "Go to time")</f>
        <v/>
      </c>
    </row>
    <row r="5031">
      <c r="A5031">
        <f>HYPERLINK("https://www.youtube.com/watch?v=lCVHlbX5y78", "Video")</f>
        <v/>
      </c>
      <c r="B5031" t="inlineStr">
        <is>
          <t>2:33</t>
        </is>
      </c>
      <c r="C5031" t="inlineStr">
        <is>
          <t>bit of ass I've been inching and kill</t>
        </is>
      </c>
      <c r="D5031">
        <f>HYPERLINK("https://www.youtube.com/watch?v=lCVHlbX5y78&amp;t=153s", "Go to time")</f>
        <v/>
      </c>
    </row>
    <row r="5032">
      <c r="A5032">
        <f>HYPERLINK("https://www.youtube.com/watch?v=pGZ57s_eaFA", "Video")</f>
        <v/>
      </c>
      <c r="B5032" t="inlineStr">
        <is>
          <t>0:25</t>
        </is>
      </c>
      <c r="C5032" t="inlineStr">
        <is>
          <t>some some guy from this rabbit's warn</t>
        </is>
      </c>
      <c r="D5032">
        <f>HYPERLINK("https://www.youtube.com/watch?v=pGZ57s_eaFA&amp;t=25s", "Go to time")</f>
        <v/>
      </c>
    </row>
    <row r="5033">
      <c r="A5033">
        <f>HYPERLINK("https://www.youtube.com/watch?v=hyvHNllToBI", "Video")</f>
        <v/>
      </c>
      <c r="B5033" t="inlineStr">
        <is>
          <t>4:54</t>
        </is>
      </c>
      <c r="C5033" t="inlineStr">
        <is>
          <t>quenny but we're in a bit of a hurry</t>
        </is>
      </c>
      <c r="D5033">
        <f>HYPERLINK("https://www.youtube.com/watch?v=hyvHNllToBI&amp;t=294s", "Go to time")</f>
        <v/>
      </c>
    </row>
    <row r="5034">
      <c r="A5034">
        <f>HYPERLINK("https://www.youtube.com/watch?v=RZt1Iu3gh3I", "Video")</f>
        <v/>
      </c>
      <c r="B5034" t="inlineStr">
        <is>
          <t>16:03</t>
        </is>
      </c>
      <c r="C5034" t="inlineStr">
        <is>
          <t>the past will come back to bite you in</t>
        </is>
      </c>
      <c r="D5034">
        <f>HYPERLINK("https://www.youtube.com/watch?v=RZt1Iu3gh3I&amp;t=963s", "Go to time")</f>
        <v/>
      </c>
    </row>
    <row r="5035">
      <c r="A5035">
        <f>HYPERLINK("https://www.youtube.com/watch?v=k3Cp92Fon3I", "Video")</f>
        <v/>
      </c>
      <c r="B5035" t="inlineStr">
        <is>
          <t>13:48</t>
        </is>
      </c>
      <c r="C5035" t="inlineStr">
        <is>
          <t>they're biting off you but it is a</t>
        </is>
      </c>
      <c r="D5035">
        <f>HYPERLINK("https://www.youtube.com/watch?v=k3Cp92Fon3I&amp;t=828s", "Go to time")</f>
        <v/>
      </c>
    </row>
    <row r="5036">
      <c r="A5036">
        <f>HYPERLINK("https://www.youtube.com/watch?v=k3Cp92Fon3I", "Video")</f>
        <v/>
      </c>
      <c r="B5036" t="inlineStr">
        <is>
          <t>13:50</t>
        </is>
      </c>
      <c r="C5036" t="inlineStr">
        <is>
          <t>little bit like so like the biting your</t>
        </is>
      </c>
      <c r="D5036">
        <f>HYPERLINK("https://www.youtube.com/watch?v=k3Cp92Fon3I&amp;t=830s", "Go to time")</f>
        <v/>
      </c>
    </row>
    <row r="5037">
      <c r="A5037">
        <f>HYPERLINK("https://www.youtube.com/watch?v=k3Cp92Fon3I", "Video")</f>
        <v/>
      </c>
      <c r="B5037" t="inlineStr">
        <is>
          <t>13:52</t>
        </is>
      </c>
      <c r="C5037" t="inlineStr">
        <is>
          <t>flow a little bit I I'll put it that way</t>
        </is>
      </c>
      <c r="D5037">
        <f>HYPERLINK("https://www.youtube.com/watch?v=k3Cp92Fon3I&amp;t=832s", "Go to time")</f>
        <v/>
      </c>
    </row>
    <row r="5038">
      <c r="A5038">
        <f>HYPERLINK("https://www.youtube.com/watch?v=k3Cp92Fon3I", "Video")</f>
        <v/>
      </c>
      <c r="B5038" t="inlineStr">
        <is>
          <t>15:26</t>
        </is>
      </c>
      <c r="C5038" t="inlineStr">
        <is>
          <t>the Art Exhibit at the LA costume and</t>
        </is>
      </c>
      <c r="D5038">
        <f>HYPERLINK("https://www.youtube.com/watch?v=k3Cp92Fon3I&amp;t=926s", "Go to time")</f>
        <v/>
      </c>
    </row>
    <row r="5039">
      <c r="A5039">
        <f>HYPERLINK("https://www.youtube.com/watch?v=k3Cp92Fon3I", "Video")</f>
        <v/>
      </c>
      <c r="B5039" t="inlineStr">
        <is>
          <t>15:31</t>
        </is>
      </c>
      <c r="C5039" t="inlineStr">
        <is>
          <t>one of the greatest exhibits I've ever</t>
        </is>
      </c>
      <c r="D5039">
        <f>HYPERLINK("https://www.youtube.com/watch?v=k3Cp92Fon3I&amp;t=931s", "Go to time")</f>
        <v/>
      </c>
    </row>
    <row r="5040">
      <c r="A5040">
        <f>HYPERLINK("https://www.youtube.com/watch?v=k3Cp92Fon3I", "Video")</f>
        <v/>
      </c>
      <c r="B5040" t="inlineStr">
        <is>
          <t>16:38</t>
        </is>
      </c>
      <c r="C5040" t="inlineStr">
        <is>
          <t>broke it all down into bits and and</t>
        </is>
      </c>
      <c r="D5040">
        <f>HYPERLINK("https://www.youtube.com/watch?v=k3Cp92Fon3I&amp;t=998s", "Go to time")</f>
        <v/>
      </c>
    </row>
    <row r="5041">
      <c r="A5041">
        <f>HYPERLINK("https://www.youtube.com/watch?v=k3Cp92Fon3I", "Video")</f>
        <v/>
      </c>
      <c r="B5041" t="inlineStr">
        <is>
          <t>16:49</t>
        </is>
      </c>
      <c r="C5041" t="inlineStr">
        <is>
          <t>first bit is all about her being a child</t>
        </is>
      </c>
      <c r="D5041">
        <f>HYPERLINK("https://www.youtube.com/watch?v=k3Cp92Fon3I&amp;t=1009s", "Go to time")</f>
        <v/>
      </c>
    </row>
    <row r="5042">
      <c r="A5042">
        <f>HYPERLINK("https://www.youtube.com/watch?v=k3Cp92Fon3I", "Video")</f>
        <v/>
      </c>
      <c r="B5042" t="inlineStr">
        <is>
          <t>17:19</t>
        </is>
      </c>
      <c r="C5042" t="inlineStr">
        <is>
          <t>that they became a little bit more grown</t>
        </is>
      </c>
      <c r="D5042">
        <f>HYPERLINK("https://www.youtube.com/watch?v=k3Cp92Fon3I&amp;t=1039s", "Go to time")</f>
        <v/>
      </c>
    </row>
    <row r="5043">
      <c r="A5043">
        <f>HYPERLINK("https://www.youtube.com/watch?v=k3Cp92Fon3I", "Video")</f>
        <v/>
      </c>
      <c r="B5043" t="inlineStr">
        <is>
          <t>17:21</t>
        </is>
      </c>
      <c r="C5043" t="inlineStr">
        <is>
          <t>up bit more sheer she matures to the</t>
        </is>
      </c>
      <c r="D5043">
        <f>HYPERLINK("https://www.youtube.com/watch?v=k3Cp92Fon3I&amp;t=1041s", "Go to time")</f>
        <v/>
      </c>
    </row>
    <row r="5044">
      <c r="A5044">
        <f>HYPERLINK("https://www.youtube.com/watch?v=k3Cp92Fon3I", "Video")</f>
        <v/>
      </c>
      <c r="B5044" t="inlineStr">
        <is>
          <t>19:46</t>
        </is>
      </c>
      <c r="C5044" t="inlineStr">
        <is>
          <t>it's a bit overwhelming isn't it I'm</t>
        </is>
      </c>
      <c r="D5044">
        <f>HYPERLINK("https://www.youtube.com/watch?v=k3Cp92Fon3I&amp;t=1186s", "Go to time")</f>
        <v/>
      </c>
    </row>
    <row r="5045">
      <c r="A5045">
        <f>HYPERLINK("https://www.youtube.com/watch?v=k3Cp92Fon3I", "Video")</f>
        <v/>
      </c>
      <c r="B5045" t="inlineStr">
        <is>
          <t>28:01</t>
        </is>
      </c>
      <c r="C5045" t="inlineStr">
        <is>
          <t>little bit or is it just like all</t>
        </is>
      </c>
      <c r="D5045">
        <f>HYPERLINK("https://www.youtube.com/watch?v=k3Cp92Fon3I&amp;t=1681s", "Go to time")</f>
        <v/>
      </c>
    </row>
    <row r="5046">
      <c r="A5046">
        <f>HYPERLINK("https://www.youtube.com/watch?v=q4DkEIQ27E8", "Video")</f>
        <v/>
      </c>
      <c r="B5046" t="inlineStr">
        <is>
          <t>1:28</t>
        </is>
      </c>
      <c r="C5046" t="inlineStr">
        <is>
          <t>vest stop bitching don't don't matter</t>
        </is>
      </c>
      <c r="D5046">
        <f>HYPERLINK("https://www.youtube.com/watch?v=q4DkEIQ27E8&amp;t=88s", "Go to time")</f>
        <v/>
      </c>
    </row>
    <row r="5047">
      <c r="A5047">
        <f>HYPERLINK("https://www.youtube.com/watch?v=dByM9jmeUy0", "Video")</f>
        <v/>
      </c>
      <c r="B5047" t="inlineStr">
        <is>
          <t>10:12</t>
        </is>
      </c>
      <c r="C5047" t="inlineStr">
        <is>
          <t>uhoh just a little bit closer I I can</t>
        </is>
      </c>
      <c r="D5047">
        <f>HYPERLINK("https://www.youtube.com/watch?v=dByM9jmeUy0&amp;t=612s", "Go to time")</f>
        <v/>
      </c>
    </row>
    <row r="5048">
      <c r="A5048">
        <f>HYPERLINK("https://www.youtube.com/watch?v=79jkmkCUJyg", "Video")</f>
        <v/>
      </c>
      <c r="B5048" t="inlineStr">
        <is>
          <t>1:21</t>
        </is>
      </c>
      <c r="C5048" t="inlineStr">
        <is>
          <t>don't you think that's gotten a bit</t>
        </is>
      </c>
      <c r="D5048">
        <f>HYPERLINK("https://www.youtube.com/watch?v=79jkmkCUJyg&amp;t=81s", "Go to time")</f>
        <v/>
      </c>
    </row>
    <row r="5049">
      <c r="A5049">
        <f>HYPERLINK("https://www.youtube.com/watch?v=zR14V6yYyhg", "Video")</f>
        <v/>
      </c>
      <c r="B5049" t="inlineStr">
        <is>
          <t>2:49</t>
        </is>
      </c>
      <c r="C5049" t="inlineStr">
        <is>
          <t>score rebounds a little bit 57 and one</t>
        </is>
      </c>
      <c r="D5049">
        <f>HYPERLINK("https://www.youtube.com/watch?v=zR14V6yYyhg&amp;t=169s", "Go to time")</f>
        <v/>
      </c>
    </row>
    <row r="5050">
      <c r="A5050">
        <f>HYPERLINK("https://www.youtube.com/watch?v=zR14V6yYyhg", "Video")</f>
        <v/>
      </c>
      <c r="B5050" t="inlineStr">
        <is>
          <t>4:12</t>
        </is>
      </c>
      <c r="C5050" t="inlineStr">
        <is>
          <t>little bit more correct um I would</t>
        </is>
      </c>
      <c r="D5050">
        <f>HYPERLINK("https://www.youtube.com/watch?v=zR14V6yYyhg&amp;t=252s", "Go to time")</f>
        <v/>
      </c>
    </row>
    <row r="5051">
      <c r="A5051">
        <f>HYPERLINK("https://www.youtube.com/watch?v=zR14V6yYyhg", "Video")</f>
        <v/>
      </c>
      <c r="B5051" t="inlineStr">
        <is>
          <t>8:24</t>
        </is>
      </c>
      <c r="C5051" t="inlineStr">
        <is>
          <t>just a little bit but first our good</t>
        </is>
      </c>
      <c r="D5051">
        <f>HYPERLINK("https://www.youtube.com/watch?v=zR14V6yYyhg&amp;t=504s", "Go to time")</f>
        <v/>
      </c>
    </row>
    <row r="5052">
      <c r="A5052">
        <f>HYPERLINK("https://www.youtube.com/watch?v=zR14V6yYyhg", "Video")</f>
        <v/>
      </c>
      <c r="B5052" t="inlineStr">
        <is>
          <t>10:22</t>
        </is>
      </c>
      <c r="C5052" t="inlineStr">
        <is>
          <t>was remember that Conan bit it was um</t>
        </is>
      </c>
      <c r="D5052">
        <f>HYPERLINK("https://www.youtube.com/watch?v=zR14V6yYyhg&amp;t=622s", "Go to time")</f>
        <v/>
      </c>
    </row>
    <row r="5053">
      <c r="A5053">
        <f>HYPERLINK("https://www.youtube.com/watch?v=zR14V6yYyhg", "Video")</f>
        <v/>
      </c>
      <c r="B5053" t="inlineStr">
        <is>
          <t>21:22</t>
        </is>
      </c>
      <c r="C5053" t="inlineStr">
        <is>
          <t>was a bit of a JLo backlash because she</t>
        </is>
      </c>
      <c r="D5053">
        <f>HYPERLINK("https://www.youtube.com/watch?v=zR14V6yYyhg&amp;t=1282s", "Go to time")</f>
        <v/>
      </c>
    </row>
    <row r="5054">
      <c r="A5054">
        <f>HYPERLINK("https://www.youtube.com/watch?v=zR14V6yYyhg", "Video")</f>
        <v/>
      </c>
      <c r="B5054" t="inlineStr">
        <is>
          <t>23:06</t>
        </is>
      </c>
      <c r="C5054" t="inlineStr">
        <is>
          <t>ambitious she was and then maybe looking</t>
        </is>
      </c>
      <c r="D5054">
        <f>HYPERLINK("https://www.youtube.com/watch?v=zR14V6yYyhg&amp;t=1386s", "Go to time")</f>
        <v/>
      </c>
    </row>
    <row r="5055">
      <c r="A5055">
        <f>HYPERLINK("https://www.youtube.com/watch?v=zR14V6yYyhg", "Video")</f>
        <v/>
      </c>
      <c r="B5055" t="inlineStr">
        <is>
          <t>23:13</t>
        </is>
      </c>
      <c r="C5055" t="inlineStr">
        <is>
          <t>ambition like this is literally a girl</t>
        </is>
      </c>
      <c r="D5055">
        <f>HYPERLINK("https://www.youtube.com/watch?v=zR14V6yYyhg&amp;t=1393s", "Go to time")</f>
        <v/>
      </c>
    </row>
    <row r="5056">
      <c r="A5056">
        <f>HYPERLINK("https://www.youtube.com/watch?v=zR14V6yYyhg", "Video")</f>
        <v/>
      </c>
      <c r="B5056" t="inlineStr">
        <is>
          <t>25:03</t>
        </is>
      </c>
      <c r="C5056" t="inlineStr">
        <is>
          <t>expectation is a bit of I would say a</t>
        </is>
      </c>
      <c r="D5056">
        <f>HYPERLINK("https://www.youtube.com/watch?v=zR14V6yYyhg&amp;t=1503s", "Go to time")</f>
        <v/>
      </c>
    </row>
    <row r="5057">
      <c r="A5057">
        <f>HYPERLINK("https://www.youtube.com/watch?v=zR14V6yYyhg", "Video")</f>
        <v/>
      </c>
      <c r="B5057" t="inlineStr">
        <is>
          <t>25:10</t>
        </is>
      </c>
      <c r="C5057" t="inlineStr">
        <is>
          <t>what got critics a bit out of Joy like</t>
        </is>
      </c>
      <c r="D5057">
        <f>HYPERLINK("https://www.youtube.com/watch?v=zR14V6yYyhg&amp;t=1510s", "Go to time")</f>
        <v/>
      </c>
    </row>
    <row r="5058">
      <c r="A5058">
        <f>HYPERLINK("https://www.youtube.com/watch?v=zR14V6yYyhg", "Video")</f>
        <v/>
      </c>
      <c r="B5058" t="inlineStr">
        <is>
          <t>28:52</t>
        </is>
      </c>
      <c r="C5058" t="inlineStr">
        <is>
          <t>go there it's a bit of a rothko right</t>
        </is>
      </c>
      <c r="D5058">
        <f>HYPERLINK("https://www.youtube.com/watch?v=zR14V6yYyhg&amp;t=1732s", "Go to time")</f>
        <v/>
      </c>
    </row>
    <row r="5059">
      <c r="A5059">
        <f>HYPERLINK("https://www.youtube.com/watch?v=zR14V6yYyhg", "Video")</f>
        <v/>
      </c>
      <c r="B5059" t="inlineStr">
        <is>
          <t>28:54</t>
        </is>
      </c>
      <c r="C5059" t="inlineStr">
        <is>
          <t>it's a bit of laying the foundations and</t>
        </is>
      </c>
      <c r="D5059">
        <f>HYPERLINK("https://www.youtube.com/watch?v=zR14V6yYyhg&amp;t=1734s", "Go to time")</f>
        <v/>
      </c>
    </row>
    <row r="5060">
      <c r="A5060">
        <f>HYPERLINK("https://www.youtube.com/watch?v=zR14V6yYyhg", "Video")</f>
        <v/>
      </c>
      <c r="B5060" t="inlineStr">
        <is>
          <t>34:11</t>
        </is>
      </c>
      <c r="C5060" t="inlineStr">
        <is>
          <t>yeah yeah just a bit you being a flight</t>
        </is>
      </c>
      <c r="D5060">
        <f>HYPERLINK("https://www.youtube.com/watch?v=zR14V6yYyhg&amp;t=2051s", "Go to time")</f>
        <v/>
      </c>
    </row>
    <row r="5061">
      <c r="A5061">
        <f>HYPERLINK("https://www.youtube.com/watch?v=zR14V6yYyhg", "Video")</f>
        <v/>
      </c>
      <c r="B5061" t="inlineStr">
        <is>
          <t>40:38</t>
        </is>
      </c>
      <c r="C5061" t="inlineStr">
        <is>
          <t>gonna try and add a little bit more in</t>
        </is>
      </c>
      <c r="D5061">
        <f>HYPERLINK("https://www.youtube.com/watch?v=zR14V6yYyhg&amp;t=2438s", "Go to time")</f>
        <v/>
      </c>
    </row>
    <row r="5062">
      <c r="A5062">
        <f>HYPERLINK("https://www.youtube.com/watch?v=zR14V6yYyhg", "Video")</f>
        <v/>
      </c>
      <c r="B5062" t="inlineStr">
        <is>
          <t>46:08</t>
        </is>
      </c>
      <c r="C5062" t="inlineStr">
        <is>
          <t>Manhattan a little bit</t>
        </is>
      </c>
      <c r="D5062">
        <f>HYPERLINK("https://www.youtube.com/watch?v=zR14V6yYyhg&amp;t=2768s", "Go to time")</f>
        <v/>
      </c>
    </row>
    <row r="5063">
      <c r="A5063">
        <f>HYPERLINK("https://www.youtube.com/watch?v=qF2ABAJttlo", "Video")</f>
        <v/>
      </c>
      <c r="B5063" t="inlineStr">
        <is>
          <t>0:07</t>
        </is>
      </c>
      <c r="C5063" t="inlineStr">
        <is>
          <t>last bit if it iure you all of it</t>
        </is>
      </c>
      <c r="D5063">
        <f>HYPERLINK("https://www.youtube.com/watch?v=qF2ABAJttlo&amp;t=7s", "Go to time")</f>
        <v/>
      </c>
    </row>
    <row r="5064">
      <c r="A5064">
        <f>HYPERLINK("https://www.youtube.com/watch?v=AXGmvZRig88", "Video")</f>
        <v/>
      </c>
      <c r="B5064" t="inlineStr">
        <is>
          <t>0:06</t>
        </is>
      </c>
      <c r="C5064" t="inlineStr">
        <is>
          <t>his habitual counting</t>
        </is>
      </c>
      <c r="D5064">
        <f>HYPERLINK("https://www.youtube.com/watch?v=AXGmvZRig88&amp;t=6s", "Go to time")</f>
        <v/>
      </c>
    </row>
    <row r="5065">
      <c r="A5065">
        <f>HYPERLINK("https://www.youtube.com/watch?v=WX2VL3A4ZFw", "Video")</f>
        <v/>
      </c>
      <c r="B5065" t="inlineStr">
        <is>
          <t>13:00</t>
        </is>
      </c>
      <c r="C5065" t="inlineStr">
        <is>
          <t>Kenny as the voice of rabbit isn't that</t>
        </is>
      </c>
      <c r="D5065">
        <f>HYPERLINK("https://www.youtube.com/watch?v=WX2VL3A4ZFw&amp;t=780s", "Go to time")</f>
        <v/>
      </c>
    </row>
    <row r="5066">
      <c r="A5066">
        <f>HYPERLINK("https://www.youtube.com/watch?v=p4stxGV14_E", "Video")</f>
        <v/>
      </c>
      <c r="B5066" t="inlineStr">
        <is>
          <t>3:44</t>
        </is>
      </c>
      <c r="C5066" t="inlineStr">
        <is>
          <t>little bit more respect on Michael Ba's</t>
        </is>
      </c>
      <c r="D5066">
        <f>HYPERLINK("https://www.youtube.com/watch?v=p4stxGV14_E&amp;t=224s", "Go to time")</f>
        <v/>
      </c>
    </row>
    <row r="5067">
      <c r="A5067">
        <f>HYPERLINK("https://www.youtube.com/watch?v=p4stxGV14_E", "Video")</f>
        <v/>
      </c>
      <c r="B5067" t="inlineStr">
        <is>
          <t>10:29</t>
        </is>
      </c>
      <c r="C5067" t="inlineStr">
        <is>
          <t>needed a little bit more than 51 just on</t>
        </is>
      </c>
      <c r="D5067">
        <f>HYPERLINK("https://www.youtube.com/watch?v=p4stxGV14_E&amp;t=629s", "Go to time")</f>
        <v/>
      </c>
    </row>
    <row r="5068">
      <c r="A5068">
        <f>HYPERLINK("https://www.youtube.com/watch?v=p4stxGV14_E", "Video")</f>
        <v/>
      </c>
      <c r="B5068" t="inlineStr">
        <is>
          <t>19:21</t>
        </is>
      </c>
      <c r="C5068" t="inlineStr">
        <is>
          <t>bits where I was like oh does he know</t>
        </is>
      </c>
      <c r="D5068">
        <f>HYPERLINK("https://www.youtube.com/watch?v=p4stxGV14_E&amp;t=1161s", "Go to time")</f>
        <v/>
      </c>
    </row>
    <row r="5069">
      <c r="A5069">
        <f>HYPERLINK("https://www.youtube.com/watch?v=p4stxGV14_E", "Video")</f>
        <v/>
      </c>
      <c r="B5069" t="inlineStr">
        <is>
          <t>22:05</t>
        </is>
      </c>
      <c r="C5069" t="inlineStr">
        <is>
          <t>like a bit of a formula a bit of that I</t>
        </is>
      </c>
      <c r="D5069">
        <f>HYPERLINK("https://www.youtube.com/watch?v=p4stxGV14_E&amp;t=1325s", "Go to time")</f>
        <v/>
      </c>
    </row>
    <row r="5070">
      <c r="A5070">
        <f>HYPERLINK("https://www.youtube.com/watch?v=p4stxGV14_E", "Video")</f>
        <v/>
      </c>
      <c r="B5070" t="inlineStr">
        <is>
          <t>27:52</t>
        </is>
      </c>
      <c r="C5070" t="inlineStr">
        <is>
          <t>would push back against a little bit</t>
        </is>
      </c>
      <c r="D5070">
        <f>HYPERLINK("https://www.youtube.com/watch?v=p4stxGV14_E&amp;t=1672s", "Go to time")</f>
        <v/>
      </c>
    </row>
    <row r="5071">
      <c r="A5071">
        <f>HYPERLINK("https://www.youtube.com/watch?v=p4stxGV14_E", "Video")</f>
        <v/>
      </c>
      <c r="B5071" t="inlineStr">
        <is>
          <t>30:35</t>
        </is>
      </c>
      <c r="C5071" t="inlineStr">
        <is>
          <t>lines a little bit it is the human story</t>
        </is>
      </c>
      <c r="D5071">
        <f>HYPERLINK("https://www.youtube.com/watch?v=p4stxGV14_E&amp;t=1835s", "Go to time")</f>
        <v/>
      </c>
    </row>
    <row r="5072">
      <c r="A5072">
        <f>HYPERLINK("https://www.youtube.com/watch?v=p4stxGV14_E", "Video")</f>
        <v/>
      </c>
      <c r="B5072" t="inlineStr">
        <is>
          <t>44:52</t>
        </is>
      </c>
      <c r="C5072" t="inlineStr">
        <is>
          <t>little a little a little bit of dopamine</t>
        </is>
      </c>
      <c r="D5072">
        <f>HYPERLINK("https://www.youtube.com/watch?v=p4stxGV14_E&amp;t=2692s", "Go to time")</f>
        <v/>
      </c>
    </row>
    <row r="5073">
      <c r="A5073">
        <f>HYPERLINK("https://www.youtube.com/watch?v=p4stxGV14_E", "Video")</f>
        <v/>
      </c>
      <c r="B5073" t="inlineStr">
        <is>
          <t>44:54</t>
        </is>
      </c>
      <c r="C5073" t="inlineStr">
        <is>
          <t>a little bit of dopamine but weed is</t>
        </is>
      </c>
      <c r="D5073">
        <f>HYPERLINK("https://www.youtube.com/watch?v=p4stxGV14_E&amp;t=2694s", "Go to time")</f>
        <v/>
      </c>
    </row>
    <row r="5074">
      <c r="A5074">
        <f>HYPERLINK("https://www.youtube.com/watch?v=p4stxGV14_E", "Video")</f>
        <v/>
      </c>
      <c r="B5074" t="inlineStr">
        <is>
          <t>50:56</t>
        </is>
      </c>
      <c r="C5074" t="inlineStr">
        <is>
          <t>to be me a little bit to you because I</t>
        </is>
      </c>
      <c r="D5074">
        <f>HYPERLINK("https://www.youtube.com/watch?v=p4stxGV14_E&amp;t=3056s", "Go to time")</f>
        <v/>
      </c>
    </row>
    <row r="5075">
      <c r="A5075">
        <f>HYPERLINK("https://www.youtube.com/watch?v=OkBaZLq7gnU", "Video")</f>
        <v/>
      </c>
      <c r="B5075" t="inlineStr">
        <is>
          <t>1:43</t>
        </is>
      </c>
      <c r="C5075" t="inlineStr">
        <is>
          <t>we're just gonna go grab a bite would it</t>
        </is>
      </c>
      <c r="D5075">
        <f>HYPERLINK("https://www.youtube.com/watch?v=OkBaZLq7gnU&amp;t=103s", "Go to time")</f>
        <v/>
      </c>
    </row>
    <row r="5076">
      <c r="A5076">
        <f>HYPERLINK("https://www.youtube.com/watch?v=0W081BKGbBA", "Video")</f>
        <v/>
      </c>
      <c r="B5076" t="inlineStr">
        <is>
          <t>1:20</t>
        </is>
      </c>
      <c r="C5076" t="inlineStr">
        <is>
          <t>little bit to where you started this</t>
        </is>
      </c>
      <c r="D5076">
        <f>HYPERLINK("https://www.youtube.com/watch?v=0W081BKGbBA&amp;t=80s", "Go to time")</f>
        <v/>
      </c>
    </row>
    <row r="5077">
      <c r="A5077">
        <f>HYPERLINK("https://www.youtube.com/watch?v=0W081BKGbBA", "Video")</f>
        <v/>
      </c>
      <c r="B5077" t="inlineStr">
        <is>
          <t>8:43</t>
        </is>
      </c>
      <c r="C5077" t="inlineStr">
        <is>
          <t>a caddy now that's a little bit more</t>
        </is>
      </c>
      <c r="D5077">
        <f>HYPERLINK("https://www.youtube.com/watch?v=0W081BKGbBA&amp;t=523s", "Go to time")</f>
        <v/>
      </c>
    </row>
    <row r="5078">
      <c r="A5078">
        <f>HYPERLINK("https://www.youtube.com/watch?v=0W081BKGbBA", "Video")</f>
        <v/>
      </c>
      <c r="B5078" t="inlineStr">
        <is>
          <t>9:48</t>
        </is>
      </c>
      <c r="C5078" t="inlineStr">
        <is>
          <t>little bit of not necessarily that but</t>
        </is>
      </c>
      <c r="D5078">
        <f>HYPERLINK("https://www.youtube.com/watch?v=0W081BKGbBA&amp;t=588s", "Go to time")</f>
        <v/>
      </c>
    </row>
    <row r="5079">
      <c r="A5079">
        <f>HYPERLINK("https://www.youtube.com/watch?v=0W081BKGbBA", "Video")</f>
        <v/>
      </c>
      <c r="B5079" t="inlineStr">
        <is>
          <t>12:26</t>
        </is>
      </c>
      <c r="C5079" t="inlineStr">
        <is>
          <t>it's a little bit of the point of the</t>
        </is>
      </c>
      <c r="D5079">
        <f>HYPERLINK("https://www.youtube.com/watch?v=0W081BKGbBA&amp;t=746s", "Go to time")</f>
        <v/>
      </c>
    </row>
    <row r="5080">
      <c r="A5080">
        <f>HYPERLINK("https://www.youtube.com/watch?v=0W081BKGbBA", "Video")</f>
        <v/>
      </c>
      <c r="B5080" t="inlineStr">
        <is>
          <t>16:11</t>
        </is>
      </c>
      <c r="C5080" t="inlineStr">
        <is>
          <t>someone like Jimmy who's a little bit</t>
        </is>
      </c>
      <c r="D5080">
        <f>HYPERLINK("https://www.youtube.com/watch?v=0W081BKGbBA&amp;t=971s", "Go to time")</f>
        <v/>
      </c>
    </row>
    <row r="5081">
      <c r="A5081">
        <f>HYPERLINK("https://www.youtube.com/watch?v=0W081BKGbBA", "Video")</f>
        <v/>
      </c>
      <c r="B5081" t="inlineStr">
        <is>
          <t>16:12</t>
        </is>
      </c>
      <c r="C5081" t="inlineStr">
        <is>
          <t>more tightly wound a little bit more</t>
        </is>
      </c>
      <c r="D5081">
        <f>HYPERLINK("https://www.youtube.com/watch?v=0W081BKGbBA&amp;t=972s", "Go to time")</f>
        <v/>
      </c>
    </row>
    <row r="5082">
      <c r="A5082">
        <f>HYPERLINK("https://www.youtube.com/watch?v=0W081BKGbBA", "Video")</f>
        <v/>
      </c>
      <c r="B5082" t="inlineStr">
        <is>
          <t>16:23</t>
        </is>
      </c>
      <c r="C5082" t="inlineStr">
        <is>
          <t>like Jimmy who's a little bit more by</t>
        </is>
      </c>
      <c r="D5082">
        <f>HYPERLINK("https://www.youtube.com/watch?v=0W081BKGbBA&amp;t=983s", "Go to time")</f>
        <v/>
      </c>
    </row>
    <row r="5083">
      <c r="A5083">
        <f>HYPERLINK("https://www.youtube.com/watch?v=0W081BKGbBA", "Video")</f>
        <v/>
      </c>
      <c r="B5083" t="inlineStr">
        <is>
          <t>16:51</t>
        </is>
      </c>
      <c r="C5083" t="inlineStr">
        <is>
          <t>that he has throughout both a little bit</t>
        </is>
      </c>
      <c r="D5083">
        <f>HYPERLINK("https://www.youtube.com/watch?v=0W081BKGbBA&amp;t=1011s", "Go to time")</f>
        <v/>
      </c>
    </row>
    <row r="5084">
      <c r="A5084">
        <f>HYPERLINK("https://www.youtube.com/watch?v=0W081BKGbBA", "Video")</f>
        <v/>
      </c>
      <c r="B5084" t="inlineStr">
        <is>
          <t>18:43</t>
        </is>
      </c>
      <c r="C5084" t="inlineStr">
        <is>
          <t>for sure but we also are very ambitious</t>
        </is>
      </c>
      <c r="D5084">
        <f>HYPERLINK("https://www.youtube.com/watch?v=0W081BKGbBA&amp;t=1123s", "Go to time")</f>
        <v/>
      </c>
    </row>
    <row r="5085">
      <c r="A5085">
        <f>HYPERLINK("https://www.youtube.com/watch?v=0W081BKGbBA", "Video")</f>
        <v/>
      </c>
      <c r="B5085" t="inlineStr">
        <is>
          <t>18:57</t>
        </is>
      </c>
      <c r="C5085" t="inlineStr">
        <is>
          <t>so so we are very ambitious and try to</t>
        </is>
      </c>
      <c r="D5085">
        <f>HYPERLINK("https://www.youtube.com/watch?v=0W081BKGbBA&amp;t=1137s", "Go to time")</f>
        <v/>
      </c>
    </row>
    <row r="5086">
      <c r="A5086">
        <f>HYPERLINK("https://www.youtube.com/watch?v=0W081BKGbBA", "Video")</f>
        <v/>
      </c>
      <c r="B5086" t="inlineStr">
        <is>
          <t>19:54</t>
        </is>
      </c>
      <c r="C5086" t="inlineStr">
        <is>
          <t>to collapse the coverage a little bit is</t>
        </is>
      </c>
      <c r="D5086">
        <f>HYPERLINK("https://www.youtube.com/watch?v=0W081BKGbBA&amp;t=1194s", "Go to time")</f>
        <v/>
      </c>
    </row>
    <row r="5087">
      <c r="A5087">
        <f>HYPERLINK("https://www.youtube.com/watch?v=0W081BKGbBA", "Video")</f>
        <v/>
      </c>
      <c r="B5087" t="inlineStr">
        <is>
          <t>23:33</t>
        </is>
      </c>
      <c r="C5087" t="inlineStr">
        <is>
          <t>bit really fun because I do turn</t>
        </is>
      </c>
      <c r="D5087">
        <f>HYPERLINK("https://www.youtube.com/watch?v=0W081BKGbBA&amp;t=1413s", "Go to time")</f>
        <v/>
      </c>
    </row>
    <row r="5088">
      <c r="A5088">
        <f>HYPERLINK("https://www.youtube.com/watch?v=0W081BKGbBA", "Video")</f>
        <v/>
      </c>
      <c r="B5088" t="inlineStr">
        <is>
          <t>23:45</t>
        </is>
      </c>
      <c r="C5088" t="inlineStr">
        <is>
          <t>little bit to the incredible cast that</t>
        </is>
      </c>
      <c r="D5088">
        <f>HYPERLINK("https://www.youtube.com/watch?v=0W081BKGbBA&amp;t=1425s", "Go to time")</f>
        <v/>
      </c>
    </row>
    <row r="5089">
      <c r="A5089">
        <f>HYPERLINK("https://www.youtube.com/watch?v=0W081BKGbBA", "Video")</f>
        <v/>
      </c>
      <c r="B5089" t="inlineStr">
        <is>
          <t>28:36</t>
        </is>
      </c>
      <c r="C5089" t="inlineStr">
        <is>
          <t>little bit for Deborah because she CA</t>
        </is>
      </c>
      <c r="D5089">
        <f>HYPERLINK("https://www.youtube.com/watch?v=0W081BKGbBA&amp;t=1716s", "Go to time")</f>
        <v/>
      </c>
    </row>
    <row r="5090">
      <c r="A5090">
        <f>HYPERLINK("https://www.youtube.com/watch?v=0W081BKGbBA", "Video")</f>
        <v/>
      </c>
      <c r="B5090" t="inlineStr">
        <is>
          <t>29:58</t>
        </is>
      </c>
      <c r="C5090" t="inlineStr">
        <is>
          <t>bits at the Forefront of what you're</t>
        </is>
      </c>
      <c r="D5090">
        <f>HYPERLINK("https://www.youtube.com/watch?v=0W081BKGbBA&amp;t=1798s", "Go to time")</f>
        <v/>
      </c>
    </row>
    <row r="5091">
      <c r="A5091">
        <f>HYPERLINK("https://www.youtube.com/watch?v=0W081BKGbBA", "Video")</f>
        <v/>
      </c>
      <c r="B5091" t="inlineStr">
        <is>
          <t>30:02</t>
        </is>
      </c>
      <c r="C5091" t="inlineStr">
        <is>
          <t>to have the bits like her monologue and</t>
        </is>
      </c>
      <c r="D5091">
        <f>HYPERLINK("https://www.youtube.com/watch?v=0W081BKGbBA&amp;t=1802s", "Go to time")</f>
        <v/>
      </c>
    </row>
    <row r="5092">
      <c r="A5092">
        <f>HYPERLINK("https://www.youtube.com/watch?v=h-hF7-ny66g", "Video")</f>
        <v/>
      </c>
      <c r="B5092" t="inlineStr">
        <is>
          <t>2:24</t>
        </is>
      </c>
      <c r="C5092" t="inlineStr">
        <is>
          <t>miss maybe you missed a little bit in</t>
        </is>
      </c>
      <c r="D5092">
        <f>HYPERLINK("https://www.youtube.com/watch?v=h-hF7-ny66g&amp;t=144s", "Go to time")</f>
        <v/>
      </c>
    </row>
    <row r="5093">
      <c r="A5093">
        <f>HYPERLINK("https://www.youtube.com/watch?v=Vh4JgwstBtE", "Video")</f>
        <v/>
      </c>
      <c r="B5093" t="inlineStr">
        <is>
          <t>0:52</t>
        </is>
      </c>
      <c r="C5093" t="inlineStr">
        <is>
          <t>you want to kick the habit</t>
        </is>
      </c>
      <c r="D5093">
        <f>HYPERLINK("https://www.youtube.com/watch?v=Vh4JgwstBtE&amp;t=52s", "Go to time")</f>
        <v/>
      </c>
    </row>
    <row r="5094">
      <c r="A5094">
        <f>HYPERLINK("https://www.youtube.com/watch?v=Vh4JgwstBtE", "Video")</f>
        <v/>
      </c>
      <c r="B5094" t="inlineStr">
        <is>
          <t>1:41</t>
        </is>
      </c>
      <c r="C5094" t="inlineStr">
        <is>
          <t>gonna kick the habit</t>
        </is>
      </c>
      <c r="D5094">
        <f>HYPERLINK("https://www.youtube.com/watch?v=Vh4JgwstBtE&amp;t=101s", "Go to time")</f>
        <v/>
      </c>
    </row>
    <row r="5095">
      <c r="A5095">
        <f>HYPERLINK("https://www.youtube.com/watch?v=Wo0jos3k00Q", "Video")</f>
        <v/>
      </c>
      <c r="B5095" t="inlineStr">
        <is>
          <t>1:33</t>
        </is>
      </c>
      <c r="C5095" t="inlineStr">
        <is>
          <t>that's a dangerous habit to get into</t>
        </is>
      </c>
      <c r="D5095">
        <f>HYPERLINK("https://www.youtube.com/watch?v=Wo0jos3k00Q&amp;t=93s", "Go to time")</f>
        <v/>
      </c>
    </row>
    <row r="5096">
      <c r="A5096">
        <f>HYPERLINK("https://www.youtube.com/watch?v=K3QJB60Dc1A", "Video")</f>
        <v/>
      </c>
      <c r="B5096" t="inlineStr">
        <is>
          <t>1:39</t>
        </is>
      </c>
      <c r="C5096" t="inlineStr">
        <is>
          <t>a gray wheel of habits spinning hardly</t>
        </is>
      </c>
      <c r="D5096">
        <f>HYPERLINK("https://www.youtube.com/watch?v=K3QJB60Dc1A&amp;t=99s", "Go to time")</f>
        <v/>
      </c>
    </row>
    <row r="5097">
      <c r="A5097">
        <f>HYPERLINK("https://www.youtube.com/watch?v=aKYCKbARSJ0", "Video")</f>
        <v/>
      </c>
      <c r="B5097" t="inlineStr">
        <is>
          <t>1:26</t>
        </is>
      </c>
      <c r="C5097" t="inlineStr">
        <is>
          <t>like your world only a bit more colorful</t>
        </is>
      </c>
      <c r="D5097">
        <f>HYPERLINK("https://www.youtube.com/watch?v=aKYCKbARSJ0&amp;t=86s", "Go to time")</f>
        <v/>
      </c>
    </row>
    <row r="5098">
      <c r="A5098">
        <f>HYPERLINK("https://www.youtube.com/watch?v=I29ZOnA-liw", "Video")</f>
        <v/>
      </c>
      <c r="B5098" t="inlineStr">
        <is>
          <t>1:30</t>
        </is>
      </c>
      <c r="C5098" t="inlineStr">
        <is>
          <t>actually it's 64-bit</t>
        </is>
      </c>
      <c r="D5098">
        <f>HYPERLINK("https://www.youtube.com/watch?v=I29ZOnA-liw&amp;t=90s", "Go to time")</f>
        <v/>
      </c>
    </row>
    <row r="5099">
      <c r="A5099">
        <f>HYPERLINK("https://www.youtube.com/watch?v=wYPEA5lmnDs", "Video")</f>
        <v/>
      </c>
      <c r="B5099" t="inlineStr">
        <is>
          <t>2:02</t>
        </is>
      </c>
      <c r="C5099" t="inlineStr">
        <is>
          <t>habit with the washers on the clutch</t>
        </is>
      </c>
      <c r="D5099">
        <f>HYPERLINK("https://www.youtube.com/watch?v=wYPEA5lmnDs&amp;t=122s", "Go to time")</f>
        <v/>
      </c>
    </row>
    <row r="5100">
      <c r="A5100">
        <f>HYPERLINK("https://www.youtube.com/watch?v=LAOHIVH9604", "Video")</f>
        <v/>
      </c>
      <c r="B5100" t="inlineStr">
        <is>
          <t>0:35</t>
        </is>
      </c>
      <c r="C5100" t="inlineStr">
        <is>
          <t>are we it's the best bit of brew so far</t>
        </is>
      </c>
      <c r="D5100">
        <f>HYPERLINK("https://www.youtube.com/watch?v=LAOHIVH9604&amp;t=35s", "Go to time")</f>
        <v/>
      </c>
    </row>
    <row r="5101">
      <c r="A5101">
        <f>HYPERLINK("https://www.youtube.com/watch?v=jYdypgmJmYA", "Video")</f>
        <v/>
      </c>
      <c r="B5101" t="inlineStr">
        <is>
          <t>1:13</t>
        </is>
      </c>
      <c r="C5101" t="inlineStr">
        <is>
          <t>oh jody joe what type of bitch-ass punch</t>
        </is>
      </c>
      <c r="D5101">
        <f>HYPERLINK("https://www.youtube.com/watch?v=jYdypgmJmYA&amp;t=73s", "Go to time")</f>
        <v/>
      </c>
    </row>
    <row r="5102">
      <c r="A5102">
        <f>HYPERLINK("https://www.youtube.com/watch?v=jYdypgmJmYA", "Video")</f>
        <v/>
      </c>
      <c r="B5102" t="inlineStr">
        <is>
          <t>1:57</t>
        </is>
      </c>
      <c r="C5102" t="inlineStr">
        <is>
          <t>all right bite man get your ass up come</t>
        </is>
      </c>
      <c r="D5102">
        <f>HYPERLINK("https://www.youtube.com/watch?v=jYdypgmJmYA&amp;t=117s", "Go to time")</f>
        <v/>
      </c>
    </row>
    <row r="5103">
      <c r="A5103">
        <f>HYPERLINK("https://www.youtube.com/watch?v=qQrlry6Upqk", "Video")</f>
        <v/>
      </c>
      <c r="B5103" t="inlineStr">
        <is>
          <t>1:17</t>
        </is>
      </c>
      <c r="C5103" t="inlineStr">
        <is>
          <t>rabbits you all right he took one in the</t>
        </is>
      </c>
      <c r="D5103">
        <f>HYPERLINK("https://www.youtube.com/watch?v=qQrlry6Upqk&amp;t=77s", "Go to time")</f>
        <v/>
      </c>
    </row>
    <row r="5104">
      <c r="A5104">
        <f>HYPERLINK("https://www.youtube.com/watch?v=LSMDEbfF6ww", "Video")</f>
        <v/>
      </c>
      <c r="B5104" t="inlineStr">
        <is>
          <t>3:57</t>
        </is>
      </c>
      <c r="C5104" t="inlineStr">
        <is>
          <t>and everyone dropped the whole bit and</t>
        </is>
      </c>
      <c r="D5104">
        <f>HYPERLINK("https://www.youtube.com/watch?v=LSMDEbfF6ww&amp;t=237s", "Go to time")</f>
        <v/>
      </c>
    </row>
    <row r="5105">
      <c r="A5105">
        <f>HYPERLINK("https://www.youtube.com/watch?v=NdaWQm_UAF0", "Video")</f>
        <v/>
      </c>
      <c r="B5105" t="inlineStr">
        <is>
          <t>1:48</t>
        </is>
      </c>
      <c r="C5105" t="inlineStr">
        <is>
          <t>burger bites on the menu oh yeah I think</t>
        </is>
      </c>
      <c r="D5105">
        <f>HYPERLINK("https://www.youtube.com/watch?v=NdaWQm_UAF0&amp;t=108s", "Go to time")</f>
        <v/>
      </c>
    </row>
    <row r="5106">
      <c r="A5106">
        <f>HYPERLINK("https://www.youtube.com/watch?v=yy5H-ssJeRY", "Video")</f>
        <v/>
      </c>
      <c r="B5106" t="inlineStr">
        <is>
          <t>1:02</t>
        </is>
      </c>
      <c r="C5106" t="inlineStr">
        <is>
          <t>bit more thoughtful around here is that</t>
        </is>
      </c>
      <c r="D5106">
        <f>HYPERLINK("https://www.youtube.com/watch?v=yy5H-ssJeRY&amp;t=62s", "Go to time")</f>
        <v/>
      </c>
    </row>
    <row r="5107">
      <c r="A5107">
        <f>HYPERLINK("https://www.youtube.com/watch?v=rLumZuEPgyI", "Video")</f>
        <v/>
      </c>
      <c r="B5107" t="inlineStr">
        <is>
          <t>1:48</t>
        </is>
      </c>
      <c r="C5107" t="inlineStr">
        <is>
          <t>bit less enamored of them movies like</t>
        </is>
      </c>
      <c r="D5107">
        <f>HYPERLINK("https://www.youtube.com/watch?v=rLumZuEPgyI&amp;t=108s", "Go to time")</f>
        <v/>
      </c>
    </row>
    <row r="5108">
      <c r="A5108">
        <f>HYPERLINK("https://www.youtube.com/watch?v=rLumZuEPgyI", "Video")</f>
        <v/>
      </c>
      <c r="B5108" t="inlineStr">
        <is>
          <t>1:55</t>
        </is>
      </c>
      <c r="C5108" t="inlineStr">
        <is>
          <t>you will I like those a little bit less</t>
        </is>
      </c>
      <c r="D5108">
        <f>HYPERLINK("https://www.youtube.com/watch?v=rLumZuEPgyI&amp;t=115s", "Go to time")</f>
        <v/>
      </c>
    </row>
    <row r="5109">
      <c r="A5109">
        <f>HYPERLINK("https://www.youtube.com/watch?v=rLumZuEPgyI", "Video")</f>
        <v/>
      </c>
      <c r="B5109" t="inlineStr">
        <is>
          <t>2:34</t>
        </is>
      </c>
      <c r="C5109" t="inlineStr">
        <is>
          <t>absolutely brilliant and super ambitious</t>
        </is>
      </c>
      <c r="D5109">
        <f>HYPERLINK("https://www.youtube.com/watch?v=rLumZuEPgyI&amp;t=154s", "Go to time")</f>
        <v/>
      </c>
    </row>
    <row r="5110">
      <c r="A5110">
        <f>HYPERLINK("https://www.youtube.com/watch?v=rLumZuEPgyI", "Video")</f>
        <v/>
      </c>
      <c r="B5110" t="inlineStr">
        <is>
          <t>5:03</t>
        </is>
      </c>
      <c r="C5110" t="inlineStr">
        <is>
          <t>bit tast this scene is always sad to me</t>
        </is>
      </c>
      <c r="D5110">
        <f>HYPERLINK("https://www.youtube.com/watch?v=rLumZuEPgyI&amp;t=303s", "Go to time")</f>
        <v/>
      </c>
    </row>
    <row r="5111">
      <c r="A5111">
        <f>HYPERLINK("https://www.youtube.com/watch?v=rLumZuEPgyI", "Video")</f>
        <v/>
      </c>
      <c r="B5111" t="inlineStr">
        <is>
          <t>25:09</t>
        </is>
      </c>
      <c r="C5111" t="inlineStr">
        <is>
          <t>scenes off there's a little bit for</t>
        </is>
      </c>
      <c r="D5111">
        <f>HYPERLINK("https://www.youtube.com/watch?v=rLumZuEPgyI&amp;t=1509s", "Go to time")</f>
        <v/>
      </c>
    </row>
    <row r="5112">
      <c r="A5112">
        <f>HYPERLINK("https://www.youtube.com/watch?v=1GxjLT3MiS8", "Video")</f>
        <v/>
      </c>
      <c r="B5112" t="inlineStr">
        <is>
          <t>0:59</t>
        </is>
      </c>
      <c r="C5112" t="inlineStr">
        <is>
          <t>seems a bit crazy i want to help my town</t>
        </is>
      </c>
      <c r="D5112">
        <f>HYPERLINK("https://www.youtube.com/watch?v=1GxjLT3MiS8&amp;t=59s", "Go to time")</f>
        <v/>
      </c>
    </row>
    <row r="5113">
      <c r="A5113">
        <f>HYPERLINK("https://www.youtube.com/watch?v=6khXYZbsHHk", "Video")</f>
        <v/>
      </c>
      <c r="B5113" t="inlineStr">
        <is>
          <t>0:39</t>
        </is>
      </c>
      <c r="C5113" t="inlineStr">
        <is>
          <t>think seems a bit I don't even have to</t>
        </is>
      </c>
      <c r="D5113">
        <f>HYPERLINK("https://www.youtube.com/watch?v=6khXYZbsHHk&amp;t=39s", "Go to time")</f>
        <v/>
      </c>
    </row>
    <row r="5114">
      <c r="A5114">
        <f>HYPERLINK("https://www.youtube.com/watch?v=wxv2VCzc8LQ", "Video")</f>
        <v/>
      </c>
      <c r="B5114" t="inlineStr">
        <is>
          <t>0:55</t>
        </is>
      </c>
      <c r="C5114" t="inlineStr">
        <is>
          <t>little bit right now I'm</t>
        </is>
      </c>
      <c r="D5114">
        <f>HYPERLINK("https://www.youtube.com/watch?v=wxv2VCzc8LQ&amp;t=55s", "Go to time")</f>
        <v/>
      </c>
    </row>
    <row r="5115">
      <c r="A5115">
        <f>HYPERLINK("https://www.youtube.com/watch?v=-iSx0XOqmpA", "Video")</f>
        <v/>
      </c>
      <c r="B5115" t="inlineStr">
        <is>
          <t>1:23</t>
        </is>
      </c>
      <c r="C5115" t="inlineStr">
        <is>
          <t>bite learning how to make you do what I</t>
        </is>
      </c>
      <c r="D5115">
        <f>HYPERLINK("https://www.youtube.com/watch?v=-iSx0XOqmpA&amp;t=83s", "Go to time")</f>
        <v/>
      </c>
    </row>
    <row r="5116">
      <c r="A5116">
        <f>HYPERLINK("https://www.youtube.com/watch?v=C5uaBXE9IBo", "Video")</f>
        <v/>
      </c>
      <c r="B5116" t="inlineStr">
        <is>
          <t>0:22</t>
        </is>
      </c>
      <c r="C5116" t="inlineStr">
        <is>
          <t>do cut the bitch's head off and use it</t>
        </is>
      </c>
      <c r="D5116">
        <f>HYPERLINK("https://www.youtube.com/watch?v=C5uaBXE9IBo&amp;t=22s", "Go to time")</f>
        <v/>
      </c>
    </row>
    <row r="5117">
      <c r="A5117">
        <f>HYPERLINK("https://www.youtube.com/watch?v=JqB9Co269zs", "Video")</f>
        <v/>
      </c>
      <c r="B5117" t="inlineStr">
        <is>
          <t>4:31</t>
        </is>
      </c>
      <c r="C5117" t="inlineStr">
        <is>
          <t>never exhibited Behavior even remotely</t>
        </is>
      </c>
      <c r="D5117">
        <f>HYPERLINK("https://www.youtube.com/watch?v=JqB9Co269zs&amp;t=271s", "Go to time")</f>
        <v/>
      </c>
    </row>
    <row r="5118">
      <c r="A5118">
        <f>HYPERLINK("https://www.youtube.com/watch?v=h3HZyOhe9u4", "Video")</f>
        <v/>
      </c>
      <c r="B5118" t="inlineStr">
        <is>
          <t>0:25</t>
        </is>
      </c>
      <c r="C5118" t="inlineStr">
        <is>
          <t>custody of that rabbit</t>
        </is>
      </c>
      <c r="D5118">
        <f>HYPERLINK("https://www.youtube.com/watch?v=h3HZyOhe9u4&amp;t=25s", "Go to time")</f>
        <v/>
      </c>
    </row>
    <row r="5119">
      <c r="A5119">
        <f>HYPERLINK("https://www.youtube.com/watch?v=h3HZyOhe9u4", "Video")</f>
        <v/>
      </c>
      <c r="B5119" t="inlineStr">
        <is>
          <t>1:04</t>
        </is>
      </c>
      <c r="C5119" t="inlineStr">
        <is>
          <t>they're the rabbits from that book</t>
        </is>
      </c>
      <c r="D5119">
        <f>HYPERLINK("https://www.youtube.com/watch?v=h3HZyOhe9u4&amp;t=64s", "Go to time")</f>
        <v/>
      </c>
    </row>
    <row r="5120">
      <c r="A5120">
        <f>HYPERLINK("https://www.youtube.com/watch?v=JbuO_HceLVA", "Video")</f>
        <v/>
      </c>
      <c r="B5120" t="inlineStr">
        <is>
          <t>2:01</t>
        </is>
      </c>
      <c r="C5120" t="inlineStr">
        <is>
          <t>little bit in my kimono</t>
        </is>
      </c>
      <c r="D5120">
        <f>HYPERLINK("https://www.youtube.com/watch?v=JbuO_HceLVA&amp;t=121s", "Go to time")</f>
        <v/>
      </c>
    </row>
    <row r="5121">
      <c r="A5121">
        <f>HYPERLINK("https://www.youtube.com/watch?v=3AL2Pz47JHY", "Video")</f>
        <v/>
      </c>
      <c r="B5121" t="inlineStr">
        <is>
          <t>0:07</t>
        </is>
      </c>
      <c r="C5121" t="inlineStr">
        <is>
          <t>bit about the composer's intent with</t>
        </is>
      </c>
      <c r="D5121">
        <f>HYPERLINK("https://www.youtube.com/watch?v=3AL2Pz47JHY&amp;t=7s", "Go to time")</f>
        <v/>
      </c>
    </row>
    <row r="5122">
      <c r="A5122">
        <f>HYPERLINK("https://www.youtube.com/watch?v=jj4ltJ4eyVU", "Video")</f>
        <v/>
      </c>
      <c r="B5122" t="inlineStr">
        <is>
          <t>1:27</t>
        </is>
      </c>
      <c r="C5122" t="inlineStr">
        <is>
          <t>has a little bit of both I feel this</t>
        </is>
      </c>
      <c r="D5122">
        <f>HYPERLINK("https://www.youtube.com/watch?v=jj4ltJ4eyVU&amp;t=87s", "Go to time")</f>
        <v/>
      </c>
    </row>
    <row r="5123">
      <c r="A5123">
        <f>HYPERLINK("https://www.youtube.com/watch?v=jj4ltJ4eyVU", "Video")</f>
        <v/>
      </c>
      <c r="B5123" t="inlineStr">
        <is>
          <t>3:37</t>
        </is>
      </c>
      <c r="C5123" t="inlineStr">
        <is>
          <t>about your habits because I feel like</t>
        </is>
      </c>
      <c r="D5123">
        <f>HYPERLINK("https://www.youtube.com/watch?v=jj4ltJ4eyVU&amp;t=217s", "Go to time")</f>
        <v/>
      </c>
    </row>
    <row r="5124">
      <c r="A5124">
        <f>HYPERLINK("https://www.youtube.com/watch?v=jj4ltJ4eyVU", "Video")</f>
        <v/>
      </c>
      <c r="B5124" t="inlineStr">
        <is>
          <t>20:14</t>
        </is>
      </c>
      <c r="C5124" t="inlineStr">
        <is>
          <t>sci-fi like TV shows like she's a bit</t>
        </is>
      </c>
      <c r="D5124">
        <f>HYPERLINK("https://www.youtube.com/watch?v=jj4ltJ4eyVU&amp;t=1214s", "Go to time")</f>
        <v/>
      </c>
    </row>
    <row r="5125">
      <c r="A5125">
        <f>HYPERLINK("https://www.youtube.com/watch?v=jj4ltJ4eyVU", "Video")</f>
        <v/>
      </c>
      <c r="B5125" t="inlineStr">
        <is>
          <t>26:12</t>
        </is>
      </c>
      <c r="C5125" t="inlineStr">
        <is>
          <t>little bit too but definitely definitely</t>
        </is>
      </c>
      <c r="D5125">
        <f>HYPERLINK("https://www.youtube.com/watch?v=jj4ltJ4eyVU&amp;t=1572s", "Go to time")</f>
        <v/>
      </c>
    </row>
    <row r="5126">
      <c r="A5126">
        <f>HYPERLINK("https://www.youtube.com/watch?v=jj4ltJ4eyVU", "Video")</f>
        <v/>
      </c>
      <c r="B5126" t="inlineStr">
        <is>
          <t>31:09</t>
        </is>
      </c>
      <c r="C5126" t="inlineStr">
        <is>
          <t>and he's a bit of a scatter brain and so</t>
        </is>
      </c>
      <c r="D5126">
        <f>HYPERLINK("https://www.youtube.com/watch?v=jj4ltJ4eyVU&amp;t=1869s", "Go to time")</f>
        <v/>
      </c>
    </row>
    <row r="5127">
      <c r="A5127">
        <f>HYPERLINK("https://www.youtube.com/watch?v=jj4ltJ4eyVU", "Video")</f>
        <v/>
      </c>
      <c r="B5127" t="inlineStr">
        <is>
          <t>34:42</t>
        </is>
      </c>
      <c r="C5127" t="inlineStr">
        <is>
          <t>imbibe a little bit like it's weird</t>
        </is>
      </c>
      <c r="D5127">
        <f>HYPERLINK("https://www.youtube.com/watch?v=jj4ltJ4eyVU&amp;t=2082s", "Go to time")</f>
        <v/>
      </c>
    </row>
    <row r="5128">
      <c r="A5128">
        <f>HYPERLINK("https://www.youtube.com/watch?v=jj4ltJ4eyVU", "Video")</f>
        <v/>
      </c>
      <c r="B5128" t="inlineStr">
        <is>
          <t>37:30</t>
        </is>
      </c>
      <c r="C5128" t="inlineStr">
        <is>
          <t>Little Bit Hurts I don't want to say</t>
        </is>
      </c>
      <c r="D5128">
        <f>HYPERLINK("https://www.youtube.com/watch?v=jj4ltJ4eyVU&amp;t=2250s", "Go to time")</f>
        <v/>
      </c>
    </row>
    <row r="5129">
      <c r="A5129">
        <f>HYPERLINK("https://www.youtube.com/watch?v=jj4ltJ4eyVU", "Video")</f>
        <v/>
      </c>
      <c r="B5129" t="inlineStr">
        <is>
          <t>38:13</t>
        </is>
      </c>
      <c r="C5129" t="inlineStr">
        <is>
          <t>I'm just the same bitter Betty do not</t>
        </is>
      </c>
      <c r="D5129">
        <f>HYPERLINK("https://www.youtube.com/watch?v=jj4ltJ4eyVU&amp;t=2293s", "Go to time")</f>
        <v/>
      </c>
    </row>
    <row r="5130">
      <c r="A5130">
        <f>HYPERLINK("https://www.youtube.com/watch?v=jj4ltJ4eyVU", "Video")</f>
        <v/>
      </c>
      <c r="B5130" t="inlineStr">
        <is>
          <t>44:57</t>
        </is>
      </c>
      <c r="C5130" t="inlineStr">
        <is>
          <t>bit longer but I will be back that's</t>
        </is>
      </c>
      <c r="D5130">
        <f>HYPERLINK("https://www.youtube.com/watch?v=jj4ltJ4eyVU&amp;t=2697s", "Go to time")</f>
        <v/>
      </c>
    </row>
    <row r="5131">
      <c r="A5131">
        <f>HYPERLINK("https://www.youtube.com/watch?v=rJnS98cgEkc", "Video")</f>
        <v/>
      </c>
      <c r="B5131" t="inlineStr">
        <is>
          <t>1:03</t>
        </is>
      </c>
      <c r="C5131" t="inlineStr">
        <is>
          <t>and we got a chance yeah there's a bit</t>
        </is>
      </c>
      <c r="D5131">
        <f>HYPERLINK("https://www.youtube.com/watch?v=rJnS98cgEkc&amp;t=63s", "Go to time")</f>
        <v/>
      </c>
    </row>
    <row r="5132">
      <c r="A5132">
        <f>HYPERLINK("https://www.youtube.com/watch?v=01MaOsBus9s", "Video")</f>
        <v/>
      </c>
      <c r="B5132" t="inlineStr">
        <is>
          <t>0:20</t>
        </is>
      </c>
      <c r="C5132" t="inlineStr">
        <is>
          <t>uh exhibit nine</t>
        </is>
      </c>
      <c r="D5132">
        <f>HYPERLINK("https://www.youtube.com/watch?v=01MaOsBus9s&amp;t=20s", "Go to time")</f>
        <v/>
      </c>
    </row>
    <row r="5133">
      <c r="A5133">
        <f>HYPERLINK("https://www.youtube.com/watch?v=01MaOsBus9s", "Video")</f>
        <v/>
      </c>
      <c r="B5133" t="inlineStr">
        <is>
          <t>0:27</t>
        </is>
      </c>
      <c r="C5133" t="inlineStr">
        <is>
          <t>uh you're just handed exhibit nine</t>
        </is>
      </c>
      <c r="D5133">
        <f>HYPERLINK("https://www.youtube.com/watch?v=01MaOsBus9s&amp;t=27s", "Go to time")</f>
        <v/>
      </c>
    </row>
    <row r="5134">
      <c r="A5134">
        <f>HYPERLINK("https://www.youtube.com/watch?v=01MaOsBus9s", "Video")</f>
        <v/>
      </c>
      <c r="B5134" t="inlineStr">
        <is>
          <t>1:35</t>
        </is>
      </c>
      <c r="C5134" t="inlineStr">
        <is>
          <t>do you see that exhibit 96</t>
        </is>
      </c>
      <c r="D5134">
        <f>HYPERLINK("https://www.youtube.com/watch?v=01MaOsBus9s&amp;t=95s", "Go to time")</f>
        <v/>
      </c>
    </row>
    <row r="5135">
      <c r="A5135">
        <f>HYPERLINK("https://www.youtube.com/watch?v=01MaOsBus9s", "Video")</f>
        <v/>
      </c>
      <c r="B5135" t="inlineStr">
        <is>
          <t>1:37</t>
        </is>
      </c>
      <c r="C5135" t="inlineStr">
        <is>
          <t>exhibit 53. i'd like to move on to birth</t>
        </is>
      </c>
      <c r="D5135">
        <f>HYPERLINK("https://www.youtube.com/watch?v=01MaOsBus9s&amp;t=97s", "Go to time")</f>
        <v/>
      </c>
    </row>
    <row r="5136">
      <c r="A5136">
        <f>HYPERLINK("https://www.youtube.com/watch?v=M1izQTJvVec", "Video")</f>
        <v/>
      </c>
      <c r="B5136" t="inlineStr">
        <is>
          <t>1:38</t>
        </is>
      </c>
      <c r="C5136" t="inlineStr">
        <is>
          <t>Venom and you are mine you bit</t>
        </is>
      </c>
      <c r="D5136">
        <f>HYPERLINK("https://www.youtube.com/watch?v=M1izQTJvVec&amp;t=98s", "Go to time")</f>
        <v/>
      </c>
    </row>
    <row r="5137">
      <c r="A5137">
        <f>HYPERLINK("https://www.youtube.com/watch?v=pHZhOnRQjCU", "Video")</f>
        <v/>
      </c>
      <c r="B5137" t="inlineStr">
        <is>
          <t>8:53</t>
        </is>
      </c>
      <c r="C5137" t="inlineStr">
        <is>
          <t>hunt maybe Rush a little bit</t>
        </is>
      </c>
      <c r="D5137">
        <f>HYPERLINK("https://www.youtube.com/watch?v=pHZhOnRQjCU&amp;t=533s", "Go to time")</f>
        <v/>
      </c>
    </row>
    <row r="5138">
      <c r="A5138">
        <f>HYPERLINK("https://www.youtube.com/watch?v=UUH4_Gl8vJU", "Video")</f>
        <v/>
      </c>
      <c r="B5138" t="inlineStr">
        <is>
          <t>13:06</t>
        </is>
      </c>
      <c r="C5138" t="inlineStr">
        <is>
          <t>I don't know it it bit much to get my</t>
        </is>
      </c>
      <c r="D5138">
        <f>HYPERLINK("https://www.youtube.com/watch?v=UUH4_Gl8vJU&amp;t=786s", "Go to time")</f>
        <v/>
      </c>
    </row>
    <row r="5139">
      <c r="A5139">
        <f>HYPERLINK("https://www.youtube.com/watch?v=LWd4-IntSrA", "Video")</f>
        <v/>
      </c>
      <c r="B5139" t="inlineStr">
        <is>
          <t>2:22</t>
        </is>
      </c>
      <c r="C5139" t="inlineStr">
        <is>
          <t>bit you know it's just not how I</t>
        </is>
      </c>
      <c r="D5139">
        <f>HYPERLINK("https://www.youtube.com/watch?v=LWd4-IntSrA&amp;t=142s", "Go to time")</f>
        <v/>
      </c>
    </row>
    <row r="5140">
      <c r="A5140">
        <f>HYPERLINK("https://www.youtube.com/watch?v=Kc-yygpR90o", "Video")</f>
        <v/>
      </c>
      <c r="B5140" t="inlineStr">
        <is>
          <t>6:52</t>
        </is>
      </c>
      <c r="C5140" t="inlineStr">
        <is>
          <t>understand this is on YouTube bit weird</t>
        </is>
      </c>
      <c r="D5140">
        <f>HYPERLINK("https://www.youtube.com/watch?v=Kc-yygpR90o&amp;t=412s", "Go to time")</f>
        <v/>
      </c>
    </row>
    <row r="5141">
      <c r="A5141">
        <f>HYPERLINK("https://www.youtube.com/watch?v=Kc-yygpR90o", "Video")</f>
        <v/>
      </c>
      <c r="B5141" t="inlineStr">
        <is>
          <t>6:54</t>
        </is>
      </c>
      <c r="C5141" t="inlineStr">
        <is>
          <t>bit strange don't you get it get a trap</t>
        </is>
      </c>
      <c r="D5141">
        <f>HYPERLINK("https://www.youtube.com/watch?v=Kc-yygpR90o&amp;t=414s", "Go to time")</f>
        <v/>
      </c>
    </row>
    <row r="5142">
      <c r="A5142">
        <f>HYPERLINK("https://www.youtube.com/watch?v=1xcKCFzrWw0", "Video")</f>
        <v/>
      </c>
      <c r="B5142" t="inlineStr">
        <is>
          <t>0:53</t>
        </is>
      </c>
      <c r="C5142" t="inlineStr">
        <is>
          <t>obituary meline Kil</t>
        </is>
      </c>
      <c r="D5142">
        <f>HYPERLINK("https://www.youtube.com/watch?v=1xcKCFzrWw0&amp;t=53s", "Go to time")</f>
        <v/>
      </c>
    </row>
    <row r="5143">
      <c r="A5143">
        <f>HYPERLINK("https://www.youtube.com/watch?v=iyzf4ITnMG4", "Video")</f>
        <v/>
      </c>
      <c r="B5143" t="inlineStr">
        <is>
          <t>1:03</t>
        </is>
      </c>
      <c r="C5143" t="inlineStr">
        <is>
          <t>living hold on just a little bit longer</t>
        </is>
      </c>
      <c r="D5143">
        <f>HYPERLINK("https://www.youtube.com/watch?v=iyzf4ITnMG4&amp;t=63s", "Go to time")</f>
        <v/>
      </c>
    </row>
    <row r="5144">
      <c r="A5144">
        <f>HYPERLINK("https://www.youtube.com/watch?v=bqzwll_YSEE", "Video")</f>
        <v/>
      </c>
      <c r="B5144" t="inlineStr">
        <is>
          <t>1:15</t>
        </is>
      </c>
      <c r="C5144" t="inlineStr">
        <is>
          <t>yes a little bit of cream just</t>
        </is>
      </c>
      <c r="D5144">
        <f>HYPERLINK("https://www.youtube.com/watch?v=bqzwll_YSEE&amp;t=75s", "Go to time")</f>
        <v/>
      </c>
    </row>
    <row r="5145">
      <c r="A5145">
        <f>HYPERLINK("https://www.youtube.com/watch?v=bqzwll_YSEE", "Video")</f>
        <v/>
      </c>
      <c r="B5145" t="inlineStr">
        <is>
          <t>1:18</t>
        </is>
      </c>
      <c r="C5145" t="inlineStr">
        <is>
          <t>a little bit lower</t>
        </is>
      </c>
      <c r="D5145">
        <f>HYPERLINK("https://www.youtube.com/watch?v=bqzwll_YSEE&amp;t=78s", "Go to time")</f>
        <v/>
      </c>
    </row>
    <row r="5146">
      <c r="A5146">
        <f>HYPERLINK("https://www.youtube.com/watch?v=bqzwll_YSEE", "Video")</f>
        <v/>
      </c>
      <c r="B5146" t="inlineStr">
        <is>
          <t>2:15</t>
        </is>
      </c>
      <c r="C5146" t="inlineStr">
        <is>
          <t>fingernails it is a disgusting habit of</t>
        </is>
      </c>
      <c r="D5146">
        <f>HYPERLINK("https://www.youtube.com/watch?v=bqzwll_YSEE&amp;t=135s", "Go to time")</f>
        <v/>
      </c>
    </row>
    <row r="5147">
      <c r="A5147">
        <f>HYPERLINK("https://www.youtube.com/watch?v=_RujOFCHsxo", "Video")</f>
        <v/>
      </c>
      <c r="B5147" t="inlineStr">
        <is>
          <t>2:29</t>
        </is>
      </c>
      <c r="C5147" t="inlineStr">
        <is>
          <t>son of a bit</t>
        </is>
      </c>
      <c r="D5147">
        <f>HYPERLINK("https://www.youtube.com/watch?v=_RujOFCHsxo&amp;t=149s", "Go to time")</f>
        <v/>
      </c>
    </row>
    <row r="5148">
      <c r="A5148">
        <f>HYPERLINK("https://www.youtube.com/watch?v=8tPM-ddU45c", "Video")</f>
        <v/>
      </c>
      <c r="B5148" t="inlineStr">
        <is>
          <t>1:12</t>
        </is>
      </c>
      <c r="C5148" t="inlineStr">
        <is>
          <t>ambition</t>
        </is>
      </c>
      <c r="D5148">
        <f>HYPERLINK("https://www.youtube.com/watch?v=8tPM-ddU45c&amp;t=72s", "Go to time")</f>
        <v/>
      </c>
    </row>
    <row r="5149">
      <c r="A5149">
        <f>HYPERLINK("https://www.youtube.com/watch?v=8tPM-ddU45c", "Video")</f>
        <v/>
      </c>
      <c r="B5149" t="inlineStr">
        <is>
          <t>1:14</t>
        </is>
      </c>
      <c r="C5149" t="inlineStr">
        <is>
          <t>obviously these ambitions go far beyond</t>
        </is>
      </c>
      <c r="D5149">
        <f>HYPERLINK("https://www.youtube.com/watch?v=8tPM-ddU45c&amp;t=74s", "Go to time")</f>
        <v/>
      </c>
    </row>
    <row r="5150">
      <c r="A5150">
        <f>HYPERLINK("https://www.youtube.com/watch?v=W1HRxAqsuUY", "Video")</f>
        <v/>
      </c>
      <c r="B5150" t="inlineStr">
        <is>
          <t>0:19</t>
        </is>
      </c>
      <c r="C5150" t="inlineStr">
        <is>
          <t>luuka you got a rabbit headed your</t>
        </is>
      </c>
      <c r="D5150">
        <f>HYPERLINK("https://www.youtube.com/watch?v=W1HRxAqsuUY&amp;t=19s", "Go to time")</f>
        <v/>
      </c>
    </row>
    <row r="5151">
      <c r="A5151">
        <f>HYPERLINK("https://www.youtube.com/watch?v=Py98AixuBbc", "Video")</f>
        <v/>
      </c>
      <c r="B5151" t="inlineStr">
        <is>
          <t>6:10</t>
        </is>
      </c>
      <c r="C5151" t="inlineStr">
        <is>
          <t>taking a bit out of the next spot on</t>
        </is>
      </c>
      <c r="D5151">
        <f>HYPERLINK("https://www.youtube.com/watch?v=Py98AixuBbc&amp;t=370s", "Go to time")</f>
        <v/>
      </c>
    </row>
    <row r="5152">
      <c r="A5152">
        <f>HYPERLINK("https://www.youtube.com/watch?v=Py98AixuBbc", "Video")</f>
        <v/>
      </c>
      <c r="B5152" t="inlineStr">
        <is>
          <t>13:14</t>
        </is>
      </c>
      <c r="C5152" t="inlineStr">
        <is>
          <t>to try and stop a massive ambitious</t>
        </is>
      </c>
      <c r="D5152">
        <f>HYPERLINK("https://www.youtube.com/watch?v=Py98AixuBbc&amp;t=794s", "Go to time")</f>
        <v/>
      </c>
    </row>
    <row r="5153">
      <c r="A5153">
        <f>HYPERLINK("https://www.youtube.com/watch?v=Py98AixuBbc", "Video")</f>
        <v/>
      </c>
      <c r="B5153" t="inlineStr">
        <is>
          <t>18:36</t>
        </is>
      </c>
      <c r="C5153" t="inlineStr">
        <is>
          <t>showed bits of Liam Neeson fighting a</t>
        </is>
      </c>
      <c r="D5153">
        <f>HYPERLINK("https://www.youtube.com/watch?v=Py98AixuBbc&amp;t=1116s", "Go to time")</f>
        <v/>
      </c>
    </row>
    <row r="5154">
      <c r="A5154">
        <f>HYPERLINK("https://www.youtube.com/watch?v=Py98AixuBbc", "Video")</f>
        <v/>
      </c>
      <c r="B5154" t="inlineStr">
        <is>
          <t>19:35</t>
        </is>
      </c>
      <c r="C5154" t="inlineStr">
        <is>
          <t>Bernard named Cujo was bitten by a bat</t>
        </is>
      </c>
      <c r="D5154">
        <f>HYPERLINK("https://www.youtube.com/watch?v=Py98AixuBbc&amp;t=1175s", "Go to time")</f>
        <v/>
      </c>
    </row>
    <row r="5155">
      <c r="A5155">
        <f>HYPERLINK("https://www.youtube.com/watch?v=Py98AixuBbc", "Video")</f>
        <v/>
      </c>
      <c r="B5155" t="inlineStr">
        <is>
          <t>21:09</t>
        </is>
      </c>
      <c r="C5155" t="inlineStr">
        <is>
          <t>has since garnered a bit of a cult</t>
        </is>
      </c>
      <c r="D5155">
        <f>HYPERLINK("https://www.youtube.com/watch?v=Py98AixuBbc&amp;t=1269s", "Go to time")</f>
        <v/>
      </c>
    </row>
    <row r="5156">
      <c r="A5156">
        <f>HYPERLINK("https://www.youtube.com/watch?v=mgpGQJHSbYg", "Video")</f>
        <v/>
      </c>
      <c r="B5156" t="inlineStr">
        <is>
          <t>0:53</t>
        </is>
      </c>
      <c r="C5156" t="inlineStr">
        <is>
          <t>i just got bit by a rat it's</t>
        </is>
      </c>
      <c r="D5156">
        <f>HYPERLINK("https://www.youtube.com/watch?v=mgpGQJHSbYg&amp;t=53s", "Go to time")</f>
        <v/>
      </c>
    </row>
    <row r="5157">
      <c r="A5157">
        <f>HYPERLINK("https://www.youtube.com/watch?v=LS3J8e0Ye4k", "Video")</f>
        <v/>
      </c>
      <c r="B5157" t="inlineStr">
        <is>
          <t>0:02</t>
        </is>
      </c>
      <c r="C5157" t="inlineStr">
        <is>
          <t>kitchen pour myself a cup of ambition</t>
        </is>
      </c>
      <c r="D5157">
        <f>HYPERLINK("https://www.youtube.com/watch?v=LS3J8e0Ye4k&amp;t=2s", "Go to time")</f>
        <v/>
      </c>
    </row>
    <row r="5158">
      <c r="A5158">
        <f>HYPERLINK("https://www.youtube.com/watch?v=zJ63DmLpwNM", "Video")</f>
        <v/>
      </c>
      <c r="B5158" t="inlineStr">
        <is>
          <t>1:24</t>
        </is>
      </c>
      <c r="C5158" t="inlineStr">
        <is>
          <t>saw that thing is when I tried to bite</t>
        </is>
      </c>
      <c r="D5158">
        <f>HYPERLINK("https://www.youtube.com/watch?v=zJ63DmLpwNM&amp;t=84s", "Go to time")</f>
        <v/>
      </c>
    </row>
    <row r="5159">
      <c r="A5159">
        <f>HYPERLINK("https://www.youtube.com/watch?v=TvqNXo1NIh8", "Video")</f>
        <v/>
      </c>
      <c r="B5159" t="inlineStr">
        <is>
          <t>0:37</t>
        </is>
      </c>
      <c r="C5159" t="inlineStr">
        <is>
          <t>can you please drive a little bit more</t>
        </is>
      </c>
      <c r="D5159">
        <f>HYPERLINK("https://www.youtube.com/watch?v=TvqNXo1NIh8&amp;t=37s", "Go to time")</f>
        <v/>
      </c>
    </row>
    <row r="5160">
      <c r="A5160">
        <f>HYPERLINK("https://www.youtube.com/watch?v=WImbC8hGs6M", "Video")</f>
        <v/>
      </c>
      <c r="B5160" t="inlineStr">
        <is>
          <t>0:56</t>
        </is>
      </c>
      <c r="C5160" t="inlineStr">
        <is>
          <t>bit so Roxy before you go off filming</t>
        </is>
      </c>
      <c r="D5160">
        <f>HYPERLINK("https://www.youtube.com/watch?v=WImbC8hGs6M&amp;t=56s", "Go to time")</f>
        <v/>
      </c>
    </row>
    <row r="5161">
      <c r="A5161">
        <f>HYPERLINK("https://www.youtube.com/watch?v=WImbC8hGs6M", "Video")</f>
        <v/>
      </c>
      <c r="B5161" t="inlineStr">
        <is>
          <t>11:50</t>
        </is>
      </c>
      <c r="C5161" t="inlineStr">
        <is>
          <t>favorite a little bit long and prosper</t>
        </is>
      </c>
      <c r="D5161">
        <f>HYPERLINK("https://www.youtube.com/watch?v=WImbC8hGs6M&amp;t=710s", "Go to time")</f>
        <v/>
      </c>
    </row>
    <row r="5162">
      <c r="A5162">
        <f>HYPERLINK("https://www.youtube.com/watch?v=WImbC8hGs6M", "Video")</f>
        <v/>
      </c>
      <c r="B5162" t="inlineStr">
        <is>
          <t>20:26</t>
        </is>
      </c>
      <c r="C5162" t="inlineStr">
        <is>
          <t>space uh did that bug bite you as hard</t>
        </is>
      </c>
      <c r="D5162">
        <f>HYPERLINK("https://www.youtube.com/watch?v=WImbC8hGs6M&amp;t=1226s", "Go to time")</f>
        <v/>
      </c>
    </row>
    <row r="5163">
      <c r="A5163">
        <f>HYPERLINK("https://www.youtube.com/watch?v=WImbC8hGs6M", "Video")</f>
        <v/>
      </c>
      <c r="B5163" t="inlineStr">
        <is>
          <t>20:28</t>
        </is>
      </c>
      <c r="C5163" t="inlineStr">
        <is>
          <t>as it bit uh me and my friends in</t>
        </is>
      </c>
      <c r="D5163">
        <f>HYPERLINK("https://www.youtube.com/watch?v=WImbC8hGs6M&amp;t=1228s", "Go to time")</f>
        <v/>
      </c>
    </row>
    <row r="5164">
      <c r="A5164">
        <f>HYPERLINK("https://www.youtube.com/watch?v=WImbC8hGs6M", "Video")</f>
        <v/>
      </c>
      <c r="B5164" t="inlineStr">
        <is>
          <t>21:47</t>
        </is>
      </c>
      <c r="C5164" t="inlineStr">
        <is>
          <t>little bit of trouble but if you don't</t>
        </is>
      </c>
      <c r="D5164">
        <f>HYPERLINK("https://www.youtube.com/watch?v=WImbC8hGs6M&amp;t=1307s", "Go to time")</f>
        <v/>
      </c>
    </row>
    <row r="5165">
      <c r="A5165">
        <f>HYPERLINK("https://www.youtube.com/watch?v=WImbC8hGs6M", "Video")</f>
        <v/>
      </c>
      <c r="B5165" t="inlineStr">
        <is>
          <t>27:09</t>
        </is>
      </c>
      <c r="C5165" t="inlineStr">
        <is>
          <t>bitching about the fact that he's gonna</t>
        </is>
      </c>
      <c r="D5165">
        <f>HYPERLINK("https://www.youtube.com/watch?v=WImbC8hGs6M&amp;t=1629s", "Go to time")</f>
        <v/>
      </c>
    </row>
    <row r="5166">
      <c r="A5166">
        <f>HYPERLINK("https://www.youtube.com/watch?v=WImbC8hGs6M", "Video")</f>
        <v/>
      </c>
      <c r="B5166" t="inlineStr">
        <is>
          <t>45:04</t>
        </is>
      </c>
      <c r="C5166" t="inlineStr">
        <is>
          <t>want to break the rules a little bit and</t>
        </is>
      </c>
      <c r="D5166">
        <f>HYPERLINK("https://www.youtube.com/watch?v=WImbC8hGs6M&amp;t=2704s", "Go to time")</f>
        <v/>
      </c>
    </row>
    <row r="5167">
      <c r="A5167">
        <f>HYPERLINK("https://www.youtube.com/watch?v=WImbC8hGs6M", "Video")</f>
        <v/>
      </c>
      <c r="B5167" t="inlineStr">
        <is>
          <t>45:28</t>
        </is>
      </c>
      <c r="C5167" t="inlineStr">
        <is>
          <t>that's got a little bit of of sports</t>
        </is>
      </c>
      <c r="D5167">
        <f>HYPERLINK("https://www.youtube.com/watch?v=WImbC8hGs6M&amp;t=2728s", "Go to time")</f>
        <v/>
      </c>
    </row>
    <row r="5168">
      <c r="A5168">
        <f>HYPERLINK("https://www.youtube.com/watch?v=WImbC8hGs6M", "Video")</f>
        <v/>
      </c>
      <c r="B5168" t="inlineStr">
        <is>
          <t>51:51</t>
        </is>
      </c>
      <c r="C5168" t="inlineStr">
        <is>
          <t>little bit looser we have some topics</t>
        </is>
      </c>
      <c r="D5168">
        <f>HYPERLINK("https://www.youtube.com/watch?v=WImbC8hGs6M&amp;t=3111s", "Go to time")</f>
        <v/>
      </c>
    </row>
    <row r="5169">
      <c r="A5169">
        <f>HYPERLINK("https://www.youtube.com/watch?v=YA35hUiz3ac", "Video")</f>
        <v/>
      </c>
      <c r="B5169" t="inlineStr">
        <is>
          <t>1:51</t>
        </is>
      </c>
      <c r="C5169" t="inlineStr">
        <is>
          <t>last bit all right</t>
        </is>
      </c>
      <c r="D5169">
        <f>HYPERLINK("https://www.youtube.com/watch?v=YA35hUiz3ac&amp;t=111s", "Go to time")</f>
        <v/>
      </c>
    </row>
    <row r="5170">
      <c r="A5170">
        <f>HYPERLINK("https://www.youtube.com/watch?v=7TKfJs38bH4", "Video")</f>
        <v/>
      </c>
      <c r="B5170" t="inlineStr">
        <is>
          <t>2:23</t>
        </is>
      </c>
      <c r="C5170" t="inlineStr">
        <is>
          <t>once bitten twice shy I keep my distance</t>
        </is>
      </c>
      <c r="D5170">
        <f>HYPERLINK("https://www.youtube.com/watch?v=7TKfJs38bH4&amp;t=143s", "Go to time")</f>
        <v/>
      </c>
    </row>
    <row r="5171">
      <c r="A5171">
        <f>HYPERLINK("https://www.youtube.com/watch?v=pzOAzT8gOJU", "Video")</f>
        <v/>
      </c>
      <c r="B5171" t="inlineStr">
        <is>
          <t>1:46</t>
        </is>
      </c>
      <c r="C5171" t="inlineStr">
        <is>
          <t>you know um given that I'm in a bit of a</t>
        </is>
      </c>
      <c r="D5171">
        <f>HYPERLINK("https://www.youtube.com/watch?v=pzOAzT8gOJU&amp;t=106s", "Go to time")</f>
        <v/>
      </c>
    </row>
    <row r="5172">
      <c r="A5172">
        <f>HYPERLINK("https://www.youtube.com/watch?v=TOPGeDJQmVM", "Video")</f>
        <v/>
      </c>
      <c r="B5172" t="inlineStr">
        <is>
          <t>0:48</t>
        </is>
      </c>
      <c r="C5172" t="inlineStr">
        <is>
          <t>thereit bit more on the left B one uh</t>
        </is>
      </c>
      <c r="D5172">
        <f>HYPERLINK("https://www.youtube.com/watch?v=TOPGeDJQmVM&amp;t=48s", "Go to time")</f>
        <v/>
      </c>
    </row>
    <row r="5173">
      <c r="A5173">
        <f>HYPERLINK("https://www.youtube.com/watch?v=TOPGeDJQmVM", "Video")</f>
        <v/>
      </c>
      <c r="B5173" t="inlineStr">
        <is>
          <t>0:58</t>
        </is>
      </c>
      <c r="C5173" t="inlineStr">
        <is>
          <t>bit thanks I mean no biggie trust me</t>
        </is>
      </c>
      <c r="D5173">
        <f>HYPERLINK("https://www.youtube.com/watch?v=TOPGeDJQmVM&amp;t=58s", "Go to time")</f>
        <v/>
      </c>
    </row>
    <row r="5174">
      <c r="A5174">
        <f>HYPERLINK("https://www.youtube.com/watch?v=_eShLvhCV5w", "Video")</f>
        <v/>
      </c>
      <c r="B5174" t="inlineStr">
        <is>
          <t>0:28</t>
        </is>
      </c>
      <c r="C5174" t="inlineStr">
        <is>
          <t>obviously I know a little bit about</t>
        </is>
      </c>
      <c r="D5174">
        <f>HYPERLINK("https://www.youtube.com/watch?v=_eShLvhCV5w&amp;t=28s", "Go to time")</f>
        <v/>
      </c>
    </row>
    <row r="5175">
      <c r="A5175">
        <f>HYPERLINK("https://www.youtube.com/watch?v=_eShLvhCV5w", "Video")</f>
        <v/>
      </c>
      <c r="B5175" t="inlineStr">
        <is>
          <t>4:14</t>
        </is>
      </c>
      <c r="C5175" t="inlineStr">
        <is>
          <t>say was a bit of direction or the way he</t>
        </is>
      </c>
      <c r="D5175">
        <f>HYPERLINK("https://www.youtube.com/watch?v=_eShLvhCV5w&amp;t=254s", "Go to time")</f>
        <v/>
      </c>
    </row>
    <row r="5176">
      <c r="A5176">
        <f>HYPERLINK("https://www.youtube.com/watch?v=_eShLvhCV5w", "Video")</f>
        <v/>
      </c>
      <c r="B5176" t="inlineStr">
        <is>
          <t>6:39</t>
        </is>
      </c>
      <c r="C5176" t="inlineStr">
        <is>
          <t>is I kind of feel like there was a bit</t>
        </is>
      </c>
      <c r="D5176">
        <f>HYPERLINK("https://www.youtube.com/watch?v=_eShLvhCV5w&amp;t=399s", "Go to time")</f>
        <v/>
      </c>
    </row>
    <row r="5177">
      <c r="A5177">
        <f>HYPERLINK("https://www.youtube.com/watch?v=_eShLvhCV5w", "Video")</f>
        <v/>
      </c>
      <c r="B5177" t="inlineStr">
        <is>
          <t>6:47</t>
        </is>
      </c>
      <c r="C5177" t="inlineStr">
        <is>
          <t>always a bit of me that was more of a</t>
        </is>
      </c>
      <c r="D5177">
        <f>HYPERLINK("https://www.youtube.com/watch?v=_eShLvhCV5w&amp;t=407s", "Go to time")</f>
        <v/>
      </c>
    </row>
    <row r="5178">
      <c r="A5178">
        <f>HYPERLINK("https://www.youtube.com/watch?v=_eShLvhCV5w", "Video")</f>
        <v/>
      </c>
      <c r="B5178" t="inlineStr">
        <is>
          <t>12:43</t>
        </is>
      </c>
      <c r="C5178" t="inlineStr">
        <is>
          <t>isn't it I want to talk a little bit</t>
        </is>
      </c>
      <c r="D5178">
        <f>HYPERLINK("https://www.youtube.com/watch?v=_eShLvhCV5w&amp;t=763s", "Go to time")</f>
        <v/>
      </c>
    </row>
    <row r="5179">
      <c r="A5179">
        <f>HYPERLINK("https://www.youtube.com/watch?v=_eShLvhCV5w", "Video")</f>
        <v/>
      </c>
      <c r="B5179" t="inlineStr">
        <is>
          <t>17:00</t>
        </is>
      </c>
      <c r="C5179" t="inlineStr">
        <is>
          <t>gotten into such a habit of being angry</t>
        </is>
      </c>
      <c r="D5179">
        <f>HYPERLINK("https://www.youtube.com/watch?v=_eShLvhCV5w&amp;t=1020s", "Go to time")</f>
        <v/>
      </c>
    </row>
    <row r="5180">
      <c r="A5180">
        <f>HYPERLINK("https://www.youtube.com/watch?v=a-H2YVuf7ZU", "Video")</f>
        <v/>
      </c>
      <c r="B5180" t="inlineStr">
        <is>
          <t>0:46</t>
        </is>
      </c>
      <c r="C5180" t="inlineStr">
        <is>
          <t>chomping to the bit they said they're</t>
        </is>
      </c>
      <c r="D5180">
        <f>HYPERLINK("https://www.youtube.com/watch?v=a-H2YVuf7ZU&amp;t=46s", "Go to time")</f>
        <v/>
      </c>
    </row>
    <row r="5181">
      <c r="A5181">
        <f>HYPERLINK("https://www.youtube.com/watch?v=LFo4egFSBWM", "Video")</f>
        <v/>
      </c>
      <c r="B5181" t="inlineStr">
        <is>
          <t>1:06</t>
        </is>
      </c>
      <c r="C5181" t="inlineStr">
        <is>
          <t>a little bit goodwill buddy and i used</t>
        </is>
      </c>
      <c r="D5181">
        <f>HYPERLINK("https://www.youtube.com/watch?v=LFo4egFSBWM&amp;t=66s", "Go to time")</f>
        <v/>
      </c>
    </row>
    <row r="5182">
      <c r="A5182">
        <f>HYPERLINK("https://www.youtube.com/watch?v=xpdiwHchwYQ", "Video")</f>
        <v/>
      </c>
      <c r="B5182" t="inlineStr">
        <is>
          <t>11:44</t>
        </is>
      </c>
      <c r="C5182" t="inlineStr">
        <is>
          <t>bit higher and I think there's still</t>
        </is>
      </c>
      <c r="D5182">
        <f>HYPERLINK("https://www.youtube.com/watch?v=xpdiwHchwYQ&amp;t=704s", "Go to time")</f>
        <v/>
      </c>
    </row>
    <row r="5183">
      <c r="A5183">
        <f>HYPERLINK("https://www.youtube.com/watch?v=xpdiwHchwYQ", "Video")</f>
        <v/>
      </c>
      <c r="B5183" t="inlineStr">
        <is>
          <t>13:24</t>
        </is>
      </c>
      <c r="C5183" t="inlineStr">
        <is>
          <t>there's a little bit of a middle ground</t>
        </is>
      </c>
      <c r="D5183">
        <f>HYPERLINK("https://www.youtube.com/watch?v=xpdiwHchwYQ&amp;t=804s", "Go to time")</f>
        <v/>
      </c>
    </row>
    <row r="5184">
      <c r="A5184">
        <f>HYPERLINK("https://www.youtube.com/watch?v=xpdiwHchwYQ", "Video")</f>
        <v/>
      </c>
      <c r="B5184" t="inlineStr">
        <is>
          <t>17:25</t>
        </is>
      </c>
      <c r="C5184" t="inlineStr">
        <is>
          <t>they're still around a little bit Yeah</t>
        </is>
      </c>
      <c r="D5184">
        <f>HYPERLINK("https://www.youtube.com/watch?v=xpdiwHchwYQ&amp;t=1045s", "Go to time")</f>
        <v/>
      </c>
    </row>
    <row r="5185">
      <c r="A5185">
        <f>HYPERLINK("https://www.youtube.com/watch?v=xpdiwHchwYQ", "Video")</f>
        <v/>
      </c>
      <c r="B5185" t="inlineStr">
        <is>
          <t>22:40</t>
        </is>
      </c>
      <c r="C5185" t="inlineStr">
        <is>
          <t>little bit edgier it's PG-13 there's</t>
        </is>
      </c>
      <c r="D5185">
        <f>HYPERLINK("https://www.youtube.com/watch?v=xpdiwHchwYQ&amp;t=1360s", "Go to time")</f>
        <v/>
      </c>
    </row>
    <row r="5186">
      <c r="A5186">
        <f>HYPERLINK("https://www.youtube.com/watch?v=xpdiwHchwYQ", "Video")</f>
        <v/>
      </c>
      <c r="B5186" t="inlineStr">
        <is>
          <t>22:59</t>
        </is>
      </c>
      <c r="C5186" t="inlineStr">
        <is>
          <t>to make something a little bit edgier</t>
        </is>
      </c>
      <c r="D5186">
        <f>HYPERLINK("https://www.youtube.com/watch?v=xpdiwHchwYQ&amp;t=1379s", "Go to time")</f>
        <v/>
      </c>
    </row>
    <row r="5187">
      <c r="A5187">
        <f>HYPERLINK("https://www.youtube.com/watch?v=xpdiwHchwYQ", "Video")</f>
        <v/>
      </c>
      <c r="B5187" t="inlineStr">
        <is>
          <t>23:06</t>
        </is>
      </c>
      <c r="C5187" t="inlineStr">
        <is>
          <t>properties and do something a little bit</t>
        </is>
      </c>
      <c r="D5187">
        <f>HYPERLINK("https://www.youtube.com/watch?v=xpdiwHchwYQ&amp;t=1386s", "Go to time")</f>
        <v/>
      </c>
    </row>
    <row r="5188">
      <c r="A5188">
        <f>HYPERLINK("https://www.youtube.com/watch?v=xpdiwHchwYQ", "Video")</f>
        <v/>
      </c>
      <c r="B5188" t="inlineStr">
        <is>
          <t>24:09</t>
        </is>
      </c>
      <c r="C5188" t="inlineStr">
        <is>
          <t>Rabbit which he started as another dark</t>
        </is>
      </c>
      <c r="D5188">
        <f>HYPERLINK("https://www.youtube.com/watch?v=xpdiwHchwYQ&amp;t=1449s", "Go to time")</f>
        <v/>
      </c>
    </row>
    <row r="5189">
      <c r="A5189">
        <f>HYPERLINK("https://www.youtube.com/watch?v=xpdiwHchwYQ", "Video")</f>
        <v/>
      </c>
      <c r="B5189" t="inlineStr">
        <is>
          <t>32:00</t>
        </is>
      </c>
      <c r="C5189" t="inlineStr">
        <is>
          <t>bit of like this is popular but how long</t>
        </is>
      </c>
      <c r="D5189">
        <f>HYPERLINK("https://www.youtube.com/watch?v=xpdiwHchwYQ&amp;t=1920s", "Go to time")</f>
        <v/>
      </c>
    </row>
    <row r="5190">
      <c r="A5190">
        <f>HYPERLINK("https://www.youtube.com/watch?v=xpdiwHchwYQ", "Video")</f>
        <v/>
      </c>
      <c r="B5190" t="inlineStr">
        <is>
          <t>34:05</t>
        </is>
      </c>
      <c r="C5190" t="inlineStr">
        <is>
          <t>The Rated R stuff yet but a little bit</t>
        </is>
      </c>
      <c r="D5190">
        <f>HYPERLINK("https://www.youtube.com/watch?v=xpdiwHchwYQ&amp;t=2045s", "Go to time")</f>
        <v/>
      </c>
    </row>
    <row r="5191">
      <c r="A5191">
        <f>HYPERLINK("https://www.youtube.com/watch?v=xpdiwHchwYQ", "Video")</f>
        <v/>
      </c>
      <c r="B5191" t="inlineStr">
        <is>
          <t>35:57</t>
        </is>
      </c>
      <c r="C5191" t="inlineStr">
        <is>
          <t>evil but they have a little bit of a</t>
        </is>
      </c>
      <c r="D5191">
        <f>HYPERLINK("https://www.youtube.com/watch?v=xpdiwHchwYQ&amp;t=2157s", "Go to time")</f>
        <v/>
      </c>
    </row>
    <row r="5192">
      <c r="A5192">
        <f>HYPERLINK("https://www.youtube.com/watch?v=xpdiwHchwYQ", "Video")</f>
        <v/>
      </c>
      <c r="B5192" t="inlineStr">
        <is>
          <t>39:16</t>
        </is>
      </c>
      <c r="C5192" t="inlineStr">
        <is>
          <t>up a little bit but yeah I do I do agree</t>
        </is>
      </c>
      <c r="D5192">
        <f>HYPERLINK("https://www.youtube.com/watch?v=xpdiwHchwYQ&amp;t=2356s", "Go to time")</f>
        <v/>
      </c>
    </row>
    <row r="5193">
      <c r="A5193">
        <f>HYPERLINK("https://www.youtube.com/watch?v=xpdiwHchwYQ", "Video")</f>
        <v/>
      </c>
      <c r="B5193" t="inlineStr">
        <is>
          <t>45:36</t>
        </is>
      </c>
      <c r="C5193" t="inlineStr">
        <is>
          <t>little bit more control I guess or they</t>
        </is>
      </c>
      <c r="D5193">
        <f>HYPERLINK("https://www.youtube.com/watch?v=xpdiwHchwYQ&amp;t=2736s", "Go to time")</f>
        <v/>
      </c>
    </row>
    <row r="5194">
      <c r="A5194">
        <f>HYPERLINK("https://www.youtube.com/watch?v=JSEqyKplLZ8", "Video")</f>
        <v/>
      </c>
      <c r="B5194" t="inlineStr">
        <is>
          <t>0:46</t>
        </is>
      </c>
      <c r="C5194" t="inlineStr">
        <is>
          <t>habit of walking</t>
        </is>
      </c>
      <c r="D5194">
        <f>HYPERLINK("https://www.youtube.com/watch?v=JSEqyKplLZ8&amp;t=46s", "Go to time")</f>
        <v/>
      </c>
    </row>
    <row r="5195">
      <c r="A5195">
        <f>HYPERLINK("https://www.youtube.com/watch?v=cCiIu63Sh3k", "Video")</f>
        <v/>
      </c>
      <c r="B5195" t="inlineStr">
        <is>
          <t>10:42</t>
        </is>
      </c>
      <c r="C5195" t="inlineStr">
        <is>
          <t>that should be a little bit higher and</t>
        </is>
      </c>
      <c r="D5195">
        <f>HYPERLINK("https://www.youtube.com/watch?v=cCiIu63Sh3k&amp;t=642s", "Go to time")</f>
        <v/>
      </c>
    </row>
    <row r="5196">
      <c r="A5196">
        <f>HYPERLINK("https://www.youtube.com/watch?v=QDZsrAaq1MM", "Video")</f>
        <v/>
      </c>
      <c r="B5196" t="inlineStr">
        <is>
          <t>0:34</t>
        </is>
      </c>
      <c r="C5196" t="inlineStr">
        <is>
          <t>on demand for a little bit now after a</t>
        </is>
      </c>
      <c r="D5196">
        <f>HYPERLINK("https://www.youtube.com/watch?v=QDZsrAaq1MM&amp;t=34s", "Go to time")</f>
        <v/>
      </c>
    </row>
    <row r="5197">
      <c r="A5197">
        <f>HYPERLINK("https://www.youtube.com/watch?v=QDZsrAaq1MM", "Video")</f>
        <v/>
      </c>
      <c r="B5197" t="inlineStr">
        <is>
          <t>0:54</t>
        </is>
      </c>
      <c r="C5197" t="inlineStr">
        <is>
          <t>know each other a little bit more mhm my</t>
        </is>
      </c>
      <c r="D5197">
        <f>HYPERLINK("https://www.youtube.com/watch?v=QDZsrAaq1MM&amp;t=54s", "Go to time")</f>
        <v/>
      </c>
    </row>
    <row r="5198">
      <c r="A5198">
        <f>HYPERLINK("https://www.youtube.com/watch?v=QDZsrAaq1MM", "Video")</f>
        <v/>
      </c>
      <c r="B5198" t="inlineStr">
        <is>
          <t>4:59</t>
        </is>
      </c>
      <c r="C5198" t="inlineStr">
        <is>
          <t>bit of everything and so you know I sit</t>
        </is>
      </c>
      <c r="D5198">
        <f>HYPERLINK("https://www.youtube.com/watch?v=QDZsrAaq1MM&amp;t=299s", "Go to time")</f>
        <v/>
      </c>
    </row>
    <row r="5199">
      <c r="A5199">
        <f>HYPERLINK("https://www.youtube.com/watch?v=QDZsrAaq1MM", "Video")</f>
        <v/>
      </c>
      <c r="B5199" t="inlineStr">
        <is>
          <t>6:49</t>
        </is>
      </c>
      <c r="C5199" t="inlineStr">
        <is>
          <t>conversation tear jerker a little bit</t>
        </is>
      </c>
      <c r="D5199">
        <f>HYPERLINK("https://www.youtube.com/watch?v=QDZsrAaq1MM&amp;t=409s", "Go to time")</f>
        <v/>
      </c>
    </row>
    <row r="5200">
      <c r="A5200">
        <f>HYPERLINK("https://www.youtube.com/watch?v=QDZsrAaq1MM", "Video")</f>
        <v/>
      </c>
      <c r="B5200" t="inlineStr">
        <is>
          <t>18:20</t>
        </is>
      </c>
      <c r="C5200" t="inlineStr">
        <is>
          <t>just a little bit and be somebody who's</t>
        </is>
      </c>
      <c r="D5200">
        <f>HYPERLINK("https://www.youtube.com/watch?v=QDZsrAaq1MM&amp;t=1100s", "Go to time")</f>
        <v/>
      </c>
    </row>
    <row r="5201">
      <c r="A5201">
        <f>HYPERLINK("https://www.youtube.com/watch?v=QDZsrAaq1MM", "Video")</f>
        <v/>
      </c>
      <c r="B5201" t="inlineStr">
        <is>
          <t>22:13</t>
        </is>
      </c>
      <c r="C5201" t="inlineStr">
        <is>
          <t>bit unwieldy I went and checked uh</t>
        </is>
      </c>
      <c r="D5201">
        <f>HYPERLINK("https://www.youtube.com/watch?v=QDZsrAaq1MM&amp;t=1333s", "Go to time")</f>
        <v/>
      </c>
    </row>
    <row r="5202">
      <c r="A5202">
        <f>HYPERLINK("https://www.youtube.com/watch?v=QDZsrAaq1MM", "Video")</f>
        <v/>
      </c>
      <c r="B5202" t="inlineStr">
        <is>
          <t>47:36</t>
        </is>
      </c>
      <c r="C5202" t="inlineStr">
        <is>
          <t>sad and bitter about the New England</t>
        </is>
      </c>
      <c r="D5202">
        <f>HYPERLINK("https://www.youtube.com/watch?v=QDZsrAaq1MM&amp;t=2856s", "Go to time")</f>
        <v/>
      </c>
    </row>
    <row r="5203">
      <c r="A5203">
        <f>HYPERLINK("https://www.youtube.com/watch?v=QDZsrAaq1MM", "Video")</f>
        <v/>
      </c>
      <c r="B5203" t="inlineStr">
        <is>
          <t>51:26</t>
        </is>
      </c>
      <c r="C5203" t="inlineStr">
        <is>
          <t>trying this bit and that's not working</t>
        </is>
      </c>
      <c r="D5203">
        <f>HYPERLINK("https://www.youtube.com/watch?v=QDZsrAaq1MM&amp;t=3086s", "Go to time")</f>
        <v/>
      </c>
    </row>
    <row r="5204">
      <c r="A5204">
        <f>HYPERLINK("https://www.youtube.com/watch?v=2LcElkbj3mQ", "Video")</f>
        <v/>
      </c>
      <c r="B5204" t="inlineStr">
        <is>
          <t>0:33</t>
        </is>
      </c>
      <c r="C5204" t="inlineStr">
        <is>
          <t>down Cory David the D team rabbit is</t>
        </is>
      </c>
      <c r="D5204">
        <f>HYPERLINK("https://www.youtube.com/watch?v=2LcElkbj3mQ&amp;t=33s", "Go to time")</f>
        <v/>
      </c>
    </row>
    <row r="5205">
      <c r="A5205">
        <f>HYPERLINK("https://www.youtube.com/watch?v=57W6po5S_KQ", "Video")</f>
        <v/>
      </c>
      <c r="B5205" t="inlineStr">
        <is>
          <t>2:06</t>
        </is>
      </c>
      <c r="C5205" t="inlineStr">
        <is>
          <t>bit a lie and she's glad to bring the</t>
        </is>
      </c>
      <c r="D5205">
        <f>HYPERLINK("https://www.youtube.com/watch?v=57W6po5S_KQ&amp;t=126s", "Go to time")</f>
        <v/>
      </c>
    </row>
    <row r="5206">
      <c r="A5206">
        <f>HYPERLINK("https://www.youtube.com/watch?v=rbn9PaN3q8o", "Video")</f>
        <v/>
      </c>
      <c r="B5206" t="inlineStr">
        <is>
          <t>1:22</t>
        </is>
      </c>
      <c r="C5206" t="inlineStr">
        <is>
          <t>that you know a little bit of that</t>
        </is>
      </c>
      <c r="D5206">
        <f>HYPERLINK("https://www.youtube.com/watch?v=rbn9PaN3q8o&amp;t=82s", "Go to time")</f>
        <v/>
      </c>
    </row>
    <row r="5207">
      <c r="A5207">
        <f>HYPERLINK("https://www.youtube.com/watch?v=g9wrPDB-9Xo", "Video")</f>
        <v/>
      </c>
      <c r="B5207" t="inlineStr">
        <is>
          <t>1:38</t>
        </is>
      </c>
      <c r="C5207" t="inlineStr">
        <is>
          <t>Must Destroy all his habitation no</t>
        </is>
      </c>
      <c r="D5207">
        <f>HYPERLINK("https://www.youtube.com/watch?v=g9wrPDB-9Xo&amp;t=98s", "Go to time")</f>
        <v/>
      </c>
    </row>
    <row r="5208">
      <c r="A5208">
        <f>HYPERLINK("https://www.youtube.com/watch?v=xbzhh7VeVKE", "Video")</f>
        <v/>
      </c>
      <c r="B5208" t="inlineStr">
        <is>
          <t>0:35</t>
        </is>
      </c>
      <c r="C5208" t="inlineStr">
        <is>
          <t>are you bitching out on me no not</t>
        </is>
      </c>
      <c r="D5208">
        <f>HYPERLINK("https://www.youtube.com/watch?v=xbzhh7VeVKE&amp;t=35s", "Go to time")</f>
        <v/>
      </c>
    </row>
    <row r="5209">
      <c r="A5209">
        <f>HYPERLINK("https://www.youtube.com/watch?v=xbzhh7VeVKE", "Video")</f>
        <v/>
      </c>
      <c r="B5209" t="inlineStr">
        <is>
          <t>0:36</t>
        </is>
      </c>
      <c r="C5209" t="inlineStr">
        <is>
          <t>bitching out on you should've been want</t>
        </is>
      </c>
      <c r="D5209">
        <f>HYPERLINK("https://www.youtube.com/watch?v=xbzhh7VeVKE&amp;t=36s", "Go to time")</f>
        <v/>
      </c>
    </row>
    <row r="5210">
      <c r="A5210">
        <f>HYPERLINK("https://www.youtube.com/watch?v=xbzhh7VeVKE", "Video")</f>
        <v/>
      </c>
      <c r="B5210" t="inlineStr">
        <is>
          <t>1:14</t>
        </is>
      </c>
      <c r="C5210" t="inlineStr">
        <is>
          <t>you're fun just hold your arm up a bit</t>
        </is>
      </c>
      <c r="D5210">
        <f>HYPERLINK("https://www.youtube.com/watch?v=xbzhh7VeVKE&amp;t=74s", "Go to time")</f>
        <v/>
      </c>
    </row>
    <row r="5211">
      <c r="A5211">
        <f>HYPERLINK("https://www.youtube.com/watch?v=JQEmnfrzbnE", "Video")</f>
        <v/>
      </c>
      <c r="B5211" t="inlineStr">
        <is>
          <t>0:45</t>
        </is>
      </c>
      <c r="C5211" t="inlineStr">
        <is>
          <t>startling illusions first a rabbit from</t>
        </is>
      </c>
      <c r="D5211">
        <f>HYPERLINK("https://www.youtube.com/watch?v=JQEmnfrzbnE&amp;t=45s", "Go to time")</f>
        <v/>
      </c>
    </row>
    <row r="5212">
      <c r="A5212">
        <f>HYPERLINK("https://www.youtube.com/watch?v=JQEmnfrzbnE", "Video")</f>
        <v/>
      </c>
      <c r="B5212" t="inlineStr">
        <is>
          <t>1:01</t>
        </is>
      </c>
      <c r="C5212" t="inlineStr">
        <is>
          <t>fact one bite from this spider means</t>
        </is>
      </c>
      <c r="D5212">
        <f>HYPERLINK("https://www.youtube.com/watch?v=JQEmnfrzbnE&amp;t=61s", "Go to time")</f>
        <v/>
      </c>
    </row>
    <row r="5213">
      <c r="A5213">
        <f>HYPERLINK("https://www.youtube.com/watch?v=OTCgs_kVjLw", "Video")</f>
        <v/>
      </c>
      <c r="B5213" t="inlineStr">
        <is>
          <t>12:41</t>
        </is>
      </c>
      <c r="C5213" t="inlineStr">
        <is>
          <t>a bit of fisticuffs should the occasion</t>
        </is>
      </c>
      <c r="D5213">
        <f>HYPERLINK("https://www.youtube.com/watch?v=OTCgs_kVjLw&amp;t=761s", "Go to time")</f>
        <v/>
      </c>
    </row>
    <row r="5214">
      <c r="A5214">
        <f>HYPERLINK("https://www.youtube.com/watch?v=nV5YaDYlA7k", "Video")</f>
        <v/>
      </c>
      <c r="B5214" t="inlineStr">
        <is>
          <t>0:55</t>
        </is>
      </c>
      <c r="C5214" t="inlineStr">
        <is>
          <t>a little bit</t>
        </is>
      </c>
      <c r="D5214">
        <f>HYPERLINK("https://www.youtube.com/watch?v=nV5YaDYlA7k&amp;t=55s", "Go to time")</f>
        <v/>
      </c>
    </row>
    <row r="5215">
      <c r="A5215">
        <f>HYPERLINK("https://www.youtube.com/watch?v=AUW7snOKAHQ", "Video")</f>
        <v/>
      </c>
      <c r="B5215" t="inlineStr">
        <is>
          <t>0:42</t>
        </is>
      </c>
      <c r="C5215" t="inlineStr">
        <is>
          <t>scoop it in so bitter</t>
        </is>
      </c>
      <c r="D5215">
        <f>HYPERLINK("https://www.youtube.com/watch?v=AUW7snOKAHQ&amp;t=42s", "Go to time")</f>
        <v/>
      </c>
    </row>
    <row r="5216">
      <c r="A5216">
        <f>HYPERLINK("https://www.youtube.com/watch?v=AUW7snOKAHQ", "Video")</f>
        <v/>
      </c>
      <c r="B5216" t="inlineStr">
        <is>
          <t>2:21</t>
        </is>
      </c>
      <c r="C5216" t="inlineStr">
        <is>
          <t>now and i am a little bit but it's a</t>
        </is>
      </c>
      <c r="D5216">
        <f>HYPERLINK("https://www.youtube.com/watch?v=AUW7snOKAHQ&amp;t=141s", "Go to time")</f>
        <v/>
      </c>
    </row>
    <row r="5217">
      <c r="A5217">
        <f>HYPERLINK("https://www.youtube.com/watch?v=G4i2gzgCgtE", "Video")</f>
        <v/>
      </c>
      <c r="B5217" t="inlineStr">
        <is>
          <t>24:09</t>
        </is>
      </c>
      <c r="C5217" t="inlineStr">
        <is>
          <t>a little bit better about yourself you</t>
        </is>
      </c>
      <c r="D5217">
        <f>HYPERLINK("https://www.youtube.com/watch?v=G4i2gzgCgtE&amp;t=1449s", "Go to time")</f>
        <v/>
      </c>
    </row>
    <row r="5218">
      <c r="A5218">
        <f>HYPERLINK("https://www.youtube.com/watch?v=GNSkaIuTNao", "Video")</f>
        <v/>
      </c>
      <c r="B5218" t="inlineStr">
        <is>
          <t>0:42</t>
        </is>
      </c>
      <c r="C5218" t="inlineStr">
        <is>
          <t>frostbite south face of Everest just</t>
        </is>
      </c>
      <c r="D5218">
        <f>HYPERLINK("https://www.youtube.com/watch?v=GNSkaIuTNao&amp;t=42s", "Go to time")</f>
        <v/>
      </c>
    </row>
    <row r="5219">
      <c r="A5219">
        <f>HYPERLINK("https://www.youtube.com/watch?v=PEzNimdqsi8", "Video")</f>
        <v/>
      </c>
      <c r="B5219" t="inlineStr">
        <is>
          <t>1:00</t>
        </is>
      </c>
      <c r="C5219" t="inlineStr">
        <is>
          <t>wanted to come in with a little bit of a</t>
        </is>
      </c>
      <c r="D5219">
        <f>HYPERLINK("https://www.youtube.com/watch?v=PEzNimdqsi8&amp;t=60s", "Go to time")</f>
        <v/>
      </c>
    </row>
    <row r="5220">
      <c r="A5220">
        <f>HYPERLINK("https://www.youtube.com/watch?v=PEzNimdqsi8", "Video")</f>
        <v/>
      </c>
      <c r="B5220" t="inlineStr">
        <is>
          <t>3:45</t>
        </is>
      </c>
      <c r="C5220" t="inlineStr">
        <is>
          <t>a little bit about some of those uh</t>
        </is>
      </c>
      <c r="D5220">
        <f>HYPERLINK("https://www.youtube.com/watch?v=PEzNimdqsi8&amp;t=225s", "Go to time")</f>
        <v/>
      </c>
    </row>
    <row r="5221">
      <c r="A5221">
        <f>HYPERLINK("https://www.youtube.com/watch?v=PEzNimdqsi8", "Video")</f>
        <v/>
      </c>
      <c r="B5221" t="inlineStr">
        <is>
          <t>10:13</t>
        </is>
      </c>
      <c r="C5221" t="inlineStr">
        <is>
          <t>normal set with every bit of resource in</t>
        </is>
      </c>
      <c r="D5221">
        <f>HYPERLINK("https://www.youtube.com/watch?v=PEzNimdqsi8&amp;t=613s", "Go to time")</f>
        <v/>
      </c>
    </row>
    <row r="5222">
      <c r="A5222">
        <f>HYPERLINK("https://www.youtube.com/watch?v=PEzNimdqsi8", "Video")</f>
        <v/>
      </c>
      <c r="B5222" t="inlineStr">
        <is>
          <t>21:02</t>
        </is>
      </c>
      <c r="C5222" t="inlineStr">
        <is>
          <t>it's a bit of a wrap it's a wrap when</t>
        </is>
      </c>
      <c r="D5222">
        <f>HYPERLINK("https://www.youtube.com/watch?v=PEzNimdqsi8&amp;t=1262s", "Go to time")</f>
        <v/>
      </c>
    </row>
    <row r="5223">
      <c r="A5223">
        <f>HYPERLINK("https://www.youtube.com/watch?v=PEzNimdqsi8", "Video")</f>
        <v/>
      </c>
      <c r="B5223" t="inlineStr">
        <is>
          <t>26:07</t>
        </is>
      </c>
      <c r="C5223" t="inlineStr">
        <is>
          <t>want to talk a little bit too about sing</t>
        </is>
      </c>
      <c r="D5223">
        <f>HYPERLINK("https://www.youtube.com/watch?v=PEzNimdqsi8&amp;t=1567s", "Go to time")</f>
        <v/>
      </c>
    </row>
    <row r="5224">
      <c r="A5224">
        <f>HYPERLINK("https://www.youtube.com/watch?v=PEzNimdqsi8", "Video")</f>
        <v/>
      </c>
      <c r="B5224" t="inlineStr">
        <is>
          <t>29:47</t>
        </is>
      </c>
      <c r="C5224" t="inlineStr">
        <is>
          <t>bearing a bit of my soul</t>
        </is>
      </c>
      <c r="D5224">
        <f>HYPERLINK("https://www.youtube.com/watch?v=PEzNimdqsi8&amp;t=1787s", "Go to time")</f>
        <v/>
      </c>
    </row>
    <row r="5225">
      <c r="A5225">
        <f>HYPERLINK("https://www.youtube.com/watch?v=-ZRcWbNf6wg", "Video")</f>
        <v/>
      </c>
      <c r="B5225" t="inlineStr">
        <is>
          <t>11:39</t>
        </is>
      </c>
      <c r="C5225" t="inlineStr">
        <is>
          <t>and all as well because CU bity at the</t>
        </is>
      </c>
      <c r="D5225">
        <f>HYPERLINK("https://www.youtube.com/watch?v=-ZRcWbNf6wg&amp;t=699s", "Go to time")</f>
        <v/>
      </c>
    </row>
    <row r="5226">
      <c r="A5226">
        <f>HYPERLINK("https://www.youtube.com/watch?v=-ZRcWbNf6wg", "Video")</f>
        <v/>
      </c>
      <c r="B5226" t="inlineStr">
        <is>
          <t>17:25</t>
        </is>
      </c>
      <c r="C5226" t="inlineStr">
        <is>
          <t>like Who Framed Roger Rabbit with Eddie</t>
        </is>
      </c>
      <c r="D5226">
        <f>HYPERLINK("https://www.youtube.com/watch?v=-ZRcWbNf6wg&amp;t=1045s", "Go to time")</f>
        <v/>
      </c>
    </row>
    <row r="5227">
      <c r="A5227">
        <f>HYPERLINK("https://www.youtube.com/watch?v=-ZRcWbNf6wg", "Video")</f>
        <v/>
      </c>
      <c r="B5227" t="inlineStr">
        <is>
          <t>23:25</t>
        </is>
      </c>
      <c r="C5227" t="inlineStr">
        <is>
          <t>was actually a really great bit of</t>
        </is>
      </c>
      <c r="D5227">
        <f>HYPERLINK("https://www.youtube.com/watch?v=-ZRcWbNf6wg&amp;t=1405s", "Go to time")</f>
        <v/>
      </c>
    </row>
    <row r="5228">
      <c r="A5228">
        <f>HYPERLINK("https://www.youtube.com/watch?v=-ZRcWbNf6wg", "Video")</f>
        <v/>
      </c>
      <c r="B5228" t="inlineStr">
        <is>
          <t>29:17</t>
        </is>
      </c>
      <c r="C5228" t="inlineStr">
        <is>
          <t>Hollywood regress a little bit well not</t>
        </is>
      </c>
      <c r="D5228">
        <f>HYPERLINK("https://www.youtube.com/watch?v=-ZRcWbNf6wg&amp;t=1757s", "Go to time")</f>
        <v/>
      </c>
    </row>
    <row r="5229">
      <c r="A5229">
        <f>HYPERLINK("https://www.youtube.com/watch?v=-ZRcWbNf6wg", "Video")</f>
        <v/>
      </c>
      <c r="B5229" t="inlineStr">
        <is>
          <t>29:19</t>
        </is>
      </c>
      <c r="C5229" t="inlineStr">
        <is>
          <t>a little bit quite a bit after this</t>
        </is>
      </c>
      <c r="D5229">
        <f>HYPERLINK("https://www.youtube.com/watch?v=-ZRcWbNf6wg&amp;t=1759s", "Go to time")</f>
        <v/>
      </c>
    </row>
    <row r="5230">
      <c r="A5230">
        <f>HYPERLINK("https://www.youtube.com/watch?v=-ZRcWbNf6wg", "Video")</f>
        <v/>
      </c>
      <c r="B5230" t="inlineStr">
        <is>
          <t>35:02</t>
        </is>
      </c>
      <c r="C5230" t="inlineStr">
        <is>
          <t>being a ha a little bit too love to</t>
        </is>
      </c>
      <c r="D5230">
        <f>HYPERLINK("https://www.youtube.com/watch?v=-ZRcWbNf6wg&amp;t=2102s", "Go to time")</f>
        <v/>
      </c>
    </row>
    <row r="5231">
      <c r="A5231">
        <f>HYPERLINK("https://www.youtube.com/watch?v=-ZRcWbNf6wg", "Video")</f>
        <v/>
      </c>
      <c r="B5231" t="inlineStr">
        <is>
          <t>40:10</t>
        </is>
      </c>
      <c r="C5231" t="inlineStr">
        <is>
          <t>and I I used to do a bit about this but</t>
        </is>
      </c>
      <c r="D5231">
        <f>HYPERLINK("https://www.youtube.com/watch?v=-ZRcWbNf6wg&amp;t=2410s", "Go to time")</f>
        <v/>
      </c>
    </row>
    <row r="5232">
      <c r="A5232">
        <f>HYPERLINK("https://www.youtube.com/watch?v=-ZRcWbNf6wg", "Video")</f>
        <v/>
      </c>
      <c r="B5232" t="inlineStr">
        <is>
          <t>44:00</t>
        </is>
      </c>
      <c r="C5232" t="inlineStr">
        <is>
          <t>a little bit more uh you would have been</t>
        </is>
      </c>
      <c r="D5232">
        <f>HYPERLINK("https://www.youtube.com/watch?v=-ZRcWbNf6wg&amp;t=2640s", "Go to time")</f>
        <v/>
      </c>
    </row>
    <row r="5233">
      <c r="A5233">
        <f>HYPERLINK("https://www.youtube.com/watch?v=-ZRcWbNf6wg", "Video")</f>
        <v/>
      </c>
      <c r="B5233" t="inlineStr">
        <is>
          <t>44:02</t>
        </is>
      </c>
      <c r="C5233" t="inlineStr">
        <is>
          <t>a little bit more on the edge of your</t>
        </is>
      </c>
      <c r="D5233">
        <f>HYPERLINK("https://www.youtube.com/watch?v=-ZRcWbNf6wg&amp;t=2642s", "Go to time")</f>
        <v/>
      </c>
    </row>
    <row r="5234">
      <c r="A5234">
        <f>HYPERLINK("https://www.youtube.com/watch?v=-ZRcWbNf6wg", "Video")</f>
        <v/>
      </c>
      <c r="B5234" t="inlineStr">
        <is>
          <t>49:50</t>
        </is>
      </c>
      <c r="C5234" t="inlineStr">
        <is>
          <t>to be out uh West for a little bit um</t>
        </is>
      </c>
      <c r="D5234">
        <f>HYPERLINK("https://www.youtube.com/watch?v=-ZRcWbNf6wg&amp;t=2990s", "Go to time")</f>
        <v/>
      </c>
    </row>
    <row r="5235">
      <c r="A5235">
        <f>HYPERLINK("https://www.youtube.com/watch?v=-ZRcWbNf6wg", "Video")</f>
        <v/>
      </c>
      <c r="B5235" t="inlineStr">
        <is>
          <t>50:37</t>
        </is>
      </c>
      <c r="C5235" t="inlineStr">
        <is>
          <t>but every bit helps 59% I will say for</t>
        </is>
      </c>
      <c r="D5235">
        <f>HYPERLINK("https://www.youtube.com/watch?v=-ZRcWbNf6wg&amp;t=3037s", "Go to time")</f>
        <v/>
      </c>
    </row>
    <row r="5236">
      <c r="A5236">
        <f>HYPERLINK("https://www.youtube.com/watch?v=-ZRcWbNf6wg", "Video")</f>
        <v/>
      </c>
      <c r="B5236" t="inlineStr">
        <is>
          <t>53:09</t>
        </is>
      </c>
      <c r="C5236" t="inlineStr">
        <is>
          <t>little bit of a break over the summer</t>
        </is>
      </c>
      <c r="D5236">
        <f>HYPERLINK("https://www.youtube.com/watch?v=-ZRcWbNf6wg&amp;t=3189s", "Go to time")</f>
        <v/>
      </c>
    </row>
    <row r="5237">
      <c r="A5237">
        <f>HYPERLINK("https://www.youtube.com/watch?v=SjSIFJbDbWE", "Video")</f>
        <v/>
      </c>
      <c r="B5237" t="inlineStr">
        <is>
          <t>1:40</t>
        </is>
      </c>
      <c r="C5237" t="inlineStr">
        <is>
          <t>was just buying a part for the rabbit</t>
        </is>
      </c>
      <c r="D5237">
        <f>HYPERLINK("https://www.youtube.com/watch?v=SjSIFJbDbWE&amp;t=100s", "Go to time")</f>
        <v/>
      </c>
    </row>
    <row r="5238">
      <c r="A5238">
        <f>HYPERLINK("https://www.youtube.com/watch?v=EkASynf8rJo", "Video")</f>
        <v/>
      </c>
      <c r="B5238" t="inlineStr">
        <is>
          <t>0:19</t>
        </is>
      </c>
      <c r="C5238" t="inlineStr">
        <is>
          <t>I was bitten by a radioactive spider</t>
        </is>
      </c>
      <c r="D5238">
        <f>HYPERLINK("https://www.youtube.com/watch?v=EkASynf8rJo&amp;t=19s", "Go to time")</f>
        <v/>
      </c>
    </row>
    <row r="5239">
      <c r="A5239">
        <f>HYPERLINK("https://www.youtube.com/watch?v=EkASynf8rJo", "Video")</f>
        <v/>
      </c>
      <c r="B5239" t="inlineStr">
        <is>
          <t>1:14</t>
        </is>
      </c>
      <c r="C5239" t="inlineStr">
        <is>
          <t>it was never supposed to bite you</t>
        </is>
      </c>
      <c r="D5239">
        <f>HYPERLINK("https://www.youtube.com/watch?v=EkASynf8rJo&amp;t=74s", "Go to time")</f>
        <v/>
      </c>
    </row>
    <row r="5240">
      <c r="A5240">
        <f>HYPERLINK("https://www.youtube.com/watch?v=bgon1Z4pzKw", "Video")</f>
        <v/>
      </c>
      <c r="B5240" t="inlineStr">
        <is>
          <t>1:57</t>
        </is>
      </c>
      <c r="C5240" t="inlineStr">
        <is>
          <t>out on lunch now scorsi who has a habit</t>
        </is>
      </c>
      <c r="D5240">
        <f>HYPERLINK("https://www.youtube.com/watch?v=bgon1Z4pzKw&amp;t=117s", "Go to time")</f>
        <v/>
      </c>
    </row>
    <row r="5241">
      <c r="A5241">
        <f>HYPERLINK("https://www.youtube.com/watch?v=bgon1Z4pzKw", "Video")</f>
        <v/>
      </c>
      <c r="B5241" t="inlineStr">
        <is>
          <t>3:30</t>
        </is>
      </c>
      <c r="C5241" t="inlineStr">
        <is>
          <t>film career this movie remains a bit of</t>
        </is>
      </c>
      <c r="D5241">
        <f>HYPERLINK("https://www.youtube.com/watch?v=bgon1Z4pzKw&amp;t=210s", "Go to time")</f>
        <v/>
      </c>
    </row>
    <row r="5242">
      <c r="A5242">
        <f>HYPERLINK("https://www.youtube.com/watch?v=98TbQbae0Pc", "Video")</f>
        <v/>
      </c>
      <c r="B5242" t="inlineStr">
        <is>
          <t>1:20</t>
        </is>
      </c>
      <c r="C5242" t="inlineStr">
        <is>
          <t>different Peter Parker okay A little bit</t>
        </is>
      </c>
      <c r="D5242">
        <f>HYPERLINK("https://www.youtube.com/watch?v=98TbQbae0Pc&amp;t=80s", "Go to time")</f>
        <v/>
      </c>
    </row>
    <row r="5243">
      <c r="A5243">
        <f>HYPERLINK("https://www.youtube.com/watch?v=98TbQbae0Pc", "Video")</f>
        <v/>
      </c>
      <c r="B5243" t="inlineStr">
        <is>
          <t>10:05</t>
        </is>
      </c>
      <c r="C5243" t="inlineStr">
        <is>
          <t>bit</t>
        </is>
      </c>
      <c r="D5243">
        <f>HYPERLINK("https://www.youtube.com/watch?v=98TbQbae0Pc&amp;t=605s", "Go to time")</f>
        <v/>
      </c>
    </row>
    <row r="5244">
      <c r="A5244">
        <f>HYPERLINK("https://www.youtube.com/watch?v=98TbQbae0Pc", "Video")</f>
        <v/>
      </c>
      <c r="B5244" t="inlineStr">
        <is>
          <t>13:30</t>
        </is>
      </c>
      <c r="C5244" t="inlineStr">
        <is>
          <t>bitten by would be enough me and for the</t>
        </is>
      </c>
      <c r="D5244">
        <f>HYPERLINK("https://www.youtube.com/watch?v=98TbQbae0Pc&amp;t=810s", "Go to time")</f>
        <v/>
      </c>
    </row>
    <row r="5245">
      <c r="A5245">
        <f>HYPERLINK("https://www.youtube.com/watch?v=Qc9eycqDJKk", "Video")</f>
        <v/>
      </c>
      <c r="B5245" t="inlineStr">
        <is>
          <t>0:48</t>
        </is>
      </c>
      <c r="C5245" t="inlineStr">
        <is>
          <t>yourself a little bit I don't know</t>
        </is>
      </c>
      <c r="D5245">
        <f>HYPERLINK("https://www.youtube.com/watch?v=Qc9eycqDJKk&amp;t=48s", "Go to time")</f>
        <v/>
      </c>
    </row>
    <row r="5246">
      <c r="A5246">
        <f>HYPERLINK("https://www.youtube.com/watch?v=If6m9yxYpZ8", "Video")</f>
        <v/>
      </c>
      <c r="B5246" t="inlineStr">
        <is>
          <t>1:27</t>
        </is>
      </c>
      <c r="C5246" t="inlineStr">
        <is>
          <t>bite okay storm is over let's go kids</t>
        </is>
      </c>
      <c r="D5246">
        <f>HYPERLINK("https://www.youtube.com/watch?v=If6m9yxYpZ8&amp;t=87s", "Go to time")</f>
        <v/>
      </c>
    </row>
    <row r="5247">
      <c r="A5247">
        <f>HYPERLINK("https://www.youtube.com/watch?v=If6m9yxYpZ8", "Video")</f>
        <v/>
      </c>
      <c r="B5247" t="inlineStr">
        <is>
          <t>2:51</t>
        </is>
      </c>
      <c r="C5247" t="inlineStr">
        <is>
          <t>bite bad fish ooh bad</t>
        </is>
      </c>
      <c r="D5247">
        <f>HYPERLINK("https://www.youtube.com/watch?v=If6m9yxYpZ8&amp;t=171s", "Go to time")</f>
        <v/>
      </c>
    </row>
    <row r="5248">
      <c r="A5248">
        <f>HYPERLINK("https://www.youtube.com/watch?v=VTAUTX3vxL8", "Video")</f>
        <v/>
      </c>
      <c r="B5248" t="inlineStr">
        <is>
          <t>0:48</t>
        </is>
      </c>
      <c r="C5248" t="inlineStr">
        <is>
          <t>might be a bit bigger than you want to</t>
        </is>
      </c>
      <c r="D5248">
        <f>HYPERLINK("https://www.youtube.com/watch?v=VTAUTX3vxL8&amp;t=48s", "Go to time")</f>
        <v/>
      </c>
    </row>
    <row r="5249">
      <c r="A5249">
        <f>HYPERLINK("https://www.youtube.com/watch?v=gQ-she8Xneo", "Video")</f>
        <v/>
      </c>
      <c r="B5249" t="inlineStr">
        <is>
          <t>2:17</t>
        </is>
      </c>
      <c r="C5249" t="inlineStr">
        <is>
          <t>and they've got ambition and they've got</t>
        </is>
      </c>
      <c r="D5249">
        <f>HYPERLINK("https://www.youtube.com/watch?v=gQ-she8Xneo&amp;t=137s", "Go to time")</f>
        <v/>
      </c>
    </row>
    <row r="5250">
      <c r="A5250">
        <f>HYPERLINK("https://www.youtube.com/watch?v=q1IeJxVBr8Q", "Video")</f>
        <v/>
      </c>
      <c r="B5250" t="inlineStr">
        <is>
          <t>2:25</t>
        </is>
      </c>
      <c r="C5250" t="inlineStr">
        <is>
          <t>andate tell what this word is not a bit</t>
        </is>
      </c>
      <c r="D5250">
        <f>HYPERLINK("https://www.youtube.com/watch?v=q1IeJxVBr8Q&amp;t=145s", "Go to time")</f>
        <v/>
      </c>
    </row>
    <row r="5251">
      <c r="A5251">
        <f>HYPERLINK("https://www.youtube.com/watch?v=3Xdup90YxYs", "Video")</f>
        <v/>
      </c>
      <c r="B5251" t="inlineStr">
        <is>
          <t>1:00</t>
        </is>
      </c>
      <c r="C5251" t="inlineStr">
        <is>
          <t>a little bit of bender in there oh no</t>
        </is>
      </c>
      <c r="D5251">
        <f>HYPERLINK("https://www.youtube.com/watch?v=3Xdup90YxYs&amp;t=60s", "Go to time")</f>
        <v/>
      </c>
    </row>
    <row r="5252">
      <c r="A5252">
        <f>HYPERLINK("https://www.youtube.com/watch?v=BHmTWsLyidc", "Video")</f>
        <v/>
      </c>
      <c r="B5252" t="inlineStr">
        <is>
          <t>1:17</t>
        </is>
      </c>
      <c r="C5252" t="inlineStr">
        <is>
          <t>rabbits weren't we and all the crazy</t>
        </is>
      </c>
      <c r="D5252">
        <f>HYPERLINK("https://www.youtube.com/watch?v=BHmTWsLyidc&amp;t=77s", "Go to time")</f>
        <v/>
      </c>
    </row>
    <row r="5253">
      <c r="A5253">
        <f>HYPERLINK("https://www.youtube.com/watch?v=vrBopmeeV4Y", "Video")</f>
        <v/>
      </c>
      <c r="B5253" t="inlineStr">
        <is>
          <t>1:15</t>
        </is>
      </c>
      <c r="C5253" t="inlineStr">
        <is>
          <t>want to bite him you want to scream</t>
        </is>
      </c>
      <c r="D5253">
        <f>HYPERLINK("https://www.youtube.com/watch?v=vrBopmeeV4Y&amp;t=75s", "Go to time")</f>
        <v/>
      </c>
    </row>
    <row r="5254">
      <c r="A5254">
        <f>HYPERLINK("https://www.youtube.com/watch?v=wtWscGb5L04", "Video")</f>
        <v/>
      </c>
      <c r="B5254" t="inlineStr">
        <is>
          <t>2:22</t>
        </is>
      </c>
      <c r="C5254" t="inlineStr">
        <is>
          <t>I just needed a little bit of bread to</t>
        </is>
      </c>
      <c r="D5254">
        <f>HYPERLINK("https://www.youtube.com/watch?v=wtWscGb5L04&amp;t=142s", "Go to time")</f>
        <v/>
      </c>
    </row>
    <row r="5255">
      <c r="A5255">
        <f>HYPERLINK("https://www.youtube.com/watch?v=cfbiBOhzykw", "Video")</f>
        <v/>
      </c>
      <c r="B5255" t="inlineStr">
        <is>
          <t>1:26</t>
        </is>
      </c>
      <c r="C5255" t="inlineStr">
        <is>
          <t>seriously hurts a little bit it's still</t>
        </is>
      </c>
      <c r="D5255">
        <f>HYPERLINK("https://www.youtube.com/watch?v=cfbiBOhzykw&amp;t=86s", "Go to time")</f>
        <v/>
      </c>
    </row>
    <row r="5256">
      <c r="A5256">
        <f>HYPERLINK("https://www.youtube.com/watch?v=l-A-q-uzBJ4", "Video")</f>
        <v/>
      </c>
      <c r="B5256" t="inlineStr">
        <is>
          <t>0:24</t>
        </is>
      </c>
      <c r="C5256" t="inlineStr">
        <is>
          <t>bit of masturbating when I was a little</t>
        </is>
      </c>
      <c r="D5256">
        <f>HYPERLINK("https://www.youtube.com/watch?v=l-A-q-uzBJ4&amp;t=24s", "Go to time")</f>
        <v/>
      </c>
    </row>
    <row r="5257">
      <c r="A5257">
        <f>HYPERLINK("https://www.youtube.com/watch?v=CYEpY7fj3Fc", "Video")</f>
        <v/>
      </c>
      <c r="B5257" t="inlineStr">
        <is>
          <t>0:13</t>
        </is>
      </c>
      <c r="C5257" t="inlineStr">
        <is>
          <t>no longer an exhibition review it's</t>
        </is>
      </c>
      <c r="D5257">
        <f>HYPERLINK("https://www.youtube.com/watch?v=CYEpY7fj3Fc&amp;t=13s", "Go to time")</f>
        <v/>
      </c>
    </row>
    <row r="5258">
      <c r="A5258">
        <f>HYPERLINK("https://www.youtube.com/watch?v=0FVuRP-y9wU", "Video")</f>
        <v/>
      </c>
      <c r="B5258" t="inlineStr">
        <is>
          <t>2:31</t>
        </is>
      </c>
      <c r="C5258" t="inlineStr">
        <is>
          <t>a bit of your own personal history. Um I</t>
        </is>
      </c>
      <c r="D5258">
        <f>HYPERLINK("https://www.youtube.com/watch?v=0FVuRP-y9wU&amp;t=151s", "Go to time")</f>
        <v/>
      </c>
    </row>
    <row r="5259">
      <c r="A5259">
        <f>HYPERLINK("https://www.youtube.com/watch?v=0FVuRP-y9wU", "Video")</f>
        <v/>
      </c>
      <c r="B5259" t="inlineStr">
        <is>
          <t>9:18</t>
        </is>
      </c>
      <c r="C5259" t="inlineStr">
        <is>
          <t>bit of head cannon, which is that</t>
        </is>
      </c>
      <c r="D5259">
        <f>HYPERLINK("https://www.youtube.com/watch?v=0FVuRP-y9wU&amp;t=558s", "Go to time")</f>
        <v/>
      </c>
    </row>
    <row r="5260">
      <c r="A5260">
        <f>HYPERLINK("https://www.youtube.com/watch?v=e7f-Gm00XeU", "Video")</f>
        <v/>
      </c>
      <c r="B5260" t="inlineStr">
        <is>
          <t>1:56</t>
        </is>
      </c>
      <c r="C5260" t="inlineStr">
        <is>
          <t>bite we can't have a Dorothy who puts on</t>
        </is>
      </c>
      <c r="D5260">
        <f>HYPERLINK("https://www.youtube.com/watch?v=e7f-Gm00XeU&amp;t=116s", "Go to time")</f>
        <v/>
      </c>
    </row>
    <row r="5261">
      <c r="A5261">
        <f>HYPERLINK("https://www.youtube.com/watch?v=79qdAq5f7zU", "Video")</f>
        <v/>
      </c>
      <c r="B5261" t="inlineStr">
        <is>
          <t>13:30</t>
        </is>
      </c>
      <c r="C5261" t="inlineStr">
        <is>
          <t>that little bit of green predator goo</t>
        </is>
      </c>
      <c r="D5261">
        <f>HYPERLINK("https://www.youtube.com/watch?v=79qdAq5f7zU&amp;t=810s", "Go to time")</f>
        <v/>
      </c>
    </row>
    <row r="5262">
      <c r="A5262">
        <f>HYPERLINK("https://www.youtube.com/watch?v=79qdAq5f7zU", "Video")</f>
        <v/>
      </c>
      <c r="B5262" t="inlineStr">
        <is>
          <t>19:35</t>
        </is>
      </c>
      <c r="C5262" t="inlineStr">
        <is>
          <t>cleric uncompromising and ambitiously</t>
        </is>
      </c>
      <c r="D5262">
        <f>HYPERLINK("https://www.youtube.com/watch?v=79qdAq5f7zU&amp;t=1175s", "Go to time")</f>
        <v/>
      </c>
    </row>
    <row r="5263">
      <c r="A5263">
        <f>HYPERLINK("https://www.youtube.com/watch?v=y2C7VNd8xn8", "Video")</f>
        <v/>
      </c>
      <c r="B5263" t="inlineStr">
        <is>
          <t>12:47</t>
        </is>
      </c>
      <c r="C5263" t="inlineStr">
        <is>
          <t>film I think tell me a little bit about</t>
        </is>
      </c>
      <c r="D5263">
        <f>HYPERLINK("https://www.youtube.com/watch?v=y2C7VNd8xn8&amp;t=767s", "Go to time")</f>
        <v/>
      </c>
    </row>
    <row r="5264">
      <c r="A5264">
        <f>HYPERLINK("https://www.youtube.com/watch?v=y2C7VNd8xn8", "Video")</f>
        <v/>
      </c>
      <c r="B5264" t="inlineStr">
        <is>
          <t>12:58</t>
        </is>
      </c>
      <c r="C5264" t="inlineStr">
        <is>
          <t>bit different she knew exactly what I</t>
        </is>
      </c>
      <c r="D5264">
        <f>HYPERLINK("https://www.youtube.com/watch?v=y2C7VNd8xn8&amp;t=778s", "Go to time")</f>
        <v/>
      </c>
    </row>
    <row r="5265">
      <c r="A5265">
        <f>HYPERLINK("https://www.youtube.com/watch?v=y2C7VNd8xn8", "Video")</f>
        <v/>
      </c>
      <c r="B5265" t="inlineStr">
        <is>
          <t>26:35</t>
        </is>
      </c>
      <c r="C5265" t="inlineStr">
        <is>
          <t>the best bit of direction that you've</t>
        </is>
      </c>
      <c r="D5265">
        <f>HYPERLINK("https://www.youtube.com/watch?v=y2C7VNd8xn8&amp;t=1595s", "Go to time")</f>
        <v/>
      </c>
    </row>
    <row r="5266">
      <c r="A5266">
        <f>HYPERLINK("https://www.youtube.com/watch?v=y2C7VNd8xn8", "Video")</f>
        <v/>
      </c>
      <c r="B5266" t="inlineStr">
        <is>
          <t>26:57</t>
        </is>
      </c>
      <c r="C5266" t="inlineStr">
        <is>
          <t>in and mold a little bit if he felt it</t>
        </is>
      </c>
      <c r="D5266">
        <f>HYPERLINK("https://www.youtube.com/watch?v=y2C7VNd8xn8&amp;t=1617s", "Go to time")</f>
        <v/>
      </c>
    </row>
    <row r="5267">
      <c r="A5267">
        <f>HYPERLINK("https://www.youtube.com/watch?v=-a1v_4eEZ-A", "Video")</f>
        <v/>
      </c>
      <c r="B5267" t="inlineStr">
        <is>
          <t>1:35</t>
        </is>
      </c>
      <c r="C5267" t="inlineStr">
        <is>
          <t>inhibitor on our way in. It's here. If I</t>
        </is>
      </c>
      <c r="D5267">
        <f>HYPERLINK("https://www.youtube.com/watch?v=-a1v_4eEZ-A&amp;t=95s", "Go to time")</f>
        <v/>
      </c>
    </row>
    <row r="5268">
      <c r="A5268">
        <f>HYPERLINK("https://www.youtube.com/watch?v=yb0ffnJlJA8", "Video")</f>
        <v/>
      </c>
      <c r="B5268" t="inlineStr">
        <is>
          <t>0:48</t>
        </is>
      </c>
      <c r="C5268" t="inlineStr">
        <is>
          <t>salt it a bit</t>
        </is>
      </c>
      <c r="D5268">
        <f>HYPERLINK("https://www.youtube.com/watch?v=yb0ffnJlJA8&amp;t=48s", "Go to time")</f>
        <v/>
      </c>
    </row>
    <row r="5269">
      <c r="A5269">
        <f>HYPERLINK("https://www.youtube.com/watch?v=riy-XHmyOJ0", "Video")</f>
        <v/>
      </c>
      <c r="B5269" t="inlineStr">
        <is>
          <t>1:14</t>
        </is>
      </c>
      <c r="C5269" t="inlineStr">
        <is>
          <t>bitterness in this conclave and I will</t>
        </is>
      </c>
      <c r="D5269">
        <f>HYPERLINK("https://www.youtube.com/watch?v=riy-XHmyOJ0&amp;t=74s", "Go to time")</f>
        <v/>
      </c>
    </row>
    <row r="5270">
      <c r="A5270">
        <f>HYPERLINK("https://www.youtube.com/watch?v=0fzpIZrAdAc", "Video")</f>
        <v/>
      </c>
      <c r="B5270" t="inlineStr">
        <is>
          <t>3:25</t>
        </is>
      </c>
      <c r="C5270" t="inlineStr">
        <is>
          <t>decade have you ever seen me exhibit any</t>
        </is>
      </c>
      <c r="D5270">
        <f>HYPERLINK("https://www.youtube.com/watch?v=0fzpIZrAdAc&amp;t=205s", "Go to time")</f>
        <v/>
      </c>
    </row>
    <row r="5271">
      <c r="A5271">
        <f>HYPERLINK("https://www.youtube.com/watch?v=Qwy13CLQ5RM", "Video")</f>
        <v/>
      </c>
      <c r="B5271" t="inlineStr">
        <is>
          <t>4:54</t>
        </is>
      </c>
      <c r="C5271" t="inlineStr">
        <is>
          <t>comes down to it a little bit of decency</t>
        </is>
      </c>
      <c r="D5271">
        <f>HYPERLINK("https://www.youtube.com/watch?v=Qwy13CLQ5RM&amp;t=294s", "Go to time")</f>
        <v/>
      </c>
    </row>
    <row r="5272">
      <c r="A5272">
        <f>HYPERLINK("https://www.youtube.com/watch?v=yprYw3FQUpQ", "Video")</f>
        <v/>
      </c>
      <c r="B5272" t="inlineStr">
        <is>
          <t>0:00</t>
        </is>
      </c>
      <c r="C5272" t="inlineStr">
        <is>
          <t>a bit over Surrey Debbie</t>
        </is>
      </c>
      <c r="D5272">
        <f>HYPERLINK("https://www.youtube.com/watch?v=yprYw3FQUpQ&amp;t=0s", "Go to time")</f>
        <v/>
      </c>
    </row>
    <row r="5273">
      <c r="A5273">
        <f>HYPERLINK("https://www.youtube.com/watch?v=Xozv95QM-Wg", "Video")</f>
        <v/>
      </c>
      <c r="B5273" t="inlineStr">
        <is>
          <t>1:15</t>
        </is>
      </c>
      <c r="C5273" t="inlineStr">
        <is>
          <t>is I'll take a little bit of sunscreen</t>
        </is>
      </c>
      <c r="D5273">
        <f>HYPERLINK("https://www.youtube.com/watch?v=Xozv95QM-Wg&amp;t=75s", "Go to time")</f>
        <v/>
      </c>
    </row>
    <row r="5274">
      <c r="A5274">
        <f>HYPERLINK("https://www.youtube.com/watch?v=Xozv95QM-Wg", "Video")</f>
        <v/>
      </c>
      <c r="B5274" t="inlineStr">
        <is>
          <t>21:23</t>
        </is>
      </c>
      <c r="C5274" t="inlineStr">
        <is>
          <t>um great great bit</t>
        </is>
      </c>
      <c r="D5274">
        <f>HYPERLINK("https://www.youtube.com/watch?v=Xozv95QM-Wg&amp;t=1283s", "Go to time")</f>
        <v/>
      </c>
    </row>
    <row r="5275">
      <c r="A5275">
        <f>HYPERLINK("https://www.youtube.com/watch?v=Xozv95QM-Wg", "Video")</f>
        <v/>
      </c>
      <c r="B5275" t="inlineStr">
        <is>
          <t>21:42</t>
        </is>
      </c>
      <c r="C5275" t="inlineStr">
        <is>
          <t>than Spaceballs a little bit a little</t>
        </is>
      </c>
      <c r="D5275">
        <f>HYPERLINK("https://www.youtube.com/watch?v=Xozv95QM-Wg&amp;t=1302s", "Go to time")</f>
        <v/>
      </c>
    </row>
    <row r="5276">
      <c r="A5276">
        <f>HYPERLINK("https://www.youtube.com/watch?v=Xozv95QM-Wg", "Video")</f>
        <v/>
      </c>
      <c r="B5276" t="inlineStr">
        <is>
          <t>21:44</t>
        </is>
      </c>
      <c r="C5276" t="inlineStr">
        <is>
          <t>bit but also I think my favorite is</t>
        </is>
      </c>
      <c r="D5276">
        <f>HYPERLINK("https://www.youtube.com/watch?v=Xozv95QM-Wg&amp;t=1304s", "Go to time")</f>
        <v/>
      </c>
    </row>
    <row r="5277">
      <c r="A5277">
        <f>HYPERLINK("https://www.youtube.com/watch?v=rziIlBFr-DE", "Video")</f>
        <v/>
      </c>
      <c r="B5277" t="inlineStr">
        <is>
          <t>2:42</t>
        </is>
      </c>
      <c r="C5277" t="inlineStr">
        <is>
          <t>just a couple old bitties uh-oh speak</t>
        </is>
      </c>
      <c r="D5277">
        <f>HYPERLINK("https://www.youtube.com/watch?v=rziIlBFr-DE&amp;t=162s", "Go to time")</f>
        <v/>
      </c>
    </row>
    <row r="5278">
      <c r="A5278">
        <f>HYPERLINK("https://www.youtube.com/watch?v=rPWbRdk4nlY", "Video")</f>
        <v/>
      </c>
      <c r="B5278" t="inlineStr">
        <is>
          <t>2:46</t>
        </is>
      </c>
      <c r="C5278" t="inlineStr">
        <is>
          <t>bit more accurate the number one moving</t>
        </is>
      </c>
      <c r="D5278">
        <f>HYPERLINK("https://www.youtube.com/watch?v=rPWbRdk4nlY&amp;t=166s", "Go to time")</f>
        <v/>
      </c>
    </row>
    <row r="5279">
      <c r="A5279">
        <f>HYPERLINK("https://www.youtube.com/watch?v=rPWbRdk4nlY", "Video")</f>
        <v/>
      </c>
      <c r="B5279" t="inlineStr">
        <is>
          <t>3:08</t>
        </is>
      </c>
      <c r="C5279" t="inlineStr">
        <is>
          <t>your history a little bit with Legend</t>
        </is>
      </c>
      <c r="D5279">
        <f>HYPERLINK("https://www.youtube.com/watch?v=rPWbRdk4nlY&amp;t=188s", "Go to time")</f>
        <v/>
      </c>
    </row>
    <row r="5280">
      <c r="A5280">
        <f>HYPERLINK("https://www.youtube.com/watch?v=rPWbRdk4nlY", "Video")</f>
        <v/>
      </c>
      <c r="B5280" t="inlineStr">
        <is>
          <t>3:10</t>
        </is>
      </c>
      <c r="C5280" t="inlineStr">
        <is>
          <t>like I have to know a little bit is this</t>
        </is>
      </c>
      <c r="D5280">
        <f>HYPERLINK("https://www.youtube.com/watch?v=rPWbRdk4nlY&amp;t=190s", "Go to time")</f>
        <v/>
      </c>
    </row>
    <row r="5281">
      <c r="A5281">
        <f>HYPERLINK("https://www.youtube.com/watch?v=rPWbRdk4nlY", "Video")</f>
        <v/>
      </c>
      <c r="B5281" t="inlineStr">
        <is>
          <t>5:01</t>
        </is>
      </c>
      <c r="C5281" t="inlineStr">
        <is>
          <t>genre I want my to be in a little bit of</t>
        </is>
      </c>
      <c r="D5281">
        <f>HYPERLINK("https://www.youtube.com/watch?v=rPWbRdk4nlY&amp;t=301s", "Go to time")</f>
        <v/>
      </c>
    </row>
    <row r="5282">
      <c r="A5282">
        <f>HYPERLINK("https://www.youtube.com/watch?v=rPWbRdk4nlY", "Video")</f>
        <v/>
      </c>
      <c r="B5282" t="inlineStr">
        <is>
          <t>5:03</t>
        </is>
      </c>
      <c r="C5282" t="inlineStr">
        <is>
          <t>not not a lot a little bit of peril and</t>
        </is>
      </c>
      <c r="D5282">
        <f>HYPERLINK("https://www.youtube.com/watch?v=rPWbRdk4nlY&amp;t=303s", "Go to time")</f>
        <v/>
      </c>
    </row>
    <row r="5283">
      <c r="A5283">
        <f>HYPERLINK("https://www.youtube.com/watch?v=rPWbRdk4nlY", "Video")</f>
        <v/>
      </c>
      <c r="B5283" t="inlineStr">
        <is>
          <t>7:00</t>
        </is>
      </c>
      <c r="C5283" t="inlineStr">
        <is>
          <t>little bit he just kind of seems to make</t>
        </is>
      </c>
      <c r="D5283">
        <f>HYPERLINK("https://www.youtube.com/watch?v=rPWbRdk4nlY&amp;t=420s", "Go to time")</f>
        <v/>
      </c>
    </row>
    <row r="5284">
      <c r="A5284">
        <f>HYPERLINK("https://www.youtube.com/watch?v=rPWbRdk4nlY", "Video")</f>
        <v/>
      </c>
      <c r="B5284" t="inlineStr">
        <is>
          <t>8:16</t>
        </is>
      </c>
      <c r="C5284" t="inlineStr">
        <is>
          <t>little bit more light-hearted more fun</t>
        </is>
      </c>
      <c r="D5284">
        <f>HYPERLINK("https://www.youtube.com/watch?v=rPWbRdk4nlY&amp;t=496s", "Go to time")</f>
        <v/>
      </c>
    </row>
    <row r="5285">
      <c r="A5285">
        <f>HYPERLINK("https://www.youtube.com/watch?v=rPWbRdk4nlY", "Video")</f>
        <v/>
      </c>
      <c r="B5285" t="inlineStr">
        <is>
          <t>8:20</t>
        </is>
      </c>
      <c r="C5285" t="inlineStr">
        <is>
          <t>little bit more but all those except for</t>
        </is>
      </c>
      <c r="D5285">
        <f>HYPERLINK("https://www.youtube.com/watch?v=rPWbRdk4nlY&amp;t=500s", "Go to time")</f>
        <v/>
      </c>
    </row>
    <row r="5286">
      <c r="A5286">
        <f>HYPERLINK("https://www.youtube.com/watch?v=rPWbRdk4nlY", "Video")</f>
        <v/>
      </c>
      <c r="B5286" t="inlineStr">
        <is>
          <t>11:45</t>
        </is>
      </c>
      <c r="C5286" t="inlineStr">
        <is>
          <t>seems like a little bit later for legend</t>
        </is>
      </c>
      <c r="D5286">
        <f>HYPERLINK("https://www.youtube.com/watch?v=rPWbRdk4nlY&amp;t=705s", "Go to time")</f>
        <v/>
      </c>
    </row>
    <row r="5287">
      <c r="A5287">
        <f>HYPERLINK("https://www.youtube.com/watch?v=rPWbRdk4nlY", "Video")</f>
        <v/>
      </c>
      <c r="B5287" t="inlineStr">
        <is>
          <t>14:20</t>
        </is>
      </c>
      <c r="C5287" t="inlineStr">
        <is>
          <t>an impressive bit of World building</t>
        </is>
      </c>
      <c r="D5287">
        <f>HYPERLINK("https://www.youtube.com/watch?v=rPWbRdk4nlY&amp;t=860s", "Go to time")</f>
        <v/>
      </c>
    </row>
    <row r="5288">
      <c r="A5288">
        <f>HYPERLINK("https://www.youtube.com/watch?v=rPWbRdk4nlY", "Video")</f>
        <v/>
      </c>
      <c r="B5288" t="inlineStr">
        <is>
          <t>21:18</t>
        </is>
      </c>
      <c r="C5288" t="inlineStr">
        <is>
          <t>woods is is may be fun for a little bit</t>
        </is>
      </c>
      <c r="D5288">
        <f>HYPERLINK("https://www.youtube.com/watch?v=rPWbRdk4nlY&amp;t=1278s", "Go to time")</f>
        <v/>
      </c>
    </row>
    <row r="5289">
      <c r="A5289">
        <f>HYPERLINK("https://www.youtube.com/watch?v=rPWbRdk4nlY", "Video")</f>
        <v/>
      </c>
      <c r="B5289" t="inlineStr">
        <is>
          <t>25:16</t>
        </is>
      </c>
      <c r="C5289" t="inlineStr">
        <is>
          <t>bit more action because the majority of</t>
        </is>
      </c>
      <c r="D5289">
        <f>HYPERLINK("https://www.youtube.com/watch?v=rPWbRdk4nlY&amp;t=1516s", "Go to time")</f>
        <v/>
      </c>
    </row>
    <row r="5290">
      <c r="A5290">
        <f>HYPERLINK("https://www.youtube.com/watch?v=rPWbRdk4nlY", "Video")</f>
        <v/>
      </c>
      <c r="B5290" t="inlineStr">
        <is>
          <t>25:35</t>
        </is>
      </c>
      <c r="C5290" t="inlineStr">
        <is>
          <t>like looking it an exhibit and like you</t>
        </is>
      </c>
      <c r="D5290">
        <f>HYPERLINK("https://www.youtube.com/watch?v=rPWbRdk4nlY&amp;t=1535s", "Go to time")</f>
        <v/>
      </c>
    </row>
    <row r="5291">
      <c r="A5291">
        <f>HYPERLINK("https://www.youtube.com/watch?v=rPWbRdk4nlY", "Video")</f>
        <v/>
      </c>
      <c r="B5291" t="inlineStr">
        <is>
          <t>35:46</t>
        </is>
      </c>
      <c r="C5291" t="inlineStr">
        <is>
          <t>you can say it's a little bit derivative</t>
        </is>
      </c>
      <c r="D5291">
        <f>HYPERLINK("https://www.youtube.com/watch?v=rPWbRdk4nlY&amp;t=2146s", "Go to time")</f>
        <v/>
      </c>
    </row>
    <row r="5292">
      <c r="A5292">
        <f>HYPERLINK("https://www.youtube.com/watch?v=rPWbRdk4nlY", "Video")</f>
        <v/>
      </c>
      <c r="B5292" t="inlineStr">
        <is>
          <t>38:18</t>
        </is>
      </c>
      <c r="C5292" t="inlineStr">
        <is>
          <t>punch that up a little bit Labyrinth is</t>
        </is>
      </c>
      <c r="D5292">
        <f>HYPERLINK("https://www.youtube.com/watch?v=rPWbRdk4nlY&amp;t=2298s", "Go to time")</f>
        <v/>
      </c>
    </row>
    <row r="5293">
      <c r="A5293">
        <f>HYPERLINK("https://www.youtube.com/watch?v=yHs5FYRJTQw", "Video")</f>
        <v/>
      </c>
      <c r="B5293" t="inlineStr">
        <is>
          <t>1:45</t>
        </is>
      </c>
      <c r="C5293" t="inlineStr">
        <is>
          <t>has an animal's habit</t>
        </is>
      </c>
      <c r="D5293">
        <f>HYPERLINK("https://www.youtube.com/watch?v=yHs5FYRJTQw&amp;t=105s", "Go to time")</f>
        <v/>
      </c>
    </row>
    <row r="5294">
      <c r="A5294">
        <f>HYPERLINK("https://www.youtube.com/watch?v=DNn1ps4-hPo", "Video")</f>
        <v/>
      </c>
      <c r="B5294" t="inlineStr">
        <is>
          <t>0:01</t>
        </is>
      </c>
      <c r="C5294" t="inlineStr">
        <is>
          <t>I know that your parents were bitten by</t>
        </is>
      </c>
      <c r="D5294">
        <f>HYPERLINK("https://www.youtube.com/watch?v=DNn1ps4-hPo&amp;t=1s", "Go to time")</f>
        <v/>
      </c>
    </row>
    <row r="5295">
      <c r="A5295">
        <f>HYPERLINK("https://www.youtube.com/watch?v=6V3vY7TW4S8", "Video")</f>
        <v/>
      </c>
      <c r="B5295" t="inlineStr">
        <is>
          <t>2:10</t>
        </is>
      </c>
      <c r="C5295" t="inlineStr">
        <is>
          <t>bit of period drama and getting it a</t>
        </is>
      </c>
      <c r="D5295">
        <f>HYPERLINK("https://www.youtube.com/watch?v=6V3vY7TW4S8&amp;t=130s", "Go to time")</f>
        <v/>
      </c>
    </row>
    <row r="5296">
      <c r="A5296">
        <f>HYPERLINK("https://www.youtube.com/watch?v=6V3vY7TW4S8", "Video")</f>
        <v/>
      </c>
      <c r="B5296" t="inlineStr">
        <is>
          <t>3:54</t>
        </is>
      </c>
      <c r="C5296" t="inlineStr">
        <is>
          <t>score Golden Circle is a little bit more</t>
        </is>
      </c>
      <c r="D5296">
        <f>HYPERLINK("https://www.youtube.com/watch?v=6V3vY7TW4S8&amp;t=234s", "Go to time")</f>
        <v/>
      </c>
    </row>
    <row r="5297">
      <c r="A5297">
        <f>HYPERLINK("https://www.youtube.com/watch?v=6V3vY7TW4S8", "Video")</f>
        <v/>
      </c>
      <c r="B5297" t="inlineStr">
        <is>
          <t>7:48</t>
        </is>
      </c>
      <c r="C5297" t="inlineStr">
        <is>
          <t>that I did feel a little bit of fatigue</t>
        </is>
      </c>
      <c r="D5297">
        <f>HYPERLINK("https://www.youtube.com/watch?v=6V3vY7TW4S8&amp;t=468s", "Go to time")</f>
        <v/>
      </c>
    </row>
    <row r="5298">
      <c r="A5298">
        <f>HYPERLINK("https://www.youtube.com/watch?v=6V3vY7TW4S8", "Video")</f>
        <v/>
      </c>
      <c r="B5298" t="inlineStr">
        <is>
          <t>11:42</t>
        </is>
      </c>
      <c r="C5298" t="inlineStr">
        <is>
          <t>Ambitions will find much to savor</t>
        </is>
      </c>
      <c r="D5298">
        <f>HYPERLINK("https://www.youtube.com/watch?v=6V3vY7TW4S8&amp;t=702s", "Go to time")</f>
        <v/>
      </c>
    </row>
    <row r="5299">
      <c r="A5299">
        <f>HYPERLINK("https://www.youtube.com/watch?v=6V3vY7TW4S8", "Video")</f>
        <v/>
      </c>
      <c r="B5299" t="inlineStr">
        <is>
          <t>14:09</t>
        </is>
      </c>
      <c r="C5299" t="inlineStr">
        <is>
          <t>admit I sound a little bit fruity at the</t>
        </is>
      </c>
      <c r="D5299">
        <f>HYPERLINK("https://www.youtube.com/watch?v=6V3vY7TW4S8&amp;t=849s", "Go to time")</f>
        <v/>
      </c>
    </row>
    <row r="5300">
      <c r="A5300">
        <f>HYPERLINK("https://www.youtube.com/watch?v=6V3vY7TW4S8", "Video")</f>
        <v/>
      </c>
      <c r="B5300" t="inlineStr">
        <is>
          <t>15:17</t>
        </is>
      </c>
      <c r="C5300" t="inlineStr">
        <is>
          <t>a bit of time you know in my homeland of</t>
        </is>
      </c>
      <c r="D5300">
        <f>HYPERLINK("https://www.youtube.com/watch?v=6V3vY7TW4S8&amp;t=917s", "Go to time")</f>
        <v/>
      </c>
    </row>
    <row r="5301">
      <c r="A5301">
        <f>HYPERLINK("https://www.youtube.com/watch?v=6V3vY7TW4S8", "Video")</f>
        <v/>
      </c>
      <c r="B5301" t="inlineStr">
        <is>
          <t>15:33</t>
        </is>
      </c>
      <c r="C5301" t="inlineStr">
        <is>
          <t>from Scotland um I get a little bit of</t>
        </is>
      </c>
      <c r="D5301">
        <f>HYPERLINK("https://www.youtube.com/watch?v=6V3vY7TW4S8&amp;t=933s", "Go to time")</f>
        <v/>
      </c>
    </row>
    <row r="5302">
      <c r="A5302">
        <f>HYPERLINK("https://www.youtube.com/watch?v=6V3vY7TW4S8", "Video")</f>
        <v/>
      </c>
      <c r="B5302" t="inlineStr">
        <is>
          <t>15:38</t>
        </is>
      </c>
      <c r="C5302" t="inlineStr">
        <is>
          <t>little bit more oh hello yes I would</t>
        </is>
      </c>
      <c r="D5302">
        <f>HYPERLINK("https://www.youtube.com/watch?v=6V3vY7TW4S8&amp;t=938s", "Go to time")</f>
        <v/>
      </c>
    </row>
    <row r="5303">
      <c r="A5303">
        <f>HYPERLINK("https://www.youtube.com/watch?v=6V3vY7TW4S8", "Video")</f>
        <v/>
      </c>
      <c r="B5303" t="inlineStr">
        <is>
          <t>15:40</t>
        </is>
      </c>
      <c r="C5303" t="inlineStr">
        <is>
          <t>mind some uh like a little bit C3PO um</t>
        </is>
      </c>
      <c r="D5303">
        <f>HYPERLINK("https://www.youtube.com/watch?v=6V3vY7TW4S8&amp;t=940s", "Go to time")</f>
        <v/>
      </c>
    </row>
    <row r="5304">
      <c r="A5304">
        <f>HYPERLINK("https://www.youtube.com/watch?v=6V3vY7TW4S8", "Video")</f>
        <v/>
      </c>
      <c r="B5304" t="inlineStr">
        <is>
          <t>26:34</t>
        </is>
      </c>
      <c r="C5304" t="inlineStr">
        <is>
          <t>unceremonious and it felt a bit scratchy</t>
        </is>
      </c>
      <c r="D5304">
        <f>HYPERLINK("https://www.youtube.com/watch?v=6V3vY7TW4S8&amp;t=1594s", "Go to time")</f>
        <v/>
      </c>
    </row>
    <row r="5305">
      <c r="A5305">
        <f>HYPERLINK("https://www.youtube.com/watch?v=6V3vY7TW4S8", "Video")</f>
        <v/>
      </c>
      <c r="B5305" t="inlineStr">
        <is>
          <t>31:03</t>
        </is>
      </c>
      <c r="C5305" t="inlineStr">
        <is>
          <t>a little bit in history we get a lot</t>
        </is>
      </c>
      <c r="D5305">
        <f>HYPERLINK("https://www.youtube.com/watch?v=6V3vY7TW4S8&amp;t=1863s", "Go to time")</f>
        <v/>
      </c>
    </row>
    <row r="5306">
      <c r="A5306">
        <f>HYPERLINK("https://www.youtube.com/watch?v=6V3vY7TW4S8", "Video")</f>
        <v/>
      </c>
      <c r="B5306" t="inlineStr">
        <is>
          <t>33:51</t>
        </is>
      </c>
      <c r="C5306" t="inlineStr">
        <is>
          <t>see bits of him in a bag but definitely</t>
        </is>
      </c>
      <c r="D5306">
        <f>HYPERLINK("https://www.youtube.com/watch?v=6V3vY7TW4S8&amp;t=2031s", "Go to time")</f>
        <v/>
      </c>
    </row>
    <row r="5307">
      <c r="A5307">
        <f>HYPERLINK("https://www.youtube.com/watch?v=6V3vY7TW4S8", "Video")</f>
        <v/>
      </c>
      <c r="B5307" t="inlineStr">
        <is>
          <t>40:58</t>
        </is>
      </c>
      <c r="C5307" t="inlineStr">
        <is>
          <t>aging up a little bit Paul betney would</t>
        </is>
      </c>
      <c r="D5307">
        <f>HYPERLINK("https://www.youtube.com/watch?v=6V3vY7TW4S8&amp;t=2458s", "Go to time")</f>
        <v/>
      </c>
    </row>
    <row r="5308">
      <c r="A5308">
        <f>HYPERLINK("https://www.youtube.com/watch?v=6V3vY7TW4S8", "Video")</f>
        <v/>
      </c>
      <c r="B5308" t="inlineStr">
        <is>
          <t>41:54</t>
        </is>
      </c>
      <c r="C5308" t="inlineStr">
        <is>
          <t>that but I also love Jason he's a bit of</t>
        </is>
      </c>
      <c r="D5308">
        <f>HYPERLINK("https://www.youtube.com/watch?v=6V3vY7TW4S8&amp;t=2514s", "Go to time")</f>
        <v/>
      </c>
    </row>
    <row r="5309">
      <c r="A5309">
        <f>HYPERLINK("https://www.youtube.com/watch?v=6V3vY7TW4S8", "Video")</f>
        <v/>
      </c>
      <c r="B5309" t="inlineStr">
        <is>
          <t>41:58</t>
        </is>
      </c>
      <c r="C5309" t="inlineStr">
        <is>
          <t>little bit of height for this role I</t>
        </is>
      </c>
      <c r="D5309">
        <f>HYPERLINK("https://www.youtube.com/watch?v=6V3vY7TW4S8&amp;t=2518s", "Go to time")</f>
        <v/>
      </c>
    </row>
    <row r="5310">
      <c r="A5310">
        <f>HYPERLINK("https://www.youtube.com/watch?v=6V3vY7TW4S8", "Video")</f>
        <v/>
      </c>
      <c r="B5310" t="inlineStr">
        <is>
          <t>49:01</t>
        </is>
      </c>
      <c r="C5310" t="inlineStr">
        <is>
          <t>bit a little bit weird uh so apologies</t>
        </is>
      </c>
      <c r="D5310">
        <f>HYPERLINK("https://www.youtube.com/watch?v=6V3vY7TW4S8&amp;t=2941s", "Go to time")</f>
        <v/>
      </c>
    </row>
    <row r="5311">
      <c r="A5311">
        <f>HYPERLINK("https://www.youtube.com/watch?v=xr9sxiW2fEI", "Video")</f>
        <v/>
      </c>
      <c r="B5311" t="inlineStr">
        <is>
          <t>1:14</t>
        </is>
      </c>
      <c r="C5311" t="inlineStr">
        <is>
          <t>developed a bit of a crush on him well</t>
        </is>
      </c>
      <c r="D5311">
        <f>HYPERLINK("https://www.youtube.com/watch?v=xr9sxiW2fEI&amp;t=74s", "Go to time")</f>
        <v/>
      </c>
    </row>
    <row r="5312">
      <c r="A5312">
        <f>HYPERLINK("https://www.youtube.com/watch?v=lOhis3kNJSE", "Video")</f>
        <v/>
      </c>
      <c r="B5312" t="inlineStr">
        <is>
          <t>8:58</t>
        </is>
      </c>
      <c r="C5312" t="inlineStr">
        <is>
          <t>you panic a little bit it's for good</t>
        </is>
      </c>
      <c r="D5312">
        <f>HYPERLINK("https://www.youtube.com/watch?v=lOhis3kNJSE&amp;t=538s", "Go to time")</f>
        <v/>
      </c>
    </row>
    <row r="5313">
      <c r="A5313">
        <f>HYPERLINK("https://www.youtube.com/watch?v=lOhis3kNJSE", "Video")</f>
        <v/>
      </c>
      <c r="B5313" t="inlineStr">
        <is>
          <t>9:00</t>
        </is>
      </c>
      <c r="C5313" t="inlineStr">
        <is>
          <t>reason that's right when the kobit 19</t>
        </is>
      </c>
      <c r="D5313">
        <f>HYPERLINK("https://www.youtube.com/watch?v=lOhis3kNJSE&amp;t=540s", "Go to time")</f>
        <v/>
      </c>
    </row>
    <row r="5314">
      <c r="A5314">
        <f>HYPERLINK("https://www.youtube.com/watch?v=lOhis3kNJSE", "Video")</f>
        <v/>
      </c>
      <c r="B5314" t="inlineStr">
        <is>
          <t>13:18</t>
        </is>
      </c>
      <c r="C5314" t="inlineStr">
        <is>
          <t>was a bit too reserved alan iverson</t>
        </is>
      </c>
      <c r="D5314">
        <f>HYPERLINK("https://www.youtube.com/watch?v=lOhis3kNJSE&amp;t=798s", "Go to time")</f>
        <v/>
      </c>
    </row>
    <row r="5315">
      <c r="A5315">
        <f>HYPERLINK("https://www.youtube.com/watch?v=lOhis3kNJSE", "Video")</f>
        <v/>
      </c>
      <c r="B5315" t="inlineStr">
        <is>
          <t>17:21</t>
        </is>
      </c>
      <c r="C5315" t="inlineStr">
        <is>
          <t>do extend a bit farther than basketball</t>
        </is>
      </c>
      <c r="D5315">
        <f>HYPERLINK("https://www.youtube.com/watch?v=lOhis3kNJSE&amp;t=1041s", "Go to time")</f>
        <v/>
      </c>
    </row>
    <row r="5316">
      <c r="A5316">
        <f>HYPERLINK("https://www.youtube.com/watch?v=RuB2_rXKO_Y", "Video")</f>
        <v/>
      </c>
      <c r="B5316" t="inlineStr">
        <is>
          <t>0:16</t>
        </is>
      </c>
      <c r="C5316" t="inlineStr">
        <is>
          <t>rabbit fire</t>
        </is>
      </c>
      <c r="D5316">
        <f>HYPERLINK("https://www.youtube.com/watch?v=RuB2_rXKO_Y&amp;t=16s", "Go to time")</f>
        <v/>
      </c>
    </row>
    <row r="5317">
      <c r="A5317">
        <f>HYPERLINK("https://www.youtube.com/watch?v=a3Ea-gci8u8", "Video")</f>
        <v/>
      </c>
      <c r="B5317" t="inlineStr">
        <is>
          <t>1:59</t>
        </is>
      </c>
      <c r="C5317" t="inlineStr">
        <is>
          <t>jamie foxx's ambitious manager character</t>
        </is>
      </c>
      <c r="D5317">
        <f>HYPERLINK("https://www.youtube.com/watch?v=a3Ea-gci8u8&amp;t=119s", "Go to time")</f>
        <v/>
      </c>
    </row>
    <row r="5318">
      <c r="A5318">
        <f>HYPERLINK("https://www.youtube.com/watch?v=a3Ea-gci8u8", "Video")</f>
        <v/>
      </c>
      <c r="B5318" t="inlineStr">
        <is>
          <t>3:25</t>
        </is>
      </c>
      <c r="C5318" t="inlineStr">
        <is>
          <t>boogie my first drum habit</t>
        </is>
      </c>
      <c r="D5318">
        <f>HYPERLINK("https://www.youtube.com/watch?v=a3Ea-gci8u8&amp;t=205s", "Go to time")</f>
        <v/>
      </c>
    </row>
    <row r="5319">
      <c r="A5319">
        <f>HYPERLINK("https://www.youtube.com/watch?v=a3Ea-gci8u8", "Video")</f>
        <v/>
      </c>
      <c r="B5319" t="inlineStr">
        <is>
          <t>9:45</t>
        </is>
      </c>
      <c r="C5319" t="inlineStr">
        <is>
          <t>just a bit off the side of their</t>
        </is>
      </c>
      <c r="D5319">
        <f>HYPERLINK("https://www.youtube.com/watch?v=a3Ea-gci8u8&amp;t=585s", "Go to time")</f>
        <v/>
      </c>
    </row>
    <row r="5320">
      <c r="A5320">
        <f>HYPERLINK("https://www.youtube.com/watch?v=a3Ea-gci8u8", "Video")</f>
        <v/>
      </c>
      <c r="B5320" t="inlineStr">
        <is>
          <t>15:42</t>
        </is>
      </c>
      <c r="C5320" t="inlineStr">
        <is>
          <t>sister act 2 back in the habit i'd like</t>
        </is>
      </c>
      <c r="D5320">
        <f>HYPERLINK("https://www.youtube.com/watch?v=a3Ea-gci8u8&amp;t=942s", "Go to time")</f>
        <v/>
      </c>
    </row>
    <row r="5321">
      <c r="A5321">
        <f>HYPERLINK("https://www.youtube.com/watch?v=a3Ea-gci8u8", "Video")</f>
        <v/>
      </c>
      <c r="B5321" t="inlineStr">
        <is>
          <t>16:05</t>
        </is>
      </c>
      <c r="C5321" t="inlineStr">
        <is>
          <t>dance in a habit alongside the likes of</t>
        </is>
      </c>
      <c r="D5321">
        <f>HYPERLINK("https://www.youtube.com/watch?v=a3Ea-gci8u8&amp;t=965s", "Go to time")</f>
        <v/>
      </c>
    </row>
    <row r="5322">
      <c r="A5322">
        <f>HYPERLINK("https://www.youtube.com/watch?v=a3Ea-gci8u8", "Video")</f>
        <v/>
      </c>
      <c r="B5322" t="inlineStr">
        <is>
          <t>16:12</t>
        </is>
      </c>
      <c r="C5322" t="inlineStr">
        <is>
          <t>act 2 back in the habit this 1993</t>
        </is>
      </c>
      <c r="D5322">
        <f>HYPERLINK("https://www.youtube.com/watch?v=a3Ea-gci8u8&amp;t=972s", "Go to time")</f>
        <v/>
      </c>
    </row>
    <row r="5323">
      <c r="A5323">
        <f>HYPERLINK("https://www.youtube.com/watch?v=HdJ8ei7IeWA", "Video")</f>
        <v/>
      </c>
      <c r="B5323" t="inlineStr">
        <is>
          <t>10:14</t>
        </is>
      </c>
      <c r="C5323" t="inlineStr">
        <is>
          <t>that feels a little bit like Vietnam</t>
        </is>
      </c>
      <c r="D5323">
        <f>HYPERLINK("https://www.youtube.com/watch?v=HdJ8ei7IeWA&amp;t=614s", "Go to time")</f>
        <v/>
      </c>
    </row>
    <row r="5324">
      <c r="A5324">
        <f>HYPERLINK("https://www.youtube.com/watch?v=HdJ8ei7IeWA", "Video")</f>
        <v/>
      </c>
      <c r="B5324" t="inlineStr">
        <is>
          <t>18:24</t>
        </is>
      </c>
      <c r="C5324" t="inlineStr">
        <is>
          <t>also a movie that changed a bit because</t>
        </is>
      </c>
      <c r="D5324">
        <f>HYPERLINK("https://www.youtube.com/watch?v=HdJ8ei7IeWA&amp;t=1104s", "Go to time")</f>
        <v/>
      </c>
    </row>
    <row r="5325">
      <c r="A5325">
        <f>HYPERLINK("https://www.youtube.com/watch?v=HdJ8ei7IeWA", "Video")</f>
        <v/>
      </c>
      <c r="B5325" t="inlineStr">
        <is>
          <t>33:35</t>
        </is>
      </c>
      <c r="C5325" t="inlineStr">
        <is>
          <t>day-to-day habits without having to</t>
        </is>
      </c>
      <c r="D5325">
        <f>HYPERLINK("https://www.youtube.com/watch?v=HdJ8ei7IeWA&amp;t=2015s", "Go to time")</f>
        <v/>
      </c>
    </row>
    <row r="5326">
      <c r="A5326">
        <f>HYPERLINK("https://www.youtube.com/watch?v=HdJ8ei7IeWA", "Video")</f>
        <v/>
      </c>
      <c r="B5326" t="inlineStr">
        <is>
          <t>38:29</t>
        </is>
      </c>
      <c r="C5326" t="inlineStr">
        <is>
          <t>I got him a little bit I'm not like this</t>
        </is>
      </c>
      <c r="D5326">
        <f>HYPERLINK("https://www.youtube.com/watch?v=HdJ8ei7IeWA&amp;t=2309s", "Go to time")</f>
        <v/>
      </c>
    </row>
    <row r="5327">
      <c r="A5327">
        <f>HYPERLINK("https://www.youtube.com/watch?v=HdJ8ei7IeWA", "Video")</f>
        <v/>
      </c>
      <c r="B5327" t="inlineStr">
        <is>
          <t>39:59</t>
        </is>
      </c>
      <c r="C5327" t="inlineStr">
        <is>
          <t>home and love on them a little bit I</t>
        </is>
      </c>
      <c r="D5327">
        <f>HYPERLINK("https://www.youtube.com/watch?v=HdJ8ei7IeWA&amp;t=2399s", "Go to time")</f>
        <v/>
      </c>
    </row>
    <row r="5328">
      <c r="A5328">
        <f>HYPERLINK("https://www.youtube.com/watch?v=HdJ8ei7IeWA", "Video")</f>
        <v/>
      </c>
      <c r="B5328" t="inlineStr">
        <is>
          <t>41:48</t>
        </is>
      </c>
      <c r="C5328" t="inlineStr">
        <is>
          <t>maybe a little bit more yeah but I feel</t>
        </is>
      </c>
      <c r="D5328">
        <f>HYPERLINK("https://www.youtube.com/watch?v=HdJ8ei7IeWA&amp;t=2508s", "Go to time")</f>
        <v/>
      </c>
    </row>
    <row r="5329">
      <c r="A5329">
        <f>HYPERLINK("https://www.youtube.com/watch?v=HdJ8ei7IeWA", "Video")</f>
        <v/>
      </c>
      <c r="B5329" t="inlineStr">
        <is>
          <t>42:36</t>
        </is>
      </c>
      <c r="C5329" t="inlineStr">
        <is>
          <t>Fanning because I do think it was a bit</t>
        </is>
      </c>
      <c r="D5329">
        <f>HYPERLINK("https://www.youtube.com/watch?v=HdJ8ei7IeWA&amp;t=2556s", "Go to time")</f>
        <v/>
      </c>
    </row>
    <row r="5330">
      <c r="A5330">
        <f>HYPERLINK("https://www.youtube.com/watch?v=HdJ8ei7IeWA", "Video")</f>
        <v/>
      </c>
      <c r="B5330" t="inlineStr">
        <is>
          <t>43:15</t>
        </is>
      </c>
      <c r="C5330" t="inlineStr">
        <is>
          <t>just a bit tropy the script was better</t>
        </is>
      </c>
      <c r="D5330">
        <f>HYPERLINK("https://www.youtube.com/watch?v=HdJ8ei7IeWA&amp;t=2595s", "Go to time")</f>
        <v/>
      </c>
    </row>
    <row r="5331">
      <c r="A5331">
        <f>HYPERLINK("https://www.youtube.com/watch?v=2s7POrgTTzg", "Video")</f>
        <v/>
      </c>
      <c r="B5331" t="inlineStr">
        <is>
          <t>1:51</t>
        </is>
      </c>
      <c r="C5331" t="inlineStr">
        <is>
          <t>sharply yeah hmm bit like you promises a</t>
        </is>
      </c>
      <c r="D5331">
        <f>HYPERLINK("https://www.youtube.com/watch?v=2s7POrgTTzg&amp;t=111s", "Go to time")</f>
        <v/>
      </c>
    </row>
    <row r="5332">
      <c r="A5332">
        <f>HYPERLINK("https://www.youtube.com/watch?v=_mm_Hql8AF0", "Video")</f>
        <v/>
      </c>
      <c r="B5332" t="inlineStr">
        <is>
          <t>3:13</t>
        </is>
      </c>
      <c r="C5332" t="inlineStr">
        <is>
          <t>just a bit turning your subjects into an</t>
        </is>
      </c>
      <c r="D5332">
        <f>HYPERLINK("https://www.youtube.com/watch?v=_mm_Hql8AF0&amp;t=193s", "Go to time")</f>
        <v/>
      </c>
    </row>
    <row r="5333">
      <c r="A5333">
        <f>HYPERLINK("https://www.youtube.com/watch?v=_mm_Hql8AF0", "Video")</f>
        <v/>
      </c>
      <c r="B5333" t="inlineStr">
        <is>
          <t>8:56</t>
        </is>
      </c>
      <c r="C5333" t="inlineStr">
        <is>
          <t>the final chapter more on that in a bit</t>
        </is>
      </c>
      <c r="D5333">
        <f>HYPERLINK("https://www.youtube.com/watch?v=_mm_Hql8AF0&amp;t=536s", "Go to time")</f>
        <v/>
      </c>
    </row>
    <row r="5334">
      <c r="A5334">
        <f>HYPERLINK("https://www.youtube.com/watch?v=_mm_Hql8AF0", "Video")</f>
        <v/>
      </c>
      <c r="B5334" t="inlineStr">
        <is>
          <t>11:48</t>
        </is>
      </c>
      <c r="C5334" t="inlineStr">
        <is>
          <t>still performing dr isaacs gets bitten</t>
        </is>
      </c>
      <c r="D5334">
        <f>HYPERLINK("https://www.youtube.com/watch?v=_mm_Hql8AF0&amp;t=708s", "Go to time")</f>
        <v/>
      </c>
    </row>
    <row r="5335">
      <c r="A5335">
        <f>HYPERLINK("https://www.youtube.com/watch?v=rJgEmPNovNE", "Video")</f>
        <v/>
      </c>
      <c r="B5335" t="inlineStr">
        <is>
          <t>4:43</t>
        </is>
      </c>
      <c r="C5335" t="inlineStr">
        <is>
          <t>little bit you've got a Really Brave</t>
        </is>
      </c>
      <c r="D5335">
        <f>HYPERLINK("https://www.youtube.com/watch?v=rJgEmPNovNE&amp;t=283s", "Go to time")</f>
        <v/>
      </c>
    </row>
    <row r="5336">
      <c r="A5336">
        <f>HYPERLINK("https://www.youtube.com/watch?v=CXff69DOEMo", "Video")</f>
        <v/>
      </c>
      <c r="B5336" t="inlineStr">
        <is>
          <t>0:13</t>
        </is>
      </c>
      <c r="C5336" t="inlineStr">
        <is>
          <t>was a little bit hairy for a while but</t>
        </is>
      </c>
      <c r="D5336">
        <f>HYPERLINK("https://www.youtube.com/watch?v=CXff69DOEMo&amp;t=13s", "Go to time")</f>
        <v/>
      </c>
    </row>
    <row r="5337">
      <c r="A5337">
        <f>HYPERLINK("https://www.youtube.com/watch?v=hNQESlMTGv4", "Video")</f>
        <v/>
      </c>
      <c r="B5337" t="inlineStr">
        <is>
          <t>0:44</t>
        </is>
      </c>
      <c r="C5337" t="inlineStr">
        <is>
          <t>fun the rabbit got the gun huh well you</t>
        </is>
      </c>
      <c r="D5337">
        <f>HYPERLINK("https://www.youtube.com/watch?v=hNQESlMTGv4&amp;t=44s", "Go to time")</f>
        <v/>
      </c>
    </row>
    <row r="5338">
      <c r="A5338">
        <f>HYPERLINK("https://www.youtube.com/watch?v=mkns35Iiylk", "Video")</f>
        <v/>
      </c>
      <c r="B5338" t="inlineStr">
        <is>
          <t>0:20</t>
        </is>
      </c>
      <c r="C5338" t="inlineStr">
        <is>
          <t>a bit</t>
        </is>
      </c>
      <c r="D5338">
        <f>HYPERLINK("https://www.youtube.com/watch?v=mkns35Iiylk&amp;t=20s", "Go to time")</f>
        <v/>
      </c>
    </row>
    <row r="5339">
      <c r="A5339">
        <f>HYPERLINK("https://www.youtube.com/watch?v=SyCah0i9Cso", "Video")</f>
        <v/>
      </c>
      <c r="B5339" t="inlineStr">
        <is>
          <t>4:09</t>
        </is>
      </c>
      <c r="C5339" t="inlineStr">
        <is>
          <t>strike and their lush habitat is turned</t>
        </is>
      </c>
      <c r="D5339">
        <f>HYPERLINK("https://www.youtube.com/watch?v=SyCah0i9Cso&amp;t=249s", "Go to time")</f>
        <v/>
      </c>
    </row>
    <row r="5340">
      <c r="A5340">
        <f>HYPERLINK("https://www.youtube.com/watch?v=SyCah0i9Cso", "Video")</f>
        <v/>
      </c>
      <c r="B5340" t="inlineStr">
        <is>
          <t>11:21</t>
        </is>
      </c>
      <c r="C5340" t="inlineStr">
        <is>
          <t>functions meaning no t-rex biting</t>
        </is>
      </c>
      <c r="D5340">
        <f>HYPERLINK("https://www.youtube.com/watch?v=SyCah0i9Cso&amp;t=681s", "Go to time")</f>
        <v/>
      </c>
    </row>
    <row r="5341">
      <c r="A5341">
        <f>HYPERLINK("https://www.youtube.com/watch?v=SyCah0i9Cso", "Video")</f>
        <v/>
      </c>
      <c r="B5341" t="inlineStr">
        <is>
          <t>11:31</t>
        </is>
      </c>
      <c r="C5341" t="inlineStr">
        <is>
          <t>habitat for an array of genetically</t>
        </is>
      </c>
      <c r="D5341">
        <f>HYPERLINK("https://www.youtube.com/watch?v=SyCah0i9Cso&amp;t=691s", "Go to time")</f>
        <v/>
      </c>
    </row>
    <row r="5342">
      <c r="A5342">
        <f>HYPERLINK("https://www.youtube.com/watch?v=SyCah0i9Cso", "Video")</f>
        <v/>
      </c>
      <c r="B5342" t="inlineStr">
        <is>
          <t>12:35</t>
        </is>
      </c>
      <c r="C5342" t="inlineStr">
        <is>
          <t>fast has an incredibly strong bite</t>
        </is>
      </c>
      <c r="D5342">
        <f>HYPERLINK("https://www.youtube.com/watch?v=SyCah0i9Cso&amp;t=755s", "Go to time")</f>
        <v/>
      </c>
    </row>
    <row r="5343">
      <c r="A5343">
        <f>HYPERLINK("https://www.youtube.com/watch?v=SyCah0i9Cso", "Video")</f>
        <v/>
      </c>
      <c r="B5343" t="inlineStr">
        <is>
          <t>18:32</t>
        </is>
      </c>
      <c r="C5343" t="inlineStr">
        <is>
          <t>inhabiting skull island to life using</t>
        </is>
      </c>
      <c r="D5343">
        <f>HYPERLINK("https://www.youtube.com/watch?v=SyCah0i9Cso&amp;t=1112s", "Go to time")</f>
        <v/>
      </c>
    </row>
    <row r="5344">
      <c r="A5344">
        <f>HYPERLINK("https://www.youtube.com/watch?v=MoG3fG6xuIQ", "Video")</f>
        <v/>
      </c>
      <c r="B5344" t="inlineStr">
        <is>
          <t>2:14</t>
        </is>
      </c>
      <c r="C5344" t="inlineStr">
        <is>
          <t>can you loosen that a little bit please</t>
        </is>
      </c>
      <c r="D5344">
        <f>HYPERLINK("https://www.youtube.com/watch?v=MoG3fG6xuIQ&amp;t=134s", "Go to time")</f>
        <v/>
      </c>
    </row>
    <row r="5345">
      <c r="A5345">
        <f>HYPERLINK("https://www.youtube.com/watch?v=MQdn1hSGhPE", "Video")</f>
        <v/>
      </c>
      <c r="B5345" t="inlineStr">
        <is>
          <t>0:18</t>
        </is>
      </c>
      <c r="C5345" t="inlineStr">
        <is>
          <t>sorry no no the only other rabbit i knew</t>
        </is>
      </c>
      <c r="D5345">
        <f>HYPERLINK("https://www.youtube.com/watch?v=MQdn1hSGhPE&amp;t=18s", "Go to time")</f>
        <v/>
      </c>
    </row>
    <row r="5346">
      <c r="A5346">
        <f>HYPERLINK("https://www.youtube.com/watch?v=MQdn1hSGhPE", "Video")</f>
        <v/>
      </c>
      <c r="B5346" t="inlineStr">
        <is>
          <t>0:31</t>
        </is>
      </c>
      <c r="C5346" t="inlineStr">
        <is>
          <t>peter rabbit yeah</t>
        </is>
      </c>
      <c r="D5346">
        <f>HYPERLINK("https://www.youtube.com/watch?v=MQdn1hSGhPE&amp;t=31s", "Go to time")</f>
        <v/>
      </c>
    </row>
    <row r="5347">
      <c r="A5347">
        <f>HYPERLINK("https://www.youtube.com/watch?v=MQdn1hSGhPE", "Video")</f>
        <v/>
      </c>
      <c r="B5347" t="inlineStr">
        <is>
          <t>1:54</t>
        </is>
      </c>
      <c r="C5347" t="inlineStr">
        <is>
          <t>get in there rabbit</t>
        </is>
      </c>
      <c r="D5347">
        <f>HYPERLINK("https://www.youtube.com/watch?v=MQdn1hSGhPE&amp;t=114s", "Go to time")</f>
        <v/>
      </c>
    </row>
    <row r="5348">
      <c r="A5348">
        <f>HYPERLINK("https://www.youtube.com/watch?v=X_1I3oudZNE", "Video")</f>
        <v/>
      </c>
      <c r="B5348" t="inlineStr">
        <is>
          <t>0:28</t>
        </is>
      </c>
      <c r="C5348" t="inlineStr">
        <is>
          <t>breasts will want to orbit</t>
        </is>
      </c>
      <c r="D5348">
        <f>HYPERLINK("https://www.youtube.com/watch?v=X_1I3oudZNE&amp;t=28s", "Go to time")</f>
        <v/>
      </c>
    </row>
    <row r="5349">
      <c r="A5349">
        <f>HYPERLINK("https://www.youtube.com/watch?v=fE3vJaXGtUU", "Video")</f>
        <v/>
      </c>
      <c r="B5349" t="inlineStr">
        <is>
          <t>1:57</t>
        </is>
      </c>
      <c r="C5349" t="inlineStr">
        <is>
          <t>I was bitten by a radioactive spider</t>
        </is>
      </c>
      <c r="D5349">
        <f>HYPERLINK("https://www.youtube.com/watch?v=fE3vJaXGtUU&amp;t=117s", "Go to time")</f>
        <v/>
      </c>
    </row>
    <row r="5350">
      <c r="A5350">
        <f>HYPERLINK("https://www.youtube.com/watch?v=qGQLjHeXQYA", "Video")</f>
        <v/>
      </c>
      <c r="B5350" t="inlineStr">
        <is>
          <t>0:08</t>
        </is>
      </c>
      <c r="C5350" t="inlineStr">
        <is>
          <t>just a bit tender these days that's all</t>
        </is>
      </c>
      <c r="D5350">
        <f>HYPERLINK("https://www.youtube.com/watch?v=qGQLjHeXQYA&amp;t=8s", "Go to time")</f>
        <v/>
      </c>
    </row>
    <row r="5351">
      <c r="A5351">
        <f>HYPERLINK("https://www.youtube.com/watch?v=PiqVoUi-iEk", "Video")</f>
        <v/>
      </c>
      <c r="B5351" t="inlineStr">
        <is>
          <t>0:07</t>
        </is>
      </c>
      <c r="C5351" t="inlineStr">
        <is>
          <t>little bit too fresh I specifically said</t>
        </is>
      </c>
      <c r="D5351">
        <f>HYPERLINK("https://www.youtube.com/watch?v=PiqVoUi-iEk&amp;t=7s", "Go to time")</f>
        <v/>
      </c>
    </row>
    <row r="5352">
      <c r="A5352">
        <f>HYPERLINK("https://www.youtube.com/watch?v=edQy5jBxhV8", "Video")</f>
        <v/>
      </c>
      <c r="B5352" t="inlineStr">
        <is>
          <t>1:14</t>
        </is>
      </c>
      <c r="C5352" t="inlineStr">
        <is>
          <t>Yaga sir - sir rabbit - sir and the</t>
        </is>
      </c>
      <c r="D5352">
        <f>HYPERLINK("https://www.youtube.com/watch?v=edQy5jBxhV8&amp;t=74s", "Go to time")</f>
        <v/>
      </c>
    </row>
    <row r="5353">
      <c r="A5353">
        <f>HYPERLINK("https://www.youtube.com/watch?v=nejZVhJ6D3Y", "Video")</f>
        <v/>
      </c>
      <c r="B5353" t="inlineStr">
        <is>
          <t>1:27</t>
        </is>
      </c>
      <c r="C5353" t="inlineStr">
        <is>
          <t>bit out of time yes</t>
        </is>
      </c>
      <c r="D5353">
        <f>HYPERLINK("https://www.youtube.com/watch?v=nejZVhJ6D3Y&amp;t=87s", "Go to time")</f>
        <v/>
      </c>
    </row>
    <row r="5354">
      <c r="A5354">
        <f>HYPERLINK("https://www.youtube.com/watch?v=bRWbCe8eGS8", "Video")</f>
        <v/>
      </c>
      <c r="B5354" t="inlineStr">
        <is>
          <t>0:19</t>
        </is>
      </c>
      <c r="C5354" t="inlineStr">
        <is>
          <t>that Russian bits downstairs oh you have</t>
        </is>
      </c>
      <c r="D5354">
        <f>HYPERLINK("https://www.youtube.com/watch?v=bRWbCe8eGS8&amp;t=19s", "Go to time")</f>
        <v/>
      </c>
    </row>
    <row r="5355">
      <c r="A5355">
        <f>HYPERLINK("https://www.youtube.com/watch?v=E3A7wo_VWSE", "Video")</f>
        <v/>
      </c>
      <c r="B5355" t="inlineStr">
        <is>
          <t>0:41</t>
        </is>
      </c>
      <c r="C5355" t="inlineStr">
        <is>
          <t>ambitious I do not want to see tadesco</t>
        </is>
      </c>
      <c r="D5355">
        <f>HYPERLINK("https://www.youtube.com/watch?v=E3A7wo_VWSE&amp;t=41s", "Go to time")</f>
        <v/>
      </c>
    </row>
    <row r="5356">
      <c r="A5356">
        <f>HYPERLINK("https://www.youtube.com/watch?v=KWXWt-spemk", "Video")</f>
        <v/>
      </c>
      <c r="B5356" t="inlineStr">
        <is>
          <t>6:46</t>
        </is>
      </c>
      <c r="C5356" t="inlineStr">
        <is>
          <t>honey move a little bit to to to the</t>
        </is>
      </c>
      <c r="D5356">
        <f>HYPERLINK("https://www.youtube.com/watch?v=KWXWt-spemk&amp;t=406s", "Go to time")</f>
        <v/>
      </c>
    </row>
    <row r="5357">
      <c r="A5357">
        <f>HYPERLINK("https://www.youtube.com/watch?v=p72jakpQxjw", "Video")</f>
        <v/>
      </c>
      <c r="B5357" t="inlineStr">
        <is>
          <t>0:21</t>
        </is>
      </c>
      <c r="C5357" t="inlineStr">
        <is>
          <t>look down it's just the tiniest bit of</t>
        </is>
      </c>
      <c r="D5357">
        <f>HYPERLINK("https://www.youtube.com/watch?v=p72jakpQxjw&amp;t=21s", "Go to time")</f>
        <v/>
      </c>
    </row>
    <row r="5358">
      <c r="A5358">
        <f>HYPERLINK("https://www.youtube.com/watch?v=8fLTGdPankA", "Video")</f>
        <v/>
      </c>
      <c r="B5358" t="inlineStr">
        <is>
          <t>15:08</t>
        </is>
      </c>
      <c r="C5358" t="inlineStr">
        <is>
          <t>fight and Claw and bite and punch and</t>
        </is>
      </c>
      <c r="D5358">
        <f>HYPERLINK("https://www.youtube.com/watch?v=8fLTGdPankA&amp;t=908s", "Go to time")</f>
        <v/>
      </c>
    </row>
    <row r="5359">
      <c r="A5359">
        <f>HYPERLINK("https://www.youtube.com/watch?v=8fLTGdPankA", "Video")</f>
        <v/>
      </c>
      <c r="B5359" t="inlineStr">
        <is>
          <t>31:18</t>
        </is>
      </c>
      <c r="C5359" t="inlineStr">
        <is>
          <t>singing how did that rabbit just</t>
        </is>
      </c>
      <c r="D5359">
        <f>HYPERLINK("https://www.youtube.com/watch?v=8fLTGdPankA&amp;t=1878s", "Go to time")</f>
        <v/>
      </c>
    </row>
    <row r="5360">
      <c r="A5360">
        <f>HYPERLINK("https://www.youtube.com/watch?v=X6S-g_lSIk8", "Video")</f>
        <v/>
      </c>
      <c r="B5360" t="inlineStr">
        <is>
          <t>0:17</t>
        </is>
      </c>
      <c r="C5360" t="inlineStr">
        <is>
          <t>fight a little bit</t>
        </is>
      </c>
      <c r="D5360">
        <f>HYPERLINK("https://www.youtube.com/watch?v=X6S-g_lSIk8&amp;t=17s", "Go to time")</f>
        <v/>
      </c>
    </row>
    <row r="5361">
      <c r="A5361">
        <f>HYPERLINK("https://www.youtube.com/watch?v=UQ1s-FQuxTI", "Video")</f>
        <v/>
      </c>
      <c r="B5361" t="inlineStr">
        <is>
          <t>3:28</t>
        </is>
      </c>
      <c r="C5361" t="inlineStr">
        <is>
          <t>bite my kneecaps off oh wait you can't</t>
        </is>
      </c>
      <c r="D5361">
        <f>HYPERLINK("https://www.youtube.com/watch?v=UQ1s-FQuxTI&amp;t=208s", "Go to time")</f>
        <v/>
      </c>
    </row>
    <row r="5362">
      <c r="A5362">
        <f>HYPERLINK("https://www.youtube.com/watch?v=JWv1-m569lo", "Video")</f>
        <v/>
      </c>
      <c r="B5362" t="inlineStr">
        <is>
          <t>18:26</t>
        </is>
      </c>
      <c r="C5362" t="inlineStr">
        <is>
          <t>bit hey beautiful hi</t>
        </is>
      </c>
      <c r="D5362">
        <f>HYPERLINK("https://www.youtube.com/watch?v=JWv1-m569lo&amp;t=1106s", "Go to time")</f>
        <v/>
      </c>
    </row>
    <row r="5363">
      <c r="A5363">
        <f>HYPERLINK("https://www.youtube.com/watch?v=JzvhxtnC3W4", "Video")</f>
        <v/>
      </c>
      <c r="B5363" t="inlineStr">
        <is>
          <t>0:19</t>
        </is>
      </c>
      <c r="C5363" t="inlineStr">
        <is>
          <t>talking about today a little bit because</t>
        </is>
      </c>
      <c r="D5363">
        <f>HYPERLINK("https://www.youtube.com/watch?v=JzvhxtnC3W4&amp;t=19s", "Go to time")</f>
        <v/>
      </c>
    </row>
    <row r="5364">
      <c r="A5364">
        <f>HYPERLINK("https://www.youtube.com/watch?v=JzvhxtnC3W4", "Video")</f>
        <v/>
      </c>
      <c r="B5364" t="inlineStr">
        <is>
          <t>2:24</t>
        </is>
      </c>
      <c r="C5364" t="inlineStr">
        <is>
          <t>have made it a little bit less obvious</t>
        </is>
      </c>
      <c r="D5364">
        <f>HYPERLINK("https://www.youtube.com/watch?v=JzvhxtnC3W4&amp;t=144s", "Go to time")</f>
        <v/>
      </c>
    </row>
    <row r="5365">
      <c r="A5365">
        <f>HYPERLINK("https://www.youtube.com/watch?v=JzvhxtnC3W4", "Video")</f>
        <v/>
      </c>
      <c r="B5365" t="inlineStr">
        <is>
          <t>36:31</t>
        </is>
      </c>
      <c r="C5365" t="inlineStr">
        <is>
          <t>like uh rare rabbit and that kind of</t>
        </is>
      </c>
      <c r="D5365">
        <f>HYPERLINK("https://www.youtube.com/watch?v=JzvhxtnC3W4&amp;t=2191s", "Go to time")</f>
        <v/>
      </c>
    </row>
    <row r="5366">
      <c r="A5366">
        <f>HYPERLINK("https://www.youtube.com/watch?v=JzvhxtnC3W4", "Video")</f>
        <v/>
      </c>
      <c r="B5366" t="inlineStr">
        <is>
          <t>38:22</t>
        </is>
      </c>
      <c r="C5366" t="inlineStr">
        <is>
          <t>it's a little bit different this one I</t>
        </is>
      </c>
      <c r="D5366">
        <f>HYPERLINK("https://www.youtube.com/watch?v=JzvhxtnC3W4&amp;t=2302s", "Go to time")</f>
        <v/>
      </c>
    </row>
    <row r="5367">
      <c r="A5367">
        <f>HYPERLINK("https://www.youtube.com/watch?v=JzvhxtnC3W4", "Video")</f>
        <v/>
      </c>
      <c r="B5367" t="inlineStr">
        <is>
          <t>38:33</t>
        </is>
      </c>
      <c r="C5367" t="inlineStr">
        <is>
          <t>is a little bit more boring in the book</t>
        </is>
      </c>
      <c r="D5367">
        <f>HYPERLINK("https://www.youtube.com/watch?v=JzvhxtnC3W4&amp;t=2313s", "Go to time")</f>
        <v/>
      </c>
    </row>
    <row r="5368">
      <c r="A5368">
        <f>HYPERLINK("https://www.youtube.com/watch?v=JzvhxtnC3W4", "Video")</f>
        <v/>
      </c>
      <c r="B5368" t="inlineStr">
        <is>
          <t>41:53</t>
        </is>
      </c>
      <c r="C5368" t="inlineStr">
        <is>
          <t>bit because I interviewed her for that</t>
        </is>
      </c>
      <c r="D5368">
        <f>HYPERLINK("https://www.youtube.com/watch?v=JzvhxtnC3W4&amp;t=2513s", "Go to time")</f>
        <v/>
      </c>
    </row>
    <row r="5369">
      <c r="A5369">
        <f>HYPERLINK("https://www.youtube.com/watch?v=JzvhxtnC3W4", "Video")</f>
        <v/>
      </c>
      <c r="B5369" t="inlineStr">
        <is>
          <t>50:43</t>
        </is>
      </c>
      <c r="C5369" t="inlineStr">
        <is>
          <t>little bit of everything uh Heather</t>
        </is>
      </c>
      <c r="D5369">
        <f>HYPERLINK("https://www.youtube.com/watch?v=JzvhxtnC3W4&amp;t=3043s", "Go to time")</f>
        <v/>
      </c>
    </row>
    <row r="5370">
      <c r="A5370">
        <f>HYPERLINK("https://www.youtube.com/watch?v=MEzJKJQRENI", "Video")</f>
        <v/>
      </c>
      <c r="B5370" t="inlineStr">
        <is>
          <t>0:09</t>
        </is>
      </c>
      <c r="C5370" t="inlineStr">
        <is>
          <t>of your damned bit me I couldn't make a</t>
        </is>
      </c>
      <c r="D5370">
        <f>HYPERLINK("https://www.youtube.com/watch?v=MEzJKJQRENI&amp;t=9s", "Go to time")</f>
        <v/>
      </c>
    </row>
    <row r="5371">
      <c r="A5371">
        <f>HYPERLINK("https://www.youtube.com/watch?v=6fC3tpFd93M", "Video")</f>
        <v/>
      </c>
      <c r="B5371" t="inlineStr">
        <is>
          <t>0:59</t>
        </is>
      </c>
      <c r="C5371" t="inlineStr">
        <is>
          <t>a dog a rabbit</t>
        </is>
      </c>
      <c r="D5371">
        <f>HYPERLINK("https://www.youtube.com/watch?v=6fC3tpFd93M&amp;t=59s", "Go to time")</f>
        <v/>
      </c>
    </row>
    <row r="5372">
      <c r="A5372">
        <f>HYPERLINK("https://www.youtube.com/watch?v=gZIzJ5aaoSc", "Video")</f>
        <v/>
      </c>
      <c r="B5372" t="inlineStr">
        <is>
          <t>0:19</t>
        </is>
      </c>
      <c r="C5372" t="inlineStr">
        <is>
          <t>for a little bit because you know I</t>
        </is>
      </c>
      <c r="D5372">
        <f>HYPERLINK("https://www.youtube.com/watch?v=gZIzJ5aaoSc&amp;t=19s", "Go to time")</f>
        <v/>
      </c>
    </row>
    <row r="5373">
      <c r="A5373">
        <f>HYPERLINK("https://www.youtube.com/watch?v=qi9SA4fgAB0", "Video")</f>
        <v/>
      </c>
      <c r="B5373" t="inlineStr">
        <is>
          <t>1:51</t>
        </is>
      </c>
      <c r="C5373" t="inlineStr">
        <is>
          <t>i'm not falling for this bit no way</t>
        </is>
      </c>
      <c r="D5373">
        <f>HYPERLINK("https://www.youtube.com/watch?v=qi9SA4fgAB0&amp;t=111s", "Go to time")</f>
        <v/>
      </c>
    </row>
    <row r="5374">
      <c r="A5374">
        <f>HYPERLINK("https://www.youtube.com/watch?v=GvGbkAnirGo", "Video")</f>
        <v/>
      </c>
      <c r="B5374" t="inlineStr">
        <is>
          <t>2:26</t>
        </is>
      </c>
      <c r="C5374" t="inlineStr">
        <is>
          <t>bit surprised this was if you're gonna</t>
        </is>
      </c>
      <c r="D5374">
        <f>HYPERLINK("https://www.youtube.com/watch?v=GvGbkAnirGo&amp;t=146s", "Go to time")</f>
        <v/>
      </c>
    </row>
    <row r="5375">
      <c r="A5375">
        <f>HYPERLINK("https://www.youtube.com/watch?v=vAM46oaq4jI", "Video")</f>
        <v/>
      </c>
      <c r="B5375" t="inlineStr">
        <is>
          <t>0:11</t>
        </is>
      </c>
      <c r="C5375" t="inlineStr">
        <is>
          <t>cover up your lady bits show lucky how</t>
        </is>
      </c>
      <c r="D5375">
        <f>HYPERLINK("https://www.youtube.com/watch?v=vAM46oaq4jI&amp;t=11s", "Go to time")</f>
        <v/>
      </c>
    </row>
    <row r="5376">
      <c r="A5376">
        <f>HYPERLINK("https://www.youtube.com/watch?v=ziUqD0PNCp4", "Video")</f>
        <v/>
      </c>
      <c r="B5376" t="inlineStr">
        <is>
          <t>1:46</t>
        </is>
      </c>
      <c r="C5376" t="inlineStr">
        <is>
          <t>on p a little bit more L right safe</t>
        </is>
      </c>
      <c r="D5376">
        <f>HYPERLINK("https://www.youtube.com/watch?v=ziUqD0PNCp4&amp;t=106s", "Go to time")</f>
        <v/>
      </c>
    </row>
    <row r="5377">
      <c r="A5377">
        <f>HYPERLINK("https://www.youtube.com/watch?v=RaicjdiN8ag", "Video")</f>
        <v/>
      </c>
      <c r="B5377" t="inlineStr">
        <is>
          <t>1:55</t>
        </is>
      </c>
      <c r="C5377" t="inlineStr">
        <is>
          <t>tag the next guy in that's like a rabbit</t>
        </is>
      </c>
      <c r="D5377">
        <f>HYPERLINK("https://www.youtube.com/watch?v=RaicjdiN8ag&amp;t=115s", "Go to time")</f>
        <v/>
      </c>
    </row>
    <row r="5378">
      <c r="A5378">
        <f>HYPERLINK("https://www.youtube.com/watch?v=J-pXDTLnLM4", "Video")</f>
        <v/>
      </c>
      <c r="B5378" t="inlineStr">
        <is>
          <t>0:23</t>
        </is>
      </c>
      <c r="C5378" t="inlineStr">
        <is>
          <t>the White Rabbit are gonna be really</t>
        </is>
      </c>
      <c r="D5378">
        <f>HYPERLINK("https://www.youtube.com/watch?v=J-pXDTLnLM4&amp;t=23s", "Go to time")</f>
        <v/>
      </c>
    </row>
    <row r="5379">
      <c r="A5379">
        <f>HYPERLINK("https://www.youtube.com/watch?v=CfxOMPCZjqw", "Video")</f>
        <v/>
      </c>
      <c r="B5379" t="inlineStr">
        <is>
          <t>8:06</t>
        </is>
      </c>
      <c r="C5379" t="inlineStr">
        <is>
          <t>little bit more about what you were able</t>
        </is>
      </c>
      <c r="D5379">
        <f>HYPERLINK("https://www.youtube.com/watch?v=CfxOMPCZjqw&amp;t=486s", "Go to time")</f>
        <v/>
      </c>
    </row>
    <row r="5380">
      <c r="A5380">
        <f>HYPERLINK("https://www.youtube.com/watch?v=CfxOMPCZjqw", "Video")</f>
        <v/>
      </c>
      <c r="B5380" t="inlineStr">
        <is>
          <t>10:23</t>
        </is>
      </c>
      <c r="C5380" t="inlineStr">
        <is>
          <t>little bit but I love that you got well</t>
        </is>
      </c>
      <c r="D5380">
        <f>HYPERLINK("https://www.youtube.com/watch?v=CfxOMPCZjqw&amp;t=623s", "Go to time")</f>
        <v/>
      </c>
    </row>
    <row r="5381">
      <c r="A5381">
        <f>HYPERLINK("https://www.youtube.com/watch?v=CfxOMPCZjqw", "Video")</f>
        <v/>
      </c>
      <c r="B5381" t="inlineStr">
        <is>
          <t>11:14</t>
        </is>
      </c>
      <c r="C5381" t="inlineStr">
        <is>
          <t>like a perfect bit to tell you in that</t>
        </is>
      </c>
      <c r="D5381">
        <f>HYPERLINK("https://www.youtube.com/watch?v=CfxOMPCZjqw&amp;t=674s", "Go to time")</f>
        <v/>
      </c>
    </row>
    <row r="5382">
      <c r="A5382">
        <f>HYPERLINK("https://www.youtube.com/watch?v=CfxOMPCZjqw", "Video")</f>
        <v/>
      </c>
      <c r="B5382" t="inlineStr">
        <is>
          <t>14:21</t>
        </is>
      </c>
      <c r="C5382" t="inlineStr">
        <is>
          <t>wanted to talk to you a little bit about</t>
        </is>
      </c>
      <c r="D5382">
        <f>HYPERLINK("https://www.youtube.com/watch?v=CfxOMPCZjqw&amp;t=861s", "Go to time")</f>
        <v/>
      </c>
    </row>
    <row r="5383">
      <c r="A5383">
        <f>HYPERLINK("https://www.youtube.com/watch?v=3EM3UPUlTJc", "Video")</f>
        <v/>
      </c>
      <c r="B5383" t="inlineStr">
        <is>
          <t>1:46</t>
        </is>
      </c>
      <c r="C5383" t="inlineStr">
        <is>
          <t>bit</t>
        </is>
      </c>
      <c r="D5383">
        <f>HYPERLINK("https://www.youtube.com/watch?v=3EM3UPUlTJc&amp;t=106s", "Go to time")</f>
        <v/>
      </c>
    </row>
    <row r="5384">
      <c r="A5384">
        <f>HYPERLINK("https://www.youtube.com/watch?v=rwr1IzFzjqA", "Video")</f>
        <v/>
      </c>
      <c r="B5384" t="inlineStr">
        <is>
          <t>0:05</t>
        </is>
      </c>
      <c r="C5384" t="inlineStr">
        <is>
          <t>why don't you tell me a little bit about</t>
        </is>
      </c>
      <c r="D5384">
        <f>HYPERLINK("https://www.youtube.com/watch?v=rwr1IzFzjqA&amp;t=5s", "Go to time")</f>
        <v/>
      </c>
    </row>
    <row r="5385">
      <c r="A5385">
        <f>HYPERLINK("https://www.youtube.com/watch?v=A7rgIPHo3UM", "Video")</f>
        <v/>
      </c>
      <c r="B5385" t="inlineStr">
        <is>
          <t>0:27</t>
        </is>
      </c>
      <c r="C5385" t="inlineStr">
        <is>
          <t>up some bits and gravy ma get him h</t>
        </is>
      </c>
      <c r="D5385">
        <f>HYPERLINK("https://www.youtube.com/watch?v=A7rgIPHo3UM&amp;t=27s", "Go to time")</f>
        <v/>
      </c>
    </row>
    <row r="5386">
      <c r="A5386">
        <f>HYPERLINK("https://www.youtube.com/watch?v=A7rgIPHo3UM", "Video")</f>
        <v/>
      </c>
      <c r="B5386" t="inlineStr">
        <is>
          <t>0:50</t>
        </is>
      </c>
      <c r="C5386" t="inlineStr">
        <is>
          <t>studying uh well a little bit of</t>
        </is>
      </c>
      <c r="D5386">
        <f>HYPERLINK("https://www.youtube.com/watch?v=A7rgIPHo3UM&amp;t=50s", "Go to time")</f>
        <v/>
      </c>
    </row>
    <row r="5387">
      <c r="A5387">
        <f>HYPERLINK("https://www.youtube.com/watch?v=A7rgIPHo3UM", "Video")</f>
        <v/>
      </c>
      <c r="B5387" t="inlineStr">
        <is>
          <t>2:17</t>
        </is>
      </c>
      <c r="C5387" t="inlineStr">
        <is>
          <t>bit just bit just a bit of your</t>
        </is>
      </c>
      <c r="D5387">
        <f>HYPERLINK("https://www.youtube.com/watch?v=A7rgIPHo3UM&amp;t=137s", "Go to time")</f>
        <v/>
      </c>
    </row>
    <row r="5388">
      <c r="A5388">
        <f>HYPERLINK("https://www.youtube.com/watch?v=A7rgIPHo3UM", "Video")</f>
        <v/>
      </c>
      <c r="B5388" t="inlineStr">
        <is>
          <t>2:39</t>
        </is>
      </c>
      <c r="C5388" t="inlineStr">
        <is>
          <t>resist bit just a bit your</t>
        </is>
      </c>
      <c r="D5388">
        <f>HYPERLINK("https://www.youtube.com/watch?v=A7rgIPHo3UM&amp;t=159s", "Go to time")</f>
        <v/>
      </c>
    </row>
    <row r="5389">
      <c r="A5389">
        <f>HYPERLINK("https://www.youtube.com/watch?v=VtTNioNQxvk", "Video")</f>
        <v/>
      </c>
      <c r="B5389" t="inlineStr">
        <is>
          <t>1:40</t>
        </is>
      </c>
      <c r="C5389" t="inlineStr">
        <is>
          <t>would probably be a little bit intense</t>
        </is>
      </c>
      <c r="D5389">
        <f>HYPERLINK("https://www.youtube.com/watch?v=VtTNioNQxvk&amp;t=100s", "Go to time")</f>
        <v/>
      </c>
    </row>
    <row r="5390">
      <c r="A5390">
        <f>HYPERLINK("https://www.youtube.com/watch?v=VtTNioNQxvk", "Video")</f>
        <v/>
      </c>
      <c r="B5390" t="inlineStr">
        <is>
          <t>5:48</t>
        </is>
      </c>
      <c r="C5390" t="inlineStr">
        <is>
          <t>exhibiting</t>
        </is>
      </c>
      <c r="D5390">
        <f>HYPERLINK("https://www.youtube.com/watch?v=VtTNioNQxvk&amp;t=348s", "Go to time")</f>
        <v/>
      </c>
    </row>
    <row r="5391">
      <c r="A5391">
        <f>HYPERLINK("https://www.youtube.com/watch?v=VtTNioNQxvk", "Video")</f>
        <v/>
      </c>
      <c r="B5391" t="inlineStr">
        <is>
          <t>11:13</t>
        </is>
      </c>
      <c r="C5391" t="inlineStr">
        <is>
          <t>but of course as has become a little bit</t>
        </is>
      </c>
      <c r="D5391">
        <f>HYPERLINK("https://www.youtube.com/watch?v=VtTNioNQxvk&amp;t=673s", "Go to time")</f>
        <v/>
      </c>
    </row>
    <row r="5392">
      <c r="A5392">
        <f>HYPERLINK("https://www.youtube.com/watch?v=VtTNioNQxvk", "Video")</f>
        <v/>
      </c>
      <c r="B5392" t="inlineStr">
        <is>
          <t>13:35</t>
        </is>
      </c>
      <c r="C5392" t="inlineStr">
        <is>
          <t>bit scary and a little bit violent</t>
        </is>
      </c>
      <c r="D5392">
        <f>HYPERLINK("https://www.youtube.com/watch?v=VtTNioNQxvk&amp;t=815s", "Go to time")</f>
        <v/>
      </c>
    </row>
    <row r="5393">
      <c r="A5393">
        <f>HYPERLINK("https://www.youtube.com/watch?v=27Q2XEORI18", "Video")</f>
        <v/>
      </c>
      <c r="B5393" t="inlineStr">
        <is>
          <t>0:44</t>
        </is>
      </c>
      <c r="C5393" t="inlineStr">
        <is>
          <t>you know a little bit of warmth yeah</t>
        </is>
      </c>
      <c r="D5393">
        <f>HYPERLINK("https://www.youtube.com/watch?v=27Q2XEORI18&amp;t=44s", "Go to time")</f>
        <v/>
      </c>
    </row>
    <row r="5394">
      <c r="A5394">
        <f>HYPERLINK("https://www.youtube.com/watch?v=27Q2XEORI18", "Video")</f>
        <v/>
      </c>
      <c r="B5394" t="inlineStr">
        <is>
          <t>2:05</t>
        </is>
      </c>
      <c r="C5394" t="inlineStr">
        <is>
          <t>you're not too bad oh right a little bit</t>
        </is>
      </c>
      <c r="D5394">
        <f>HYPERLINK("https://www.youtube.com/watch?v=27Q2XEORI18&amp;t=125s", "Go to time")</f>
        <v/>
      </c>
    </row>
    <row r="5395">
      <c r="A5395">
        <f>HYPERLINK("https://www.youtube.com/watch?v=zvGA7DNmxmw", "Video")</f>
        <v/>
      </c>
      <c r="B5395" t="inlineStr">
        <is>
          <t>1:30</t>
        </is>
      </c>
      <c r="C5395" t="inlineStr">
        <is>
          <t>English you can't hear that bit if you</t>
        </is>
      </c>
      <c r="D5395">
        <f>HYPERLINK("https://www.youtube.com/watch?v=zvGA7DNmxmw&amp;t=90s", "Go to time")</f>
        <v/>
      </c>
    </row>
    <row r="5396">
      <c r="A5396">
        <f>HYPERLINK("https://www.youtube.com/watch?v=AhwvMFlHbKw", "Video")</f>
        <v/>
      </c>
      <c r="B5396" t="inlineStr">
        <is>
          <t>9:34</t>
        </is>
      </c>
      <c r="C5396" t="inlineStr">
        <is>
          <t>that got into your DNA a little bit from</t>
        </is>
      </c>
      <c r="D5396">
        <f>HYPERLINK("https://www.youtube.com/watch?v=AhwvMFlHbKw&amp;t=574s", "Go to time")</f>
        <v/>
      </c>
    </row>
    <row r="5397">
      <c r="A5397">
        <f>HYPERLINK("https://www.youtube.com/watch?v=AhwvMFlHbKw", "Video")</f>
        <v/>
      </c>
      <c r="B5397" t="inlineStr">
        <is>
          <t>10:19</t>
        </is>
      </c>
      <c r="C5397" t="inlineStr">
        <is>
          <t>little bit of that spirit in him still</t>
        </is>
      </c>
      <c r="D5397">
        <f>HYPERLINK("https://www.youtube.com/watch?v=AhwvMFlHbKw&amp;t=619s", "Go to time")</f>
        <v/>
      </c>
    </row>
    <row r="5398">
      <c r="A5398">
        <f>HYPERLINK("https://www.youtube.com/watch?v=AhwvMFlHbKw", "Video")</f>
        <v/>
      </c>
      <c r="B5398" t="inlineStr">
        <is>
          <t>22:18</t>
        </is>
      </c>
      <c r="C5398" t="inlineStr">
        <is>
          <t>was awful and it was actually a bit of a</t>
        </is>
      </c>
      <c r="D5398">
        <f>HYPERLINK("https://www.youtube.com/watch?v=AhwvMFlHbKw&amp;t=1338s", "Go to time")</f>
        <v/>
      </c>
    </row>
    <row r="5399">
      <c r="A5399">
        <f>HYPERLINK("https://www.youtube.com/watch?v=AhwvMFlHbKw", "Video")</f>
        <v/>
      </c>
      <c r="B5399" t="inlineStr">
        <is>
          <t>42:14</t>
        </is>
      </c>
      <c r="C5399" t="inlineStr">
        <is>
          <t>southern Texas accent has a little bit</t>
        </is>
      </c>
      <c r="D5399">
        <f>HYPERLINK("https://www.youtube.com/watch?v=AhwvMFlHbKw&amp;t=2534s", "Go to time")</f>
        <v/>
      </c>
    </row>
    <row r="5400">
      <c r="A5400">
        <f>HYPERLINK("https://www.youtube.com/watch?v=AhwvMFlHbKw", "Video")</f>
        <v/>
      </c>
      <c r="B5400" t="inlineStr">
        <is>
          <t>42:32</t>
        </is>
      </c>
      <c r="C5400" t="inlineStr">
        <is>
          <t>a little bit I'll take I'll take that</t>
        </is>
      </c>
      <c r="D5400">
        <f>HYPERLINK("https://www.youtube.com/watch?v=AhwvMFlHbKw&amp;t=2552s", "Go to time")</f>
        <v/>
      </c>
    </row>
    <row r="5401">
      <c r="A5401">
        <f>HYPERLINK("https://www.youtube.com/watch?v=AhwvMFlHbKw", "Video")</f>
        <v/>
      </c>
      <c r="B5401" t="inlineStr">
        <is>
          <t>46:53</t>
        </is>
      </c>
      <c r="C5401" t="inlineStr">
        <is>
          <t>bit um it was a it was a safe</t>
        </is>
      </c>
      <c r="D5401">
        <f>HYPERLINK("https://www.youtube.com/watch?v=AhwvMFlHbKw&amp;t=2813s", "Go to time")</f>
        <v/>
      </c>
    </row>
    <row r="5402">
      <c r="A5402">
        <f>HYPERLINK("https://www.youtube.com/watch?v=VLkFt4Vg-y0", "Video")</f>
        <v/>
      </c>
      <c r="B5402" t="inlineStr">
        <is>
          <t>2:20</t>
        </is>
      </c>
      <c r="C5402" t="inlineStr">
        <is>
          <t>i'm sorry this is all a bit sudden i</t>
        </is>
      </c>
      <c r="D5402">
        <f>HYPERLINK("https://www.youtube.com/watch?v=VLkFt4Vg-y0&amp;t=140s", "Go to time")</f>
        <v/>
      </c>
    </row>
    <row r="5403">
      <c r="A5403">
        <f>HYPERLINK("https://www.youtube.com/watch?v=VLkFt4Vg-y0", "Video")</f>
        <v/>
      </c>
      <c r="B5403" t="inlineStr">
        <is>
          <t>2:22</t>
        </is>
      </c>
      <c r="C5403" t="inlineStr">
        <is>
          <t>just need a little bit more time i think</t>
        </is>
      </c>
      <c r="D5403">
        <f>HYPERLINK("https://www.youtube.com/watch?v=VLkFt4Vg-y0&amp;t=142s", "Go to time")</f>
        <v/>
      </c>
    </row>
    <row r="5404">
      <c r="A5404">
        <f>HYPERLINK("https://www.youtube.com/watch?v=VLkFt4Vg-y0", "Video")</f>
        <v/>
      </c>
      <c r="B5404" t="inlineStr">
        <is>
          <t>2:26</t>
        </is>
      </c>
      <c r="C5404" t="inlineStr">
        <is>
          <t>bit more time yeah you know our deal</t>
        </is>
      </c>
      <c r="D5404">
        <f>HYPERLINK("https://www.youtube.com/watch?v=VLkFt4Vg-y0&amp;t=146s", "Go to time")</f>
        <v/>
      </c>
    </row>
    <row r="5405">
      <c r="A5405">
        <f>HYPERLINK("https://www.youtube.com/watch?v=5yin9f0Ziig", "Video")</f>
        <v/>
      </c>
      <c r="B5405" t="inlineStr">
        <is>
          <t>0:41</t>
        </is>
      </c>
      <c r="C5405" t="inlineStr">
        <is>
          <t>where's Brad someone stole my debit</t>
        </is>
      </c>
      <c r="D5405">
        <f>HYPERLINK("https://www.youtube.com/watch?v=5yin9f0Ziig&amp;t=41s", "Go to time")</f>
        <v/>
      </c>
    </row>
    <row r="5406">
      <c r="A5406">
        <f>HYPERLINK("https://www.youtube.com/watch?v=rlMANFZdCkk", "Video")</f>
        <v/>
      </c>
      <c r="B5406" t="inlineStr">
        <is>
          <t>0:18</t>
        </is>
      </c>
      <c r="C5406" t="inlineStr">
        <is>
          <t>a little bit don't what oh yeah sir do</t>
        </is>
      </c>
      <c r="D5406">
        <f>HYPERLINK("https://www.youtube.com/watch?v=rlMANFZdCkk&amp;t=18s", "Go to time")</f>
        <v/>
      </c>
    </row>
    <row r="5407">
      <c r="A5407">
        <f>HYPERLINK("https://www.youtube.com/watch?v=JhBYFCUY3iE", "Video")</f>
        <v/>
      </c>
      <c r="B5407" t="inlineStr">
        <is>
          <t>0:38</t>
        </is>
      </c>
      <c r="C5407" t="inlineStr">
        <is>
          <t>it's grown quite a bit over the years</t>
        </is>
      </c>
      <c r="D5407">
        <f>HYPERLINK("https://www.youtube.com/watch?v=JhBYFCUY3iE&amp;t=38s", "Go to time")</f>
        <v/>
      </c>
    </row>
    <row r="5408">
      <c r="A5408">
        <f>HYPERLINK("https://www.youtube.com/watch?v=htYvOmb3KvU", "Video")</f>
        <v/>
      </c>
      <c r="B5408" t="inlineStr">
        <is>
          <t>2:45</t>
        </is>
      </c>
      <c r="C5408" t="inlineStr">
        <is>
          <t>crush you are we losing it a bit</t>
        </is>
      </c>
      <c r="D5408">
        <f>HYPERLINK("https://www.youtube.com/watch?v=htYvOmb3KvU&amp;t=165s", "Go to time")</f>
        <v/>
      </c>
    </row>
    <row r="5409">
      <c r="A5409">
        <f>HYPERLINK("https://www.youtube.com/watch?v=WO6BDpxAaII", "Video")</f>
        <v/>
      </c>
      <c r="B5409" t="inlineStr">
        <is>
          <t>2:17</t>
        </is>
      </c>
      <c r="C5409" t="inlineStr">
        <is>
          <t>white exhibiting behav is consistent</t>
        </is>
      </c>
      <c r="D5409">
        <f>HYPERLINK("https://www.youtube.com/watch?v=WO6BDpxAaII&amp;t=137s", "Go to time")</f>
        <v/>
      </c>
    </row>
    <row r="5410">
      <c r="A5410">
        <f>HYPERLINK("https://www.youtube.com/watch?v=0IWmniYe7aI", "Video")</f>
        <v/>
      </c>
      <c r="B5410" t="inlineStr">
        <is>
          <t>0:08</t>
        </is>
      </c>
      <c r="C5410" t="inlineStr">
        <is>
          <t>you'll never catch that rabbit being the</t>
        </is>
      </c>
      <c r="D5410">
        <f>HYPERLINK("https://www.youtube.com/watch?v=0IWmniYe7aI&amp;t=8s", "Go to time")</f>
        <v/>
      </c>
    </row>
    <row r="5411">
      <c r="A5411">
        <f>HYPERLINK("https://www.youtube.com/watch?v=A3Vm7zSOm7M", "Video")</f>
        <v/>
      </c>
      <c r="B5411" t="inlineStr">
        <is>
          <t>1:00</t>
        </is>
      </c>
      <c r="C5411" t="inlineStr">
        <is>
          <t>bite</t>
        </is>
      </c>
      <c r="D5411">
        <f>HYPERLINK("https://www.youtube.com/watch?v=A3Vm7zSOm7M&amp;t=60s", "Go to time")</f>
        <v/>
      </c>
    </row>
    <row r="5412">
      <c r="A5412">
        <f>HYPERLINK("https://www.youtube.com/watch?v=pDn8ZpQWvjU", "Video")</f>
        <v/>
      </c>
      <c r="B5412" t="inlineStr">
        <is>
          <t>0:32</t>
        </is>
      </c>
      <c r="C5412" t="inlineStr">
        <is>
          <t>he did not even bite and that just</t>
        </is>
      </c>
      <c r="D5412">
        <f>HYPERLINK("https://www.youtube.com/watch?v=pDn8ZpQWvjU&amp;t=32s", "Go to time")</f>
        <v/>
      </c>
    </row>
    <row r="5413">
      <c r="A5413">
        <f>HYPERLINK("https://www.youtube.com/watch?v=hURjqJjiluw", "Video")</f>
        <v/>
      </c>
      <c r="B5413" t="inlineStr">
        <is>
          <t>0:00</t>
        </is>
      </c>
      <c r="C5413" t="inlineStr">
        <is>
          <t>you know I'm a bit of a builder myself</t>
        </is>
      </c>
      <c r="D5413">
        <f>HYPERLINK("https://www.youtube.com/watch?v=hURjqJjiluw&amp;t=0s", "Go to time")</f>
        <v/>
      </c>
    </row>
    <row r="5414">
      <c r="A5414">
        <f>HYPERLINK("https://www.youtube.com/watch?v=Um1AG4s_B54", "Video")</f>
        <v/>
      </c>
      <c r="B5414" t="inlineStr">
        <is>
          <t>0:01</t>
        </is>
      </c>
      <c r="C5414" t="inlineStr">
        <is>
          <t>bitsy</t>
        </is>
      </c>
      <c r="D5414">
        <f>HYPERLINK("https://www.youtube.com/watch?v=Um1AG4s_B54&amp;t=1s", "Go to time")</f>
        <v/>
      </c>
    </row>
    <row r="5415">
      <c r="A5415">
        <f>HYPERLINK("https://www.youtube.com/watch?v=Um1AG4s_B54", "Video")</f>
        <v/>
      </c>
      <c r="B5415" t="inlineStr">
        <is>
          <t>0:04</t>
        </is>
      </c>
      <c r="C5415" t="inlineStr">
        <is>
          <t>the itty bitty spider crawled up the</t>
        </is>
      </c>
      <c r="D5415">
        <f>HYPERLINK("https://www.youtube.com/watch?v=Um1AG4s_B54&amp;t=4s", "Go to time")</f>
        <v/>
      </c>
    </row>
    <row r="5416">
      <c r="A5416">
        <f>HYPERLINK("https://www.youtube.com/watch?v=r8gbmgb-E38", "Video")</f>
        <v/>
      </c>
      <c r="B5416" t="inlineStr">
        <is>
          <t>5:56</t>
        </is>
      </c>
      <c r="C5416" t="inlineStr">
        <is>
          <t>you all quite a bit especially you Chris</t>
        </is>
      </c>
      <c r="D5416">
        <f>HYPERLINK("https://www.youtube.com/watch?v=r8gbmgb-E38&amp;t=356s", "Go to time")</f>
        <v/>
      </c>
    </row>
    <row r="5417">
      <c r="A5417">
        <f>HYPERLINK("https://www.youtube.com/watch?v=r8gbmgb-E38", "Video")</f>
        <v/>
      </c>
      <c r="B5417" t="inlineStr">
        <is>
          <t>6:19</t>
        </is>
      </c>
      <c r="C5417" t="inlineStr">
        <is>
          <t>bit</t>
        </is>
      </c>
      <c r="D5417">
        <f>HYPERLINK("https://www.youtube.com/watch?v=r8gbmgb-E38&amp;t=379s", "Go to time")</f>
        <v/>
      </c>
    </row>
    <row r="5418">
      <c r="A5418">
        <f>HYPERLINK("https://www.youtube.com/watch?v=yDFXyahkgP8", "Video")</f>
        <v/>
      </c>
      <c r="B5418" t="inlineStr">
        <is>
          <t>2:38</t>
        </is>
      </c>
      <c r="C5418" t="inlineStr">
        <is>
          <t>and could even cause the victim to bite</t>
        </is>
      </c>
      <c r="D5418">
        <f>HYPERLINK("https://www.youtube.com/watch?v=yDFXyahkgP8&amp;t=158s", "Go to time")</f>
        <v/>
      </c>
    </row>
    <row r="5419">
      <c r="A5419">
        <f>HYPERLINK("https://www.youtube.com/watch?v=5mrnt8ypPvI", "Video")</f>
        <v/>
      </c>
      <c r="B5419" t="inlineStr">
        <is>
          <t>1:45</t>
        </is>
      </c>
      <c r="C5419" t="inlineStr">
        <is>
          <t>don't you think that sounds a little bit</t>
        </is>
      </c>
      <c r="D5419">
        <f>HYPERLINK("https://www.youtube.com/watch?v=5mrnt8ypPvI&amp;t=105s", "Go to time")</f>
        <v/>
      </c>
    </row>
    <row r="5420">
      <c r="A5420">
        <f>HYPERLINK("https://www.youtube.com/watch?v=MdpHsloz4qc", "Video")</f>
        <v/>
      </c>
      <c r="B5420" t="inlineStr">
        <is>
          <t>0:19</t>
        </is>
      </c>
      <c r="C5420" t="inlineStr">
        <is>
          <t>it had twinges a bit now now i would</t>
        </is>
      </c>
      <c r="D5420">
        <f>HYPERLINK("https://www.youtube.com/watch?v=MdpHsloz4qc&amp;t=19s", "Go to time")</f>
        <v/>
      </c>
    </row>
    <row r="5421">
      <c r="A5421">
        <f>HYPERLINK("https://www.youtube.com/watch?v=w3EJG8NTVsk", "Video")</f>
        <v/>
      </c>
      <c r="B5421" t="inlineStr">
        <is>
          <t>1:46</t>
        </is>
      </c>
      <c r="C5421" t="inlineStr">
        <is>
          <t>good rabbits for Mom's nail key sauce</t>
        </is>
      </c>
      <c r="D5421">
        <f>HYPERLINK("https://www.youtube.com/watch?v=w3EJG8NTVsk&amp;t=106s", "Go to time")</f>
        <v/>
      </c>
    </row>
    <row r="5422">
      <c r="A5422">
        <f>HYPERLINK("https://www.youtube.com/watch?v=EqHsQDvJpRU", "Video")</f>
        <v/>
      </c>
      <c r="B5422" t="inlineStr">
        <is>
          <t>0:04</t>
        </is>
      </c>
      <c r="C5422" t="inlineStr">
        <is>
          <t>only got a couple bits the the jury</t>
        </is>
      </c>
      <c r="D5422">
        <f>HYPERLINK("https://www.youtube.com/watch?v=EqHsQDvJpRU&amp;t=4s", "Go to time")</f>
        <v/>
      </c>
    </row>
    <row r="5423">
      <c r="A5423">
        <f>HYPERLINK("https://www.youtube.com/watch?v=qmjeUnkUwnw", "Video")</f>
        <v/>
      </c>
      <c r="B5423" t="inlineStr">
        <is>
          <t>2:26</t>
        </is>
      </c>
      <c r="C5423" t="inlineStr">
        <is>
          <t>bit because despite the rotten rating</t>
        </is>
      </c>
      <c r="D5423">
        <f>HYPERLINK("https://www.youtube.com/watch?v=qmjeUnkUwnw&amp;t=146s", "Go to time")</f>
        <v/>
      </c>
    </row>
    <row r="5424">
      <c r="A5424">
        <f>HYPERLINK("https://www.youtube.com/watch?v=qmjeUnkUwnw", "Video")</f>
        <v/>
      </c>
      <c r="B5424" t="inlineStr">
        <is>
          <t>7:45</t>
        </is>
      </c>
      <c r="C5424" t="inlineStr">
        <is>
          <t>writer steve moore to be a bit darker in</t>
        </is>
      </c>
      <c r="D5424">
        <f>HYPERLINK("https://www.youtube.com/watch?v=qmjeUnkUwnw&amp;t=465s", "Go to time")</f>
        <v/>
      </c>
    </row>
    <row r="5425">
      <c r="A5425">
        <f>HYPERLINK("https://www.youtube.com/watch?v=qmjeUnkUwnw", "Video")</f>
        <v/>
      </c>
      <c r="B5425" t="inlineStr">
        <is>
          <t>7:47</t>
        </is>
      </c>
      <c r="C5425" t="inlineStr">
        <is>
          <t>tone and with a bit more serious story</t>
        </is>
      </c>
      <c r="D5425">
        <f>HYPERLINK("https://www.youtube.com/watch?v=qmjeUnkUwnw&amp;t=467s", "Go to time")</f>
        <v/>
      </c>
    </row>
    <row r="5426">
      <c r="A5426">
        <f>HYPERLINK("https://www.youtube.com/watch?v=qmjeUnkUwnw", "Video")</f>
        <v/>
      </c>
      <c r="B5426" t="inlineStr">
        <is>
          <t>15:42</t>
        </is>
      </c>
      <c r="C5426" t="inlineStr">
        <is>
          <t>without the occasional bit of charm and</t>
        </is>
      </c>
      <c r="D5426">
        <f>HYPERLINK("https://www.youtube.com/watch?v=qmjeUnkUwnw&amp;t=942s", "Go to time")</f>
        <v/>
      </c>
    </row>
    <row r="5427">
      <c r="A5427">
        <f>HYPERLINK("https://www.youtube.com/watch?v=qmjeUnkUwnw", "Video")</f>
        <v/>
      </c>
      <c r="B5427" t="inlineStr">
        <is>
          <t>18:40</t>
        </is>
      </c>
      <c r="C5427" t="inlineStr">
        <is>
          <t>a bit of and i know what you did last</t>
        </is>
      </c>
      <c r="D5427">
        <f>HYPERLINK("https://www.youtube.com/watch?v=qmjeUnkUwnw&amp;t=1120s", "Go to time")</f>
        <v/>
      </c>
    </row>
    <row r="5428">
      <c r="A5428">
        <f>HYPERLINK("https://www.youtube.com/watch?v=qmjeUnkUwnw", "Video")</f>
        <v/>
      </c>
      <c r="B5428" t="inlineStr">
        <is>
          <t>21:14</t>
        </is>
      </c>
      <c r="C5428" t="inlineStr">
        <is>
          <t>bit of a rocky ride with the film's</t>
        </is>
      </c>
      <c r="D5428">
        <f>HYPERLINK("https://www.youtube.com/watch?v=qmjeUnkUwnw&amp;t=1274s", "Go to time")</f>
        <v/>
      </c>
    </row>
    <row r="5429">
      <c r="A5429">
        <f>HYPERLINK("https://www.youtube.com/watch?v=olE7wQEh4G8", "Video")</f>
        <v/>
      </c>
      <c r="B5429" t="inlineStr">
        <is>
          <t>0:02</t>
        </is>
      </c>
      <c r="C5429" t="inlineStr">
        <is>
          <t>left a bit up a bit</t>
        </is>
      </c>
      <c r="D5429">
        <f>HYPERLINK("https://www.youtube.com/watch?v=olE7wQEh4G8&amp;t=2s", "Go to time")</f>
        <v/>
      </c>
    </row>
    <row r="5430">
      <c r="A5430">
        <f>HYPERLINK("https://www.youtube.com/watch?v=olE7wQEh4G8", "Video")</f>
        <v/>
      </c>
      <c r="B5430" t="inlineStr">
        <is>
          <t>0:05</t>
        </is>
      </c>
      <c r="C5430" t="inlineStr">
        <is>
          <t>now down a bit</t>
        </is>
      </c>
      <c r="D5430">
        <f>HYPERLINK("https://www.youtube.com/watch?v=olE7wQEh4G8&amp;t=5s", "Go to time")</f>
        <v/>
      </c>
    </row>
    <row r="5431">
      <c r="A5431">
        <f>HYPERLINK("https://www.youtube.com/watch?v=olE7wQEh4G8", "Video")</f>
        <v/>
      </c>
      <c r="B5431" t="inlineStr">
        <is>
          <t>1:29</t>
        </is>
      </c>
      <c r="C5431" t="inlineStr">
        <is>
          <t>I'm sorry Gomez I'm just a bit</t>
        </is>
      </c>
      <c r="D5431">
        <f>HYPERLINK("https://www.youtube.com/watch?v=olE7wQEh4G8&amp;t=89s", "Go to time")</f>
        <v/>
      </c>
    </row>
    <row r="5432">
      <c r="A5432">
        <f>HYPERLINK("https://www.youtube.com/watch?v=ttaRBbu2L4E", "Video")</f>
        <v/>
      </c>
      <c r="B5432" t="inlineStr">
        <is>
          <t>1:39</t>
        </is>
      </c>
      <c r="C5432" t="inlineStr">
        <is>
          <t>exhibition like a circus i don't mind</t>
        </is>
      </c>
      <c r="D5432">
        <f>HYPERLINK("https://www.youtube.com/watch?v=ttaRBbu2L4E&amp;t=99s", "Go to time")</f>
        <v/>
      </c>
    </row>
    <row r="5433">
      <c r="A5433">
        <f>HYPERLINK("https://www.youtube.com/watch?v=ZNyqYeIyOUc", "Video")</f>
        <v/>
      </c>
      <c r="B5433" t="inlineStr">
        <is>
          <t>3:16</t>
        </is>
      </c>
      <c r="C5433" t="inlineStr">
        <is>
          <t>I'm gonna move a little bit to the right</t>
        </is>
      </c>
      <c r="D5433">
        <f>HYPERLINK("https://www.youtube.com/watch?v=ZNyqYeIyOUc&amp;t=196s", "Go to time")</f>
        <v/>
      </c>
    </row>
    <row r="5434">
      <c r="A5434">
        <f>HYPERLINK("https://www.youtube.com/watch?v=1hMYD3N-qn4", "Video")</f>
        <v/>
      </c>
      <c r="B5434" t="inlineStr">
        <is>
          <t>2:40</t>
        </is>
      </c>
      <c r="C5434" t="inlineStr">
        <is>
          <t>just a little bit bigger a little bit</t>
        </is>
      </c>
      <c r="D5434">
        <f>HYPERLINK("https://www.youtube.com/watch?v=1hMYD3N-qn4&amp;t=160s", "Go to time")</f>
        <v/>
      </c>
    </row>
    <row r="5435">
      <c r="A5435">
        <f>HYPERLINK("https://www.youtube.com/watch?v=TQ6aYBvKwCo", "Video")</f>
        <v/>
      </c>
      <c r="B5435" t="inlineStr">
        <is>
          <t>8:07</t>
        </is>
      </c>
      <c r="C5435" t="inlineStr">
        <is>
          <t>a bit</t>
        </is>
      </c>
      <c r="D5435">
        <f>HYPERLINK("https://www.youtube.com/watch?v=TQ6aYBvKwCo&amp;t=487s", "Go to time")</f>
        <v/>
      </c>
    </row>
    <row r="5436">
      <c r="A5436">
        <f>HYPERLINK("https://www.youtube.com/watch?v=T4D1PUoSp64", "Video")</f>
        <v/>
      </c>
      <c r="B5436" t="inlineStr">
        <is>
          <t>0:07</t>
        </is>
      </c>
      <c r="C5436" t="inlineStr">
        <is>
          <t>shrink a little bit oh yeah uhhuh okay</t>
        </is>
      </c>
      <c r="D5436">
        <f>HYPERLINK("https://www.youtube.com/watch?v=T4D1PUoSp64&amp;t=7s", "Go to time")</f>
        <v/>
      </c>
    </row>
    <row r="5437">
      <c r="A5437">
        <f>HYPERLINK("https://www.youtube.com/watch?v=qoqkEKWTWk4", "Video")</f>
        <v/>
      </c>
      <c r="B5437" t="inlineStr">
        <is>
          <t>1:18</t>
        </is>
      </c>
      <c r="C5437" t="inlineStr">
        <is>
          <t>help me get rid of those filthy rabbits</t>
        </is>
      </c>
      <c r="D5437">
        <f>HYPERLINK("https://www.youtube.com/watch?v=qoqkEKWTWk4&amp;t=78s", "Go to time")</f>
        <v/>
      </c>
    </row>
    <row r="5438">
      <c r="A5438">
        <f>HYPERLINK("https://www.youtube.com/watch?v=V5S0bL4hS20", "Video")</f>
        <v/>
      </c>
      <c r="B5438" t="inlineStr">
        <is>
          <t>1:16</t>
        </is>
      </c>
      <c r="C5438" t="inlineStr">
        <is>
          <t>as her sister but her one ambition in</t>
        </is>
      </c>
      <c r="D5438">
        <f>HYPERLINK("https://www.youtube.com/watch?v=V5S0bL4hS20&amp;t=76s", "Go to time")</f>
        <v/>
      </c>
    </row>
    <row r="5439">
      <c r="A5439">
        <f>HYPERLINK("https://www.youtube.com/watch?v=uY9jlsiOC6k", "Video")</f>
        <v/>
      </c>
      <c r="B5439" t="inlineStr">
        <is>
          <t>0:26</t>
        </is>
      </c>
      <c r="C5439" t="inlineStr">
        <is>
          <t>this is the best bit isn't it waiting</t>
        </is>
      </c>
      <c r="D5439">
        <f>HYPERLINK("https://www.youtube.com/watch?v=uY9jlsiOC6k&amp;t=26s", "Go to time")</f>
        <v/>
      </c>
    </row>
    <row r="5440">
      <c r="A5440">
        <f>HYPERLINK("https://www.youtube.com/watch?v=uY9jlsiOC6k", "Video")</f>
        <v/>
      </c>
      <c r="B5440" t="inlineStr">
        <is>
          <t>0:32</t>
        </is>
      </c>
      <c r="C5440" t="inlineStr">
        <is>
          <t>second best bit kagamucho is going out</t>
        </is>
      </c>
      <c r="D5440">
        <f>HYPERLINK("https://www.youtube.com/watch?v=uY9jlsiOC6k&amp;t=32s", "Go to time")</f>
        <v/>
      </c>
    </row>
    <row r="5441">
      <c r="A5441">
        <f>HYPERLINK("https://www.youtube.com/watch?v=r1rT20VGQ5o", "Video")</f>
        <v/>
      </c>
      <c r="B5441" t="inlineStr">
        <is>
          <t>8:22</t>
        </is>
      </c>
      <c r="C5441" t="inlineStr">
        <is>
          <t>a bit more for the weasel Riz which I</t>
        </is>
      </c>
      <c r="D5441">
        <f>HYPERLINK("https://www.youtube.com/watch?v=r1rT20VGQ5o&amp;t=502s", "Go to time")</f>
        <v/>
      </c>
    </row>
    <row r="5442">
      <c r="A5442">
        <f>HYPERLINK("https://www.youtube.com/watch?v=r1rT20VGQ5o", "Video")</f>
        <v/>
      </c>
      <c r="B5442" t="inlineStr">
        <is>
          <t>8:56</t>
        </is>
      </c>
      <c r="C5442" t="inlineStr">
        <is>
          <t>friends and like you feel a little bit</t>
        </is>
      </c>
      <c r="D5442">
        <f>HYPERLINK("https://www.youtube.com/watch?v=r1rT20VGQ5o&amp;t=536s", "Go to time")</f>
        <v/>
      </c>
    </row>
    <row r="5443">
      <c r="A5443">
        <f>HYPERLINK("https://www.youtube.com/watch?v=r1rT20VGQ5o", "Video")</f>
        <v/>
      </c>
      <c r="B5443" t="inlineStr">
        <is>
          <t>19:00</t>
        </is>
      </c>
      <c r="C5443" t="inlineStr">
        <is>
          <t>hearts a little bit Yeah I will also say</t>
        </is>
      </c>
      <c r="D5443">
        <f>HYPERLINK("https://www.youtube.com/watch?v=r1rT20VGQ5o&amp;t=1140s", "Go to time")</f>
        <v/>
      </c>
    </row>
    <row r="5444">
      <c r="A5444">
        <f>HYPERLINK("https://www.youtube.com/watch?v=r1rT20VGQ5o", "Video")</f>
        <v/>
      </c>
      <c r="B5444" t="inlineStr">
        <is>
          <t>22:06</t>
        </is>
      </c>
      <c r="C5444" t="inlineStr">
        <is>
          <t>little bit you know what I mean because</t>
        </is>
      </c>
      <c r="D5444">
        <f>HYPERLINK("https://www.youtube.com/watch?v=r1rT20VGQ5o&amp;t=1326s", "Go to time")</f>
        <v/>
      </c>
    </row>
    <row r="5445">
      <c r="A5445">
        <f>HYPERLINK("https://www.youtube.com/watch?v=r1rT20VGQ5o", "Video")</f>
        <v/>
      </c>
      <c r="B5445" t="inlineStr">
        <is>
          <t>30:10</t>
        </is>
      </c>
      <c r="C5445" t="inlineStr">
        <is>
          <t>to get into the Lexicon a little bit so</t>
        </is>
      </c>
      <c r="D5445">
        <f>HYPERLINK("https://www.youtube.com/watch?v=r1rT20VGQ5o&amp;t=1810s", "Go to time")</f>
        <v/>
      </c>
    </row>
    <row r="5446">
      <c r="A5446">
        <f>HYPERLINK("https://www.youtube.com/watch?v=r1rT20VGQ5o", "Video")</f>
        <v/>
      </c>
      <c r="B5446" t="inlineStr">
        <is>
          <t>32:46</t>
        </is>
      </c>
      <c r="C5446" t="inlineStr">
        <is>
          <t>getting away from craw a little bit I</t>
        </is>
      </c>
      <c r="D5446">
        <f>HYPERLINK("https://www.youtube.com/watch?v=r1rT20VGQ5o&amp;t=1966s", "Go to time")</f>
        <v/>
      </c>
    </row>
    <row r="5447">
      <c r="A5447">
        <f>HYPERLINK("https://www.youtube.com/watch?v=r1rT20VGQ5o", "Video")</f>
        <v/>
      </c>
      <c r="B5447" t="inlineStr">
        <is>
          <t>37:00</t>
        </is>
      </c>
      <c r="C5447" t="inlineStr">
        <is>
          <t>are going to react get a little bit of</t>
        </is>
      </c>
      <c r="D5447">
        <f>HYPERLINK("https://www.youtube.com/watch?v=r1rT20VGQ5o&amp;t=2220s", "Go to time")</f>
        <v/>
      </c>
    </row>
    <row r="5448">
      <c r="A5448">
        <f>HYPERLINK("https://www.youtube.com/watch?v=2fTeijchMKY", "Video")</f>
        <v/>
      </c>
      <c r="B5448" t="inlineStr">
        <is>
          <t>0:41</t>
        </is>
      </c>
      <c r="C5448" t="inlineStr">
        <is>
          <t>bite you yeah well I thought you might</t>
        </is>
      </c>
      <c r="D5448">
        <f>HYPERLINK("https://www.youtube.com/watch?v=2fTeijchMKY&amp;t=41s", "Go to time")</f>
        <v/>
      </c>
    </row>
    <row r="5449">
      <c r="A5449">
        <f>HYPERLINK("https://www.youtube.com/watch?v=kwQWQMZlG18", "Video")</f>
        <v/>
      </c>
      <c r="B5449" t="inlineStr">
        <is>
          <t>2:06</t>
        </is>
      </c>
      <c r="C5449" t="inlineStr">
        <is>
          <t>and doing a little bit too much of it</t>
        </is>
      </c>
      <c r="D5449">
        <f>HYPERLINK("https://www.youtube.com/watch?v=kwQWQMZlG18&amp;t=126s", "Go to time")</f>
        <v/>
      </c>
    </row>
    <row r="5450">
      <c r="A5450">
        <f>HYPERLINK("https://www.youtube.com/watch?v=pegpswIDO04", "Video")</f>
        <v/>
      </c>
      <c r="B5450" t="inlineStr">
        <is>
          <t>8:30</t>
        </is>
      </c>
      <c r="C5450" t="inlineStr">
        <is>
          <t>okay so it's giving Scandal a little bit</t>
        </is>
      </c>
      <c r="D5450">
        <f>HYPERLINK("https://www.youtube.com/watch?v=pegpswIDO04&amp;t=510s", "Go to time")</f>
        <v/>
      </c>
    </row>
    <row r="5451">
      <c r="A5451">
        <f>HYPERLINK("https://www.youtube.com/watch?v=pegpswIDO04", "Video")</f>
        <v/>
      </c>
      <c r="B5451" t="inlineStr">
        <is>
          <t>31:06</t>
        </is>
      </c>
      <c r="C5451" t="inlineStr">
        <is>
          <t>we really did hold it a bit but at this</t>
        </is>
      </c>
      <c r="D5451">
        <f>HYPERLINK("https://www.youtube.com/watch?v=pegpswIDO04&amp;t=1866s", "Go to time")</f>
        <v/>
      </c>
    </row>
    <row r="5452">
      <c r="A5452">
        <f>HYPERLINK("https://www.youtube.com/watch?v=wlsLJik8inQ", "Video")</f>
        <v/>
      </c>
      <c r="B5452" t="inlineStr">
        <is>
          <t>3:11</t>
        </is>
      </c>
      <c r="C5452" t="inlineStr">
        <is>
          <t>Houston's in here you get a little bit</t>
        </is>
      </c>
      <c r="D5452">
        <f>HYPERLINK("https://www.youtube.com/watch?v=wlsLJik8inQ&amp;t=191s", "Go to time")</f>
        <v/>
      </c>
    </row>
    <row r="5453">
      <c r="A5453">
        <f>HYPERLINK("https://www.youtube.com/watch?v=wlsLJik8inQ", "Video")</f>
        <v/>
      </c>
      <c r="B5453" t="inlineStr">
        <is>
          <t>9:30</t>
        </is>
      </c>
      <c r="C5453" t="inlineStr">
        <is>
          <t>little bit go just a little like just</t>
        </is>
      </c>
      <c r="D5453">
        <f>HYPERLINK("https://www.youtube.com/watch?v=wlsLJik8inQ&amp;t=570s", "Go to time")</f>
        <v/>
      </c>
    </row>
    <row r="5454">
      <c r="A5454">
        <f>HYPERLINK("https://www.youtube.com/watch?v=wlsLJik8inQ", "Video")</f>
        <v/>
      </c>
      <c r="B5454" t="inlineStr">
        <is>
          <t>15:48</t>
        </is>
      </c>
      <c r="C5454" t="inlineStr">
        <is>
          <t>gives a little bit more heart to an</t>
        </is>
      </c>
      <c r="D5454">
        <f>HYPERLINK("https://www.youtube.com/watch?v=wlsLJik8inQ&amp;t=948s", "Go to time")</f>
        <v/>
      </c>
    </row>
    <row r="5455">
      <c r="A5455">
        <f>HYPERLINK("https://www.youtube.com/watch?v=wlsLJik8inQ", "Video")</f>
        <v/>
      </c>
      <c r="B5455" t="inlineStr">
        <is>
          <t>17:55</t>
        </is>
      </c>
      <c r="C5455" t="inlineStr">
        <is>
          <t>that here but you see a little bit of it</t>
        </is>
      </c>
      <c r="D5455">
        <f>HYPERLINK("https://www.youtube.com/watch?v=wlsLJik8inQ&amp;t=1075s", "Go to time")</f>
        <v/>
      </c>
    </row>
    <row r="5456">
      <c r="A5456">
        <f>HYPERLINK("https://www.youtube.com/watch?v=wlsLJik8inQ", "Video")</f>
        <v/>
      </c>
      <c r="B5456" t="inlineStr">
        <is>
          <t>19:23</t>
        </is>
      </c>
      <c r="C5456" t="inlineStr">
        <is>
          <t>gonna put a little bit of homework so</t>
        </is>
      </c>
      <c r="D5456">
        <f>HYPERLINK("https://www.youtube.com/watch?v=wlsLJik8inQ&amp;t=1163s", "Go to time")</f>
        <v/>
      </c>
    </row>
    <row r="5457">
      <c r="A5457">
        <f>HYPERLINK("https://www.youtube.com/watch?v=wlsLJik8inQ", "Video")</f>
        <v/>
      </c>
      <c r="B5457" t="inlineStr">
        <is>
          <t>23:31</t>
        </is>
      </c>
      <c r="C5457" t="inlineStr">
        <is>
          <t>he's just chewing every bit of scenery</t>
        </is>
      </c>
      <c r="D5457">
        <f>HYPERLINK("https://www.youtube.com/watch?v=wlsLJik8inQ&amp;t=1411s", "Go to time")</f>
        <v/>
      </c>
    </row>
    <row r="5458">
      <c r="A5458">
        <f>HYPERLINK("https://www.youtube.com/watch?v=wlsLJik8inQ", "Video")</f>
        <v/>
      </c>
      <c r="B5458" t="inlineStr">
        <is>
          <t>30:22</t>
        </is>
      </c>
      <c r="C5458" t="inlineStr">
        <is>
          <t>of it that I think is a little bit</t>
        </is>
      </c>
      <c r="D5458">
        <f>HYPERLINK("https://www.youtube.com/watch?v=wlsLJik8inQ&amp;t=1822s", "Go to time")</f>
        <v/>
      </c>
    </row>
    <row r="5459">
      <c r="A5459">
        <f>HYPERLINK("https://www.youtube.com/watch?v=wlsLJik8inQ", "Video")</f>
        <v/>
      </c>
      <c r="B5459" t="inlineStr">
        <is>
          <t>33:46</t>
        </is>
      </c>
      <c r="C5459" t="inlineStr">
        <is>
          <t>little bit I think that there's less</t>
        </is>
      </c>
      <c r="D5459">
        <f>HYPERLINK("https://www.youtube.com/watch?v=wlsLJik8inQ&amp;t=2026s", "Go to time")</f>
        <v/>
      </c>
    </row>
    <row r="5460">
      <c r="A5460">
        <f>HYPERLINK("https://www.youtube.com/watch?v=wlsLJik8inQ", "Video")</f>
        <v/>
      </c>
      <c r="B5460" t="inlineStr">
        <is>
          <t>40:41</t>
        </is>
      </c>
      <c r="C5460" t="inlineStr">
        <is>
          <t>nacho cheese you can dip a little bit in</t>
        </is>
      </c>
      <c r="D5460">
        <f>HYPERLINK("https://www.youtube.com/watch?v=wlsLJik8inQ&amp;t=2441s", "Go to time")</f>
        <v/>
      </c>
    </row>
    <row r="5461">
      <c r="A5461">
        <f>HYPERLINK("https://www.youtube.com/watch?v=wlsLJik8inQ", "Video")</f>
        <v/>
      </c>
      <c r="B5461" t="inlineStr">
        <is>
          <t>40:48</t>
        </is>
      </c>
      <c r="C5461" t="inlineStr">
        <is>
          <t>little bit more accessories but you know</t>
        </is>
      </c>
      <c r="D5461">
        <f>HYPERLINK("https://www.youtube.com/watch?v=wlsLJik8inQ&amp;t=2448s", "Go to time")</f>
        <v/>
      </c>
    </row>
    <row r="5462">
      <c r="A5462">
        <f>HYPERLINK("https://www.youtube.com/watch?v=wlsLJik8inQ", "Video")</f>
        <v/>
      </c>
      <c r="B5462" t="inlineStr">
        <is>
          <t>41:44</t>
        </is>
      </c>
      <c r="C5462" t="inlineStr">
        <is>
          <t>shake it and then I take a little bit of</t>
        </is>
      </c>
      <c r="D5462">
        <f>HYPERLINK("https://www.youtube.com/watch?v=wlsLJik8inQ&amp;t=2504s", "Go to time")</f>
        <v/>
      </c>
    </row>
    <row r="5463">
      <c r="A5463">
        <f>HYPERLINK("https://www.youtube.com/watch?v=754bx0grfmU", "Video")</f>
        <v/>
      </c>
      <c r="B5463" t="inlineStr">
        <is>
          <t>1:22</t>
        </is>
      </c>
      <c r="C5463" t="inlineStr">
        <is>
          <t>this is exhibit q a tape recording made</t>
        </is>
      </c>
      <c r="D5463">
        <f>HYPERLINK("https://www.youtube.com/watch?v=754bx0grfmU&amp;t=82s", "Go to time")</f>
        <v/>
      </c>
    </row>
    <row r="5464">
      <c r="A5464">
        <f>HYPERLINK("https://www.youtube.com/watch?v=Il5WMLS-GWI", "Video")</f>
        <v/>
      </c>
      <c r="B5464" t="inlineStr">
        <is>
          <t>4:56</t>
        </is>
      </c>
      <c r="C5464" t="inlineStr">
        <is>
          <t>bit of retconning that would remain</t>
        </is>
      </c>
      <c r="D5464">
        <f>HYPERLINK("https://www.youtube.com/watch?v=Il5WMLS-GWI&amp;t=296s", "Go to time")</f>
        <v/>
      </c>
    </row>
    <row r="5465">
      <c r="A5465">
        <f>HYPERLINK("https://www.youtube.com/watch?v=Il5WMLS-GWI", "Video")</f>
        <v/>
      </c>
      <c r="B5465" t="inlineStr">
        <is>
          <t>28:13</t>
        </is>
      </c>
      <c r="C5465" t="inlineStr">
        <is>
          <t>year due to cobit 19. you and allison</t>
        </is>
      </c>
      <c r="D5465">
        <f>HYPERLINK("https://www.youtube.com/watch?v=Il5WMLS-GWI&amp;t=1693s", "Go to time")</f>
        <v/>
      </c>
    </row>
    <row r="5466">
      <c r="A5466">
        <f>HYPERLINK("https://www.youtube.com/watch?v=Il5WMLS-GWI", "Video")</f>
        <v/>
      </c>
      <c r="B5466" t="inlineStr">
        <is>
          <t>29:37</t>
        </is>
      </c>
      <c r="C5466" t="inlineStr">
        <is>
          <t>pick up the pace a little bit that dude</t>
        </is>
      </c>
      <c r="D5466">
        <f>HYPERLINK("https://www.youtube.com/watch?v=Il5WMLS-GWI&amp;t=1777s", "Go to time")</f>
        <v/>
      </c>
    </row>
    <row r="5467">
      <c r="A5467">
        <f>HYPERLINK("https://www.youtube.com/watch?v=s5wMbQwCldI", "Video")</f>
        <v/>
      </c>
      <c r="B5467" t="inlineStr">
        <is>
          <t>8:25</t>
        </is>
      </c>
      <c r="C5467" t="inlineStr">
        <is>
          <t>uh bitterness sort of Fades away for a</t>
        </is>
      </c>
      <c r="D5467">
        <f>HYPERLINK("https://www.youtube.com/watch?v=s5wMbQwCldI&amp;t=505s", "Go to time")</f>
        <v/>
      </c>
    </row>
    <row r="5468">
      <c r="A5468">
        <f>HYPERLINK("https://www.youtube.com/watch?v=s5wMbQwCldI", "Video")</f>
        <v/>
      </c>
      <c r="B5468" t="inlineStr">
        <is>
          <t>24:53</t>
        </is>
      </c>
      <c r="C5468" t="inlineStr">
        <is>
          <t>ambitious you know they were adapting uh</t>
        </is>
      </c>
      <c r="D5468">
        <f>HYPERLINK("https://www.youtube.com/watch?v=s5wMbQwCldI&amp;t=1493s", "Go to time")</f>
        <v/>
      </c>
    </row>
    <row r="5469">
      <c r="A5469">
        <f>HYPERLINK("https://www.youtube.com/watch?v=s5wMbQwCldI", "Video")</f>
        <v/>
      </c>
      <c r="B5469" t="inlineStr">
        <is>
          <t>25:35</t>
        </is>
      </c>
      <c r="C5469" t="inlineStr">
        <is>
          <t>ambitious uh Vision behind uh all of</t>
        </is>
      </c>
      <c r="D5469">
        <f>HYPERLINK("https://www.youtube.com/watch?v=s5wMbQwCldI&amp;t=1535s", "Go to time")</f>
        <v/>
      </c>
    </row>
    <row r="5470">
      <c r="A5470">
        <f>HYPERLINK("https://www.youtube.com/watch?v=9RkhGOrvZL0", "Video")</f>
        <v/>
      </c>
      <c r="B5470" t="inlineStr">
        <is>
          <t>0:34</t>
        </is>
      </c>
      <c r="C5470" t="inlineStr">
        <is>
          <t>works his way up the ranks bit by bit</t>
        </is>
      </c>
      <c r="D5470">
        <f>HYPERLINK("https://www.youtube.com/watch?v=9RkhGOrvZL0&amp;t=34s", "Go to time")</f>
        <v/>
      </c>
    </row>
    <row r="5471">
      <c r="A5471">
        <f>HYPERLINK("https://www.youtube.com/watch?v=gevwtKBKnNI", "Video")</f>
        <v/>
      </c>
      <c r="B5471" t="inlineStr">
        <is>
          <t>3:09</t>
        </is>
      </c>
      <c r="C5471" t="inlineStr">
        <is>
          <t>I think huie has a far more bitter</t>
        </is>
      </c>
      <c r="D5471">
        <f>HYPERLINK("https://www.youtube.com/watch?v=gevwtKBKnNI&amp;t=189s", "Go to time")</f>
        <v/>
      </c>
    </row>
    <row r="5472">
      <c r="A5472">
        <f>HYPERLINK("https://www.youtube.com/watch?v=UlTAPDBxLoY", "Video")</f>
        <v/>
      </c>
      <c r="B5472" t="inlineStr">
        <is>
          <t>21:27</t>
        </is>
      </c>
      <c r="C5472" t="inlineStr">
        <is>
          <t>her poor reading habits now listen to</t>
        </is>
      </c>
      <c r="D5472">
        <f>HYPERLINK("https://www.youtube.com/watch?v=UlTAPDBxLoY&amp;t=1287s", "Go to time")</f>
        <v/>
      </c>
    </row>
    <row r="5473">
      <c r="A5473">
        <f>HYPERLINK("https://www.youtube.com/watch?v=mgcyzbgIs9s", "Video")</f>
        <v/>
      </c>
      <c r="B5473" t="inlineStr">
        <is>
          <t>0:24</t>
        </is>
      </c>
      <c r="C5473" t="inlineStr">
        <is>
          <t>really do want to talk a bit about the</t>
        </is>
      </c>
      <c r="D5473">
        <f>HYPERLINK("https://www.youtube.com/watch?v=mgcyzbgIs9s&amp;t=24s", "Go to time")</f>
        <v/>
      </c>
    </row>
    <row r="5474">
      <c r="A5474">
        <f>HYPERLINK("https://www.youtube.com/watch?v=mgcyzbgIs9s", "Video")</f>
        <v/>
      </c>
      <c r="B5474" t="inlineStr">
        <is>
          <t>0:28</t>
        </is>
      </c>
      <c r="C5474" t="inlineStr">
        <is>
          <t>had a bit more time because of how Co</t>
        </is>
      </c>
      <c r="D5474">
        <f>HYPERLINK("https://www.youtube.com/watch?v=mgcyzbgIs9s&amp;t=28s", "Go to time")</f>
        <v/>
      </c>
    </row>
    <row r="5475">
      <c r="A5475">
        <f>HYPERLINK("https://www.youtube.com/watch?v=mgcyzbgIs9s", "Video")</f>
        <v/>
      </c>
      <c r="B5475" t="inlineStr">
        <is>
          <t>4:22</t>
        </is>
      </c>
      <c r="C5475" t="inlineStr">
        <is>
          <t>bargain yeah he's doing his bit you have</t>
        </is>
      </c>
      <c r="D5475">
        <f>HYPERLINK("https://www.youtube.com/watch?v=mgcyzbgIs9s&amp;t=262s", "Go to time")</f>
        <v/>
      </c>
    </row>
    <row r="5476">
      <c r="A5476">
        <f>HYPERLINK("https://www.youtube.com/watch?v=mgcyzbgIs9s", "Video")</f>
        <v/>
      </c>
      <c r="B5476" t="inlineStr">
        <is>
          <t>22:49</t>
        </is>
      </c>
      <c r="C5476" t="inlineStr">
        <is>
          <t>a bit</t>
        </is>
      </c>
      <c r="D5476">
        <f>HYPERLINK("https://www.youtube.com/watch?v=mgcyzbgIs9s&amp;t=1369s", "Go to time")</f>
        <v/>
      </c>
    </row>
    <row r="5477">
      <c r="A5477">
        <f>HYPERLINK("https://www.youtube.com/watch?v=mgcyzbgIs9s", "Video")</f>
        <v/>
      </c>
      <c r="B5477" t="inlineStr">
        <is>
          <t>22:51</t>
        </is>
      </c>
      <c r="C5477" t="inlineStr">
        <is>
          <t>more a little bit more sarcastic humor</t>
        </is>
      </c>
      <c r="D5477">
        <f>HYPERLINK("https://www.youtube.com/watch?v=mgcyzbgIs9s&amp;t=1371s", "Go to time")</f>
        <v/>
      </c>
    </row>
    <row r="5478">
      <c r="A5478">
        <f>HYPERLINK("https://www.youtube.com/watch?v=mgcyzbgIs9s", "Video")</f>
        <v/>
      </c>
      <c r="B5478" t="inlineStr">
        <is>
          <t>23:47</t>
        </is>
      </c>
      <c r="C5478" t="inlineStr">
        <is>
          <t>with LA a bit but</t>
        </is>
      </c>
      <c r="D5478">
        <f>HYPERLINK("https://www.youtube.com/watch?v=mgcyzbgIs9s&amp;t=1427s", "Go to time")</f>
        <v/>
      </c>
    </row>
    <row r="5479">
      <c r="A5479">
        <f>HYPERLINK("https://www.youtube.com/watch?v=mgcyzbgIs9s", "Video")</f>
        <v/>
      </c>
      <c r="B5479" t="inlineStr">
        <is>
          <t>25:09</t>
        </is>
      </c>
      <c r="C5479" t="inlineStr">
        <is>
          <t>have this quite a bit where super fans</t>
        </is>
      </c>
      <c r="D5479">
        <f>HYPERLINK("https://www.youtube.com/watch?v=mgcyzbgIs9s&amp;t=1509s", "Go to time")</f>
        <v/>
      </c>
    </row>
    <row r="5480">
      <c r="A5480">
        <f>HYPERLINK("https://www.youtube.com/watch?v=XUB1vExF61o", "Video")</f>
        <v/>
      </c>
      <c r="B5480" t="inlineStr">
        <is>
          <t>1:57</t>
        </is>
      </c>
      <c r="C5480" t="inlineStr">
        <is>
          <t>bit about um your first conversations</t>
        </is>
      </c>
      <c r="D5480">
        <f>HYPERLINK("https://www.youtube.com/watch?v=XUB1vExF61o&amp;t=117s", "Go to time")</f>
        <v/>
      </c>
    </row>
    <row r="5481">
      <c r="A5481">
        <f>HYPERLINK("https://www.youtube.com/watch?v=XUB1vExF61o", "Video")</f>
        <v/>
      </c>
      <c r="B5481" t="inlineStr">
        <is>
          <t>7:30</t>
        </is>
      </c>
      <c r="C5481" t="inlineStr">
        <is>
          <t>met fed into it a bit but I I'd say safe</t>
        </is>
      </c>
      <c r="D5481">
        <f>HYPERLINK("https://www.youtube.com/watch?v=XUB1vExF61o&amp;t=450s", "Go to time")</f>
        <v/>
      </c>
    </row>
    <row r="5482">
      <c r="A5482">
        <f>HYPERLINK("https://www.youtube.com/watch?v=XUB1vExF61o", "Video")</f>
        <v/>
      </c>
      <c r="B5482" t="inlineStr">
        <is>
          <t>8:22</t>
        </is>
      </c>
      <c r="C5482" t="inlineStr">
        <is>
          <t>bit of that racist stuff they showed him</t>
        </is>
      </c>
      <c r="D5482">
        <f>HYPERLINK("https://www.youtube.com/watch?v=XUB1vExF61o&amp;t=502s", "Go to time")</f>
        <v/>
      </c>
    </row>
    <row r="5483">
      <c r="A5483">
        <f>HYPERLINK("https://www.youtube.com/watch?v=XUB1vExF61o", "Video")</f>
        <v/>
      </c>
      <c r="B5483" t="inlineStr">
        <is>
          <t>8:24</t>
        </is>
      </c>
      <c r="C5483" t="inlineStr">
        <is>
          <t>a bit of the crime they they teased it a</t>
        </is>
      </c>
      <c r="D5483">
        <f>HYPERLINK("https://www.youtube.com/watch?v=XUB1vExF61o&amp;t=504s", "Go to time")</f>
        <v/>
      </c>
    </row>
    <row r="5484">
      <c r="A5484">
        <f>HYPERLINK("https://www.youtube.com/watch?v=XUB1vExF61o", "Video")</f>
        <v/>
      </c>
      <c r="B5484" t="inlineStr">
        <is>
          <t>8:26</t>
        </is>
      </c>
      <c r="C5484" t="inlineStr">
        <is>
          <t>bit you know uh there's that scene where</t>
        </is>
      </c>
      <c r="D5484">
        <f>HYPERLINK("https://www.youtube.com/watch?v=XUB1vExF61o&amp;t=506s", "Go to time")</f>
        <v/>
      </c>
    </row>
    <row r="5485">
      <c r="A5485">
        <f>HYPERLINK("https://www.youtube.com/watch?v=XUB1vExF61o", "Video")</f>
        <v/>
      </c>
      <c r="B5485" t="inlineStr">
        <is>
          <t>9:10</t>
        </is>
      </c>
      <c r="C5485" t="inlineStr">
        <is>
          <t>talked a little bit about the technical</t>
        </is>
      </c>
      <c r="D5485">
        <f>HYPERLINK("https://www.youtube.com/watch?v=XUB1vExF61o&amp;t=550s", "Go to time")</f>
        <v/>
      </c>
    </row>
    <row r="5486">
      <c r="A5486">
        <f>HYPERLINK("https://www.youtube.com/watch?v=XUB1vExF61o", "Video")</f>
        <v/>
      </c>
      <c r="B5486" t="inlineStr">
        <is>
          <t>11:42</t>
        </is>
      </c>
      <c r="C5486" t="inlineStr">
        <is>
          <t>a little bit they were all really tough</t>
        </is>
      </c>
      <c r="D5486">
        <f>HYPERLINK("https://www.youtube.com/watch?v=XUB1vExF61o&amp;t=702s", "Go to time")</f>
        <v/>
      </c>
    </row>
    <row r="5487">
      <c r="A5487">
        <f>HYPERLINK("https://www.youtube.com/watch?v=XUB1vExF61o", "Video")</f>
        <v/>
      </c>
      <c r="B5487" t="inlineStr">
        <is>
          <t>24:19</t>
        </is>
      </c>
      <c r="C5487" t="inlineStr">
        <is>
          <t>little bit about joining the spiderverse</t>
        </is>
      </c>
      <c r="D5487">
        <f>HYPERLINK("https://www.youtube.com/watch?v=XUB1vExF61o&amp;t=1459s", "Go to time")</f>
        <v/>
      </c>
    </row>
    <row r="5488">
      <c r="A5488">
        <f>HYPERLINK("https://www.youtube.com/watch?v=XUB1vExF61o", "Video")</f>
        <v/>
      </c>
      <c r="B5488" t="inlineStr">
        <is>
          <t>28:28</t>
        </is>
      </c>
      <c r="C5488" t="inlineStr">
        <is>
          <t>me to take it to New York a little bit</t>
        </is>
      </c>
      <c r="D5488">
        <f>HYPERLINK("https://www.youtube.com/watch?v=XUB1vExF61o&amp;t=1708s", "Go to time")</f>
        <v/>
      </c>
    </row>
    <row r="5489">
      <c r="A5489">
        <f>HYPERLINK("https://www.youtube.com/watch?v=XUB1vExF61o", "Video")</f>
        <v/>
      </c>
      <c r="B5489" t="inlineStr">
        <is>
          <t>29:37</t>
        </is>
      </c>
      <c r="C5489" t="inlineStr">
        <is>
          <t>little Darkness a little bit when are</t>
        </is>
      </c>
      <c r="D5489">
        <f>HYPERLINK("https://www.youtube.com/watch?v=XUB1vExF61o&amp;t=1777s", "Go to time")</f>
        <v/>
      </c>
    </row>
    <row r="5490">
      <c r="A5490">
        <f>HYPERLINK("https://www.youtube.com/watch?v=XUB1vExF61o", "Video")</f>
        <v/>
      </c>
      <c r="B5490" t="inlineStr">
        <is>
          <t>29:51</t>
        </is>
      </c>
      <c r="C5490" t="inlineStr">
        <is>
          <t>a little bit you know it's still sad</t>
        </is>
      </c>
      <c r="D5490">
        <f>HYPERLINK("https://www.youtube.com/watch?v=XUB1vExF61o&amp;t=1791s", "Go to time")</f>
        <v/>
      </c>
    </row>
    <row r="5491">
      <c r="A5491">
        <f>HYPERLINK("https://www.youtube.com/watch?v=QBaedJZcvSc", "Video")</f>
        <v/>
      </c>
      <c r="B5491" t="inlineStr">
        <is>
          <t>0:50</t>
        </is>
      </c>
      <c r="C5491" t="inlineStr">
        <is>
          <t>i need to mend my white rabbit's</t>
        </is>
      </c>
      <c r="D5491">
        <f>HYPERLINK("https://www.youtube.com/watch?v=QBaedJZcvSc&amp;t=50s", "Go to time")</f>
        <v/>
      </c>
    </row>
    <row r="5492">
      <c r="A5492">
        <f>HYPERLINK("https://www.youtube.com/watch?v=EdcTUWZF96A", "Video")</f>
        <v/>
      </c>
      <c r="B5492" t="inlineStr">
        <is>
          <t>1:23</t>
        </is>
      </c>
      <c r="C5492" t="inlineStr">
        <is>
          <t>to tighten that up a bit there</t>
        </is>
      </c>
      <c r="D5492">
        <f>HYPERLINK("https://www.youtube.com/watch?v=EdcTUWZF96A&amp;t=83s", "Go to time")</f>
        <v/>
      </c>
    </row>
    <row r="5493">
      <c r="A5493">
        <f>HYPERLINK("https://www.youtube.com/watch?v=E9jC6vDX8H8", "Video")</f>
        <v/>
      </c>
      <c r="B5493" t="inlineStr">
        <is>
          <t>6:01</t>
        </is>
      </c>
      <c r="C5493" t="inlineStr">
        <is>
          <t>study a little bit I don't want to study</t>
        </is>
      </c>
      <c r="D5493">
        <f>HYPERLINK("https://www.youtube.com/watch?v=E9jC6vDX8H8&amp;t=361s", "Go to time")</f>
        <v/>
      </c>
    </row>
    <row r="5494">
      <c r="A5494">
        <f>HYPERLINK("https://www.youtube.com/watch?v=E9jC6vDX8H8", "Video")</f>
        <v/>
      </c>
      <c r="B5494" t="inlineStr">
        <is>
          <t>6:28</t>
        </is>
      </c>
      <c r="C5494" t="inlineStr">
        <is>
          <t>hang out here a little bit I got to go</t>
        </is>
      </c>
      <c r="D5494">
        <f>HYPERLINK("https://www.youtube.com/watch?v=E9jC6vDX8H8&amp;t=388s", "Go to time")</f>
        <v/>
      </c>
    </row>
    <row r="5495">
      <c r="A5495">
        <f>HYPERLINK("https://www.youtube.com/watch?v=DBAiGIObUqQ", "Video")</f>
        <v/>
      </c>
      <c r="B5495" t="inlineStr">
        <is>
          <t>0:55</t>
        </is>
      </c>
      <c r="C5495" t="inlineStr">
        <is>
          <t>they may need a bit of convincing</t>
        </is>
      </c>
      <c r="D5495">
        <f>HYPERLINK("https://www.youtube.com/watch?v=DBAiGIObUqQ&amp;t=55s", "Go to time")</f>
        <v/>
      </c>
    </row>
    <row r="5496">
      <c r="A5496">
        <f>HYPERLINK("https://www.youtube.com/watch?v=RWlOL7KM_qA", "Video")</f>
        <v/>
      </c>
      <c r="B5496" t="inlineStr">
        <is>
          <t>4:57</t>
        </is>
      </c>
      <c r="C5496" t="inlineStr">
        <is>
          <t>a little bit higher right the first one</t>
        </is>
      </c>
      <c r="D5496">
        <f>HYPERLINK("https://www.youtube.com/watch?v=RWlOL7KM_qA&amp;t=297s", "Go to time")</f>
        <v/>
      </c>
    </row>
    <row r="5497">
      <c r="A5497">
        <f>HYPERLINK("https://www.youtube.com/watch?v=RWlOL7KM_qA", "Video")</f>
        <v/>
      </c>
      <c r="B5497" t="inlineStr">
        <is>
          <t>7:32</t>
        </is>
      </c>
      <c r="C5497" t="inlineStr">
        <is>
          <t>a bit with one complaint not enough ego</t>
        </is>
      </c>
      <c r="D5497">
        <f>HYPERLINK("https://www.youtube.com/watch?v=RWlOL7KM_qA&amp;t=452s", "Go to time")</f>
        <v/>
      </c>
    </row>
    <row r="5498">
      <c r="A5498">
        <f>HYPERLINK("https://www.youtube.com/watch?v=RWlOL7KM_qA", "Video")</f>
        <v/>
      </c>
      <c r="B5498" t="inlineStr">
        <is>
          <t>13:52</t>
        </is>
      </c>
      <c r="C5498" t="inlineStr">
        <is>
          <t>get a little bit more backstory on him</t>
        </is>
      </c>
      <c r="D5498">
        <f>HYPERLINK("https://www.youtube.com/watch?v=RWlOL7KM_qA&amp;t=832s", "Go to time")</f>
        <v/>
      </c>
    </row>
    <row r="5499">
      <c r="A5499">
        <f>HYPERLINK("https://www.youtube.com/watch?v=RWlOL7KM_qA", "Video")</f>
        <v/>
      </c>
      <c r="B5499" t="inlineStr">
        <is>
          <t>24:59</t>
        </is>
      </c>
      <c r="C5499" t="inlineStr">
        <is>
          <t>him sweet rabbit and infinity</t>
        </is>
      </c>
      <c r="D5499">
        <f>HYPERLINK("https://www.youtube.com/watch?v=RWlOL7KM_qA&amp;t=1499s", "Go to time")</f>
        <v/>
      </c>
    </row>
    <row r="5500">
      <c r="A5500">
        <f>HYPERLINK("https://www.youtube.com/watch?v=RWlOL7KM_qA", "Video")</f>
        <v/>
      </c>
      <c r="B5500" t="inlineStr">
        <is>
          <t>25:33</t>
        </is>
      </c>
      <c r="C5500" t="inlineStr">
        <is>
          <t>little bit my God wouldn't we all love</t>
        </is>
      </c>
      <c r="D5500">
        <f>HYPERLINK("https://www.youtube.com/watch?v=RWlOL7KM_qA&amp;t=1533s", "Go to time")</f>
        <v/>
      </c>
    </row>
    <row r="5501">
      <c r="A5501">
        <f>HYPERLINK("https://www.youtube.com/watch?v=RWlOL7KM_qA", "Video")</f>
        <v/>
      </c>
      <c r="B5501" t="inlineStr">
        <is>
          <t>26:45</t>
        </is>
      </c>
      <c r="C5501" t="inlineStr">
        <is>
          <t>this of of the rabbits because they</t>
        </is>
      </c>
      <c r="D5501">
        <f>HYPERLINK("https://www.youtube.com/watch?v=RWlOL7KM_qA&amp;t=1605s", "Go to time")</f>
        <v/>
      </c>
    </row>
    <row r="5502">
      <c r="A5502">
        <f>HYPERLINK("https://www.youtube.com/watch?v=RWlOL7KM_qA", "Video")</f>
        <v/>
      </c>
      <c r="B5502" t="inlineStr">
        <is>
          <t>31:53</t>
        </is>
      </c>
      <c r="C5502" t="inlineStr">
        <is>
          <t>still a little bit of that Celestial</t>
        </is>
      </c>
      <c r="D5502">
        <f>HYPERLINK("https://www.youtube.com/watch?v=RWlOL7KM_qA&amp;t=1913s", "Go to time")</f>
        <v/>
      </c>
    </row>
    <row r="5503">
      <c r="A5503">
        <f>HYPERLINK("https://www.youtube.com/watch?v=RWlOL7KM_qA", "Video")</f>
        <v/>
      </c>
      <c r="B5503" t="inlineStr">
        <is>
          <t>38:05</t>
        </is>
      </c>
      <c r="C5503" t="inlineStr">
        <is>
          <t>holding the wink the wink bit was hello</t>
        </is>
      </c>
      <c r="D5503">
        <f>HYPERLINK("https://www.youtube.com/watch?v=RWlOL7KM_qA&amp;t=2285s", "Go to time")</f>
        <v/>
      </c>
    </row>
    <row r="5504">
      <c r="A5504">
        <f>HYPERLINK("https://www.youtube.com/watch?v=RWlOL7KM_qA", "Video")</f>
        <v/>
      </c>
      <c r="B5504" t="inlineStr">
        <is>
          <t>41:29</t>
        </is>
      </c>
      <c r="C5504" t="inlineStr">
        <is>
          <t>bit of a trivia question because darina</t>
        </is>
      </c>
      <c r="D5504">
        <f>HYPERLINK("https://www.youtube.com/watch?v=RWlOL7KM_qA&amp;t=2489s", "Go to time")</f>
        <v/>
      </c>
    </row>
    <row r="5505">
      <c r="A5505">
        <f>HYPERLINK("https://www.youtube.com/watch?v=td1I2QMBRXE", "Video")</f>
        <v/>
      </c>
      <c r="B5505" t="inlineStr">
        <is>
          <t>2:59</t>
        </is>
      </c>
      <c r="C5505" t="inlineStr">
        <is>
          <t>and I show you how deep the rabbit hole</t>
        </is>
      </c>
      <c r="D5505">
        <f>HYPERLINK("https://www.youtube.com/watch?v=td1I2QMBRXE&amp;t=179s", "Go to time")</f>
        <v/>
      </c>
    </row>
    <row r="5506">
      <c r="A5506">
        <f>HYPERLINK("https://www.youtube.com/watch?v=o5oYKiN4JVY", "Video")</f>
        <v/>
      </c>
      <c r="B5506" t="inlineStr">
        <is>
          <t>0:59</t>
        </is>
      </c>
      <c r="C5506" t="inlineStr">
        <is>
          <t>that's a bit aggressive for our first</t>
        </is>
      </c>
      <c r="D5506">
        <f>HYPERLINK("https://www.youtube.com/watch?v=o5oYKiN4JVY&amp;t=59s", "Go to time")</f>
        <v/>
      </c>
    </row>
    <row r="5507">
      <c r="A5507">
        <f>HYPERLINK("https://www.youtube.com/watch?v=ggrxuMVCgVw", "Video")</f>
        <v/>
      </c>
      <c r="B5507" t="inlineStr">
        <is>
          <t>0:13</t>
        </is>
      </c>
      <c r="C5507" t="inlineStr">
        <is>
          <t>looking around old habits I know this is</t>
        </is>
      </c>
      <c r="D5507">
        <f>HYPERLINK("https://www.youtube.com/watch?v=ggrxuMVCgVw&amp;t=13s", "Go to time")</f>
        <v/>
      </c>
    </row>
    <row r="5508">
      <c r="A5508">
        <f>HYPERLINK("https://www.youtube.com/watch?v=ggrxuMVCgVw", "Video")</f>
        <v/>
      </c>
      <c r="B5508" t="inlineStr">
        <is>
          <t>1:10</t>
        </is>
      </c>
      <c r="C5508" t="inlineStr">
        <is>
          <t>life in your life isn't that a bit much</t>
        </is>
      </c>
      <c r="D5508">
        <f>HYPERLINK("https://www.youtube.com/watch?v=ggrxuMVCgVw&amp;t=70s", "Go to time")</f>
        <v/>
      </c>
    </row>
    <row r="5509">
      <c r="A5509">
        <f>HYPERLINK("https://www.youtube.com/watch?v=YSKLbO6Rupw", "Video")</f>
        <v/>
      </c>
      <c r="B5509" t="inlineStr">
        <is>
          <t>0:06</t>
        </is>
      </c>
      <c r="C5509" t="inlineStr">
        <is>
          <t>but it is every bit is</t>
        </is>
      </c>
      <c r="D5509">
        <f>HYPERLINK("https://www.youtube.com/watch?v=YSKLbO6Rupw&amp;t=6s", "Go to time")</f>
        <v/>
      </c>
    </row>
    <row r="5510">
      <c r="A5510">
        <f>HYPERLINK("https://www.youtube.com/watch?v=jIzQOTVCMyk", "Video")</f>
        <v/>
      </c>
      <c r="B5510" t="inlineStr">
        <is>
          <t>7:23</t>
        </is>
      </c>
      <c r="C5510" t="inlineStr">
        <is>
          <t>remained a bit of an obscurity until</t>
        </is>
      </c>
      <c r="D5510">
        <f>HYPERLINK("https://www.youtube.com/watch?v=jIzQOTVCMyk&amp;t=443s", "Go to time")</f>
        <v/>
      </c>
    </row>
    <row r="5511">
      <c r="A5511">
        <f>HYPERLINK("https://www.youtube.com/watch?v=jIzQOTVCMyk", "Video")</f>
        <v/>
      </c>
      <c r="B5511" t="inlineStr">
        <is>
          <t>9:33</t>
        </is>
      </c>
      <c r="C5511" t="inlineStr">
        <is>
          <t>Who Framed Roger Rabbit</t>
        </is>
      </c>
      <c r="D5511">
        <f>HYPERLINK("https://www.youtube.com/watch?v=jIzQOTVCMyk&amp;t=573s", "Go to time")</f>
        <v/>
      </c>
    </row>
    <row r="5512">
      <c r="A5512">
        <f>HYPERLINK("https://www.youtube.com/watch?v=jIzQOTVCMyk", "Video")</f>
        <v/>
      </c>
      <c r="B5512" t="inlineStr">
        <is>
          <t>10:01</t>
        </is>
      </c>
      <c r="C5512" t="inlineStr">
        <is>
          <t>Rabbit this live-action animation hybrid</t>
        </is>
      </c>
      <c r="D5512">
        <f>HYPERLINK("https://www.youtube.com/watch?v=jIzQOTVCMyk&amp;t=601s", "Go to time")</f>
        <v/>
      </c>
    </row>
    <row r="5513">
      <c r="A5513">
        <f>HYPERLINK("https://www.youtube.com/watch?v=jIzQOTVCMyk", "Video")</f>
        <v/>
      </c>
      <c r="B5513" t="inlineStr">
        <is>
          <t>10:08</t>
        </is>
      </c>
      <c r="C5513" t="inlineStr">
        <is>
          <t>novel who censored Roger Rabbit the film</t>
        </is>
      </c>
      <c r="D5513">
        <f>HYPERLINK("https://www.youtube.com/watch?v=jIzQOTVCMyk&amp;t=608s", "Go to time")</f>
        <v/>
      </c>
    </row>
    <row r="5514">
      <c r="A5514">
        <f>HYPERLINK("https://www.youtube.com/watch?v=jIzQOTVCMyk", "Video")</f>
        <v/>
      </c>
      <c r="B5514" t="inlineStr">
        <is>
          <t>10:20</t>
        </is>
      </c>
      <c r="C5514" t="inlineStr">
        <is>
          <t>tries to help exonerate Roger Rabbit a</t>
        </is>
      </c>
      <c r="D5514">
        <f>HYPERLINK("https://www.youtube.com/watch?v=jIzQOTVCMyk&amp;t=620s", "Go to time")</f>
        <v/>
      </c>
    </row>
    <row r="5515">
      <c r="A5515">
        <f>HYPERLINK("https://www.youtube.com/watch?v=jIzQOTVCMyk", "Video")</f>
        <v/>
      </c>
      <c r="B5515" t="inlineStr">
        <is>
          <t>11:11</t>
        </is>
      </c>
      <c r="C5515" t="inlineStr">
        <is>
          <t>Rabbit has been credited for bringing a</t>
        </is>
      </c>
      <c r="D5515">
        <f>HYPERLINK("https://www.youtube.com/watch?v=jIzQOTVCMyk&amp;t=671s", "Go to time")</f>
        <v/>
      </c>
    </row>
    <row r="5516">
      <c r="A5516">
        <f>HYPERLINK("https://www.youtube.com/watch?v=jIzQOTVCMyk", "Video")</f>
        <v/>
      </c>
      <c r="B5516" t="inlineStr">
        <is>
          <t>11:14</t>
        </is>
      </c>
      <c r="C5516" t="inlineStr">
        <is>
          <t>animation and even spearheading a bit of</t>
        </is>
      </c>
      <c r="D5516">
        <f>HYPERLINK("https://www.youtube.com/watch?v=jIzQOTVCMyk&amp;t=674s", "Go to time")</f>
        <v/>
      </c>
    </row>
    <row r="5517">
      <c r="A5517">
        <f>HYPERLINK("https://www.youtube.com/watch?v=sAQHr-pnrQo", "Video")</f>
        <v/>
      </c>
      <c r="B5517" t="inlineStr">
        <is>
          <t>18:06</t>
        </is>
      </c>
      <c r="C5517" t="inlineStr">
        <is>
          <t>just a little bit someone's always</t>
        </is>
      </c>
      <c r="D5517">
        <f>HYPERLINK("https://www.youtube.com/watch?v=sAQHr-pnrQo&amp;t=1086s", "Go to time")</f>
        <v/>
      </c>
    </row>
    <row r="5518">
      <c r="A5518">
        <f>HYPERLINK("https://www.youtube.com/watch?v=XHuZ63p6zw0", "Video")</f>
        <v/>
      </c>
      <c r="B5518" t="inlineStr">
        <is>
          <t>5:28</t>
        </is>
      </c>
      <c r="C5518" t="inlineStr">
        <is>
          <t>sequence was too ambitious and opted for</t>
        </is>
      </c>
      <c r="D5518">
        <f>HYPERLINK("https://www.youtube.com/watch?v=XHuZ63p6zw0&amp;t=328s", "Go to time")</f>
        <v/>
      </c>
    </row>
    <row r="5519">
      <c r="A5519">
        <f>HYPERLINK("https://www.youtube.com/watch?v=XHuZ63p6zw0", "Video")</f>
        <v/>
      </c>
      <c r="B5519" t="inlineStr">
        <is>
          <t>11:07</t>
        </is>
      </c>
      <c r="C5519" t="inlineStr">
        <is>
          <t>ambitious to achieve naturally take this</t>
        </is>
      </c>
      <c r="D5519">
        <f>HYPERLINK("https://www.youtube.com/watch?v=XHuZ63p6zw0&amp;t=667s", "Go to time")</f>
        <v/>
      </c>
    </row>
    <row r="5520">
      <c r="A5520">
        <f>HYPERLINK("https://www.youtube.com/watch?v=8vV4A7GQ6d0", "Video")</f>
        <v/>
      </c>
      <c r="B5520" t="inlineStr">
        <is>
          <t>1:59</t>
        </is>
      </c>
      <c r="C5520" t="inlineStr">
        <is>
          <t>drug deal or just cuz I'm a wee bit</t>
        </is>
      </c>
      <c r="D5520">
        <f>HYPERLINK("https://www.youtube.com/watch?v=8vV4A7GQ6d0&amp;t=119s", "Go to time")</f>
        <v/>
      </c>
    </row>
    <row r="5521">
      <c r="A5521">
        <f>HYPERLINK("https://www.youtube.com/watch?v=8vV4A7GQ6d0", "Video")</f>
        <v/>
      </c>
      <c r="B5521" t="inlineStr">
        <is>
          <t>2:11</t>
        </is>
      </c>
      <c r="C5521" t="inlineStr">
        <is>
          <t>exchange suited from Kazakhstan B bit</t>
        </is>
      </c>
      <c r="D5521">
        <f>HYPERLINK("https://www.youtube.com/watch?v=8vV4A7GQ6d0&amp;t=131s", "Go to time")</f>
        <v/>
      </c>
    </row>
    <row r="5522">
      <c r="A5522">
        <f>HYPERLINK("https://www.youtube.com/watch?v=erNa6r9dKZM", "Video")</f>
        <v/>
      </c>
      <c r="B5522" t="inlineStr">
        <is>
          <t>0:13</t>
        </is>
      </c>
      <c r="C5522" t="inlineStr">
        <is>
          <t>since we're cohabitating now it's my</t>
        </is>
      </c>
      <c r="D5522">
        <f>HYPERLINK("https://www.youtube.com/watch?v=erNa6r9dKZM&amp;t=13s", "Go to time")</f>
        <v/>
      </c>
    </row>
    <row r="5523">
      <c r="A5523">
        <f>HYPERLINK("https://www.youtube.com/watch?v=EO38sB7NuOw", "Video")</f>
        <v/>
      </c>
      <c r="B5523" t="inlineStr">
        <is>
          <t>0:29</t>
        </is>
      </c>
      <c r="C5523" t="inlineStr">
        <is>
          <t>bitten by him more created by Him will</t>
        </is>
      </c>
      <c r="D5523">
        <f>HYPERLINK("https://www.youtube.com/watch?v=EO38sB7NuOw&amp;t=29s", "Go to time")</f>
        <v/>
      </c>
    </row>
    <row r="5524">
      <c r="A5524">
        <f>HYPERLINK("https://www.youtube.com/watch?v=EO38sB7NuOw", "Video")</f>
        <v/>
      </c>
      <c r="B5524" t="inlineStr">
        <is>
          <t>4:36</t>
        </is>
      </c>
      <c r="C5524" t="inlineStr">
        <is>
          <t>comes I won't first bite</t>
        </is>
      </c>
      <c r="D5524">
        <f>HYPERLINK("https://www.youtube.com/watch?v=EO38sB7NuOw&amp;t=276s", "Go to time")</f>
        <v/>
      </c>
    </row>
    <row r="5525">
      <c r="A5525">
        <f>HYPERLINK("https://www.youtube.com/watch?v=KNbSJnLbgU0", "Video")</f>
        <v/>
      </c>
      <c r="B5525" t="inlineStr">
        <is>
          <t>0:11</t>
        </is>
      </c>
      <c r="C5525" t="inlineStr">
        <is>
          <t>gross assets my free debit flow my value</t>
        </is>
      </c>
      <c r="D5525">
        <f>HYPERLINK("https://www.youtube.com/watch?v=KNbSJnLbgU0&amp;t=11s", "Go to time")</f>
        <v/>
      </c>
    </row>
    <row r="5526">
      <c r="A5526">
        <f>HYPERLINK("https://www.youtube.com/watch?v=5VR6t7No0WQ", "Video")</f>
        <v/>
      </c>
      <c r="B5526" t="inlineStr">
        <is>
          <t>2:53</t>
        </is>
      </c>
      <c r="C5526" t="inlineStr">
        <is>
          <t>then I would like to bite that</t>
        </is>
      </c>
      <c r="D5526">
        <f>HYPERLINK("https://www.youtube.com/watch?v=5VR6t7No0WQ&amp;t=173s", "Go to time")</f>
        <v/>
      </c>
    </row>
    <row r="5527">
      <c r="A5527">
        <f>HYPERLINK("https://www.youtube.com/watch?v=kv6zZmJQVpo", "Video")</f>
        <v/>
      </c>
      <c r="B5527" t="inlineStr">
        <is>
          <t>2:06</t>
        </is>
      </c>
      <c r="C5527" t="inlineStr">
        <is>
          <t>a little bit much for me beet Beetle</t>
        </is>
      </c>
      <c r="D5527">
        <f>HYPERLINK("https://www.youtube.com/watch?v=kv6zZmJQVpo&amp;t=126s", "Go to time")</f>
        <v/>
      </c>
    </row>
    <row r="5528">
      <c r="A5528">
        <f>HYPERLINK("https://www.youtube.com/watch?v=zhKk_MkIwJg", "Video")</f>
        <v/>
      </c>
      <c r="B5528" t="inlineStr">
        <is>
          <t>0:04</t>
        </is>
      </c>
      <c r="C5528" t="inlineStr">
        <is>
          <t>I'm I'm I'm like I'm bittersweetly happy</t>
        </is>
      </c>
      <c r="D5528">
        <f>HYPERLINK("https://www.youtube.com/watch?v=zhKk_MkIwJg&amp;t=4s", "Go to time")</f>
        <v/>
      </c>
    </row>
    <row r="5529">
      <c r="A5529">
        <f>HYPERLINK("https://www.youtube.com/watch?v=lpdIzawWjAs", "Video")</f>
        <v/>
      </c>
      <c r="B5529" t="inlineStr">
        <is>
          <t>0:01</t>
        </is>
      </c>
      <c r="C5529" t="inlineStr">
        <is>
          <t>george for a little bit</t>
        </is>
      </c>
      <c r="D5529">
        <f>HYPERLINK("https://www.youtube.com/watch?v=lpdIzawWjAs&amp;t=1s", "Go to time")</f>
        <v/>
      </c>
    </row>
    <row r="5530">
      <c r="A5530">
        <f>HYPERLINK("https://www.youtube.com/watch?v=gQuY1ab-40s", "Video")</f>
        <v/>
      </c>
      <c r="B5530" t="inlineStr">
        <is>
          <t>3:30</t>
        </is>
      </c>
      <c r="C5530" t="inlineStr">
        <is>
          <t>bit of a vacuum</t>
        </is>
      </c>
      <c r="D5530">
        <f>HYPERLINK("https://www.youtube.com/watch?v=gQuY1ab-40s&amp;t=210s", "Go to time")</f>
        <v/>
      </c>
    </row>
    <row r="5531">
      <c r="A5531">
        <f>HYPERLINK("https://www.youtube.com/watch?v=u-AjsmBMVMk", "Video")</f>
        <v/>
      </c>
      <c r="B5531" t="inlineStr">
        <is>
          <t>0:23</t>
        </is>
      </c>
      <c r="C5531" t="inlineStr">
        <is>
          <t>doing a little bit of everything now</t>
        </is>
      </c>
      <c r="D5531">
        <f>HYPERLINK("https://www.youtube.com/watch?v=u-AjsmBMVMk&amp;t=23s", "Go to time")</f>
        <v/>
      </c>
    </row>
    <row r="5532">
      <c r="A5532">
        <f>HYPERLINK("https://www.youtube.com/watch?v=Bpaplbywsj4", "Video")</f>
        <v/>
      </c>
      <c r="B5532" t="inlineStr">
        <is>
          <t>0:30</t>
        </is>
      </c>
      <c r="C5532" t="inlineStr">
        <is>
          <t>a bitty box a tinker toy a living</t>
        </is>
      </c>
      <c r="D5532">
        <f>HYPERLINK("https://www.youtube.com/watch?v=Bpaplbywsj4&amp;t=30s", "Go to time")</f>
        <v/>
      </c>
    </row>
    <row r="5533">
      <c r="A5533">
        <f>HYPERLINK("https://www.youtube.com/watch?v=INxwpKQU-u8", "Video")</f>
        <v/>
      </c>
      <c r="B5533" t="inlineStr">
        <is>
          <t>1:04</t>
        </is>
      </c>
      <c r="C5533" t="inlineStr">
        <is>
          <t>starting to jaap a little bit uh let's</t>
        </is>
      </c>
      <c r="D5533">
        <f>HYPERLINK("https://www.youtube.com/watch?v=INxwpKQU-u8&amp;t=64s", "Go to time")</f>
        <v/>
      </c>
    </row>
    <row r="5534">
      <c r="A5534">
        <f>HYPERLINK("https://www.youtube.com/watch?v=INxwpKQU-u8", "Video")</f>
        <v/>
      </c>
      <c r="B5534" t="inlineStr">
        <is>
          <t>13:39</t>
        </is>
      </c>
      <c r="C5534" t="inlineStr">
        <is>
          <t>a little bit more sauce on that line</t>
        </is>
      </c>
      <c r="D5534">
        <f>HYPERLINK("https://www.youtube.com/watch?v=INxwpKQU-u8&amp;t=819s", "Go to time")</f>
        <v/>
      </c>
    </row>
    <row r="5535">
      <c r="A5535">
        <f>HYPERLINK("https://www.youtube.com/watch?v=INxwpKQU-u8", "Video")</f>
        <v/>
      </c>
      <c r="B5535" t="inlineStr">
        <is>
          <t>13:48</t>
        </is>
      </c>
      <c r="C5535" t="inlineStr">
        <is>
          <t>feel like a little bit like you were</t>
        </is>
      </c>
      <c r="D5535">
        <f>HYPERLINK("https://www.youtube.com/watch?v=INxwpKQU-u8&amp;t=828s", "Go to time")</f>
        <v/>
      </c>
    </row>
    <row r="5536">
      <c r="A5536">
        <f>HYPERLINK("https://www.youtube.com/watch?v=INxwpKQU-u8", "Video")</f>
        <v/>
      </c>
      <c r="B5536" t="inlineStr">
        <is>
          <t>33:48</t>
        </is>
      </c>
      <c r="C5536" t="inlineStr">
        <is>
          <t>because it's so funny get a little bit</t>
        </is>
      </c>
      <c r="D5536">
        <f>HYPERLINK("https://www.youtube.com/watch?v=INxwpKQU-u8&amp;t=2028s", "Go to time")</f>
        <v/>
      </c>
    </row>
    <row r="5537">
      <c r="A5537">
        <f>HYPERLINK("https://www.youtube.com/watch?v=INxwpKQU-u8", "Video")</f>
        <v/>
      </c>
      <c r="B5537" t="inlineStr">
        <is>
          <t>38:56</t>
        </is>
      </c>
      <c r="C5537" t="inlineStr">
        <is>
          <t>after he gets inhabited by this alien</t>
        </is>
      </c>
      <c r="D5537">
        <f>HYPERLINK("https://www.youtube.com/watch?v=INxwpKQU-u8&amp;t=2336s", "Go to time")</f>
        <v/>
      </c>
    </row>
    <row r="5538">
      <c r="A5538">
        <f>HYPERLINK("https://www.youtube.com/watch?v=INxwpKQU-u8", "Video")</f>
        <v/>
      </c>
      <c r="B5538" t="inlineStr">
        <is>
          <t>39:23</t>
        </is>
      </c>
      <c r="C5538" t="inlineStr">
        <is>
          <t>themselves a little bit in that Lind</t>
        </is>
      </c>
      <c r="D5538">
        <f>HYPERLINK("https://www.youtube.com/watch?v=INxwpKQU-u8&amp;t=2363s", "Go to time")</f>
        <v/>
      </c>
    </row>
    <row r="5539">
      <c r="A5539">
        <f>HYPERLINK("https://www.youtube.com/watch?v=YU6sRWdzEMc", "Video")</f>
        <v/>
      </c>
      <c r="B5539" t="inlineStr">
        <is>
          <t>4:38</t>
        </is>
      </c>
      <c r="C5539" t="inlineStr">
        <is>
          <t>the whole bit oh</t>
        </is>
      </c>
      <c r="D5539">
        <f>HYPERLINK("https://www.youtube.com/watch?v=YU6sRWdzEMc&amp;t=278s", "Go to time")</f>
        <v/>
      </c>
    </row>
    <row r="5540">
      <c r="A5540">
        <f>HYPERLINK("https://www.youtube.com/watch?v=YU6sRWdzEMc", "Video")</f>
        <v/>
      </c>
      <c r="B5540" t="inlineStr">
        <is>
          <t>9:25</t>
        </is>
      </c>
      <c r="C5540" t="inlineStr">
        <is>
          <t>success is a habit then it's all down</t>
        </is>
      </c>
      <c r="D5540">
        <f>HYPERLINK("https://www.youtube.com/watch?v=YU6sRWdzEMc&amp;t=565s", "Go to time")</f>
        <v/>
      </c>
    </row>
    <row r="5541">
      <c r="A5541">
        <f>HYPERLINK("https://www.youtube.com/watch?v=TTeYANjS8oQ", "Video")</f>
        <v/>
      </c>
      <c r="B5541" t="inlineStr">
        <is>
          <t>8:38</t>
        </is>
      </c>
      <c r="C5541" t="inlineStr">
        <is>
          <t>little bit too fresh I specifically said</t>
        </is>
      </c>
      <c r="D5541">
        <f>HYPERLINK("https://www.youtube.com/watch?v=TTeYANjS8oQ&amp;t=518s", "Go to time")</f>
        <v/>
      </c>
    </row>
    <row r="5542">
      <c r="A5542">
        <f>HYPERLINK("https://www.youtube.com/watch?v=p1MfvAx1JoM", "Video")</f>
        <v/>
      </c>
      <c r="B5542" t="inlineStr">
        <is>
          <t>0:08</t>
        </is>
      </c>
      <c r="C5542" t="inlineStr">
        <is>
          <t>and there was not a hopping rabbit to be</t>
        </is>
      </c>
      <c r="D5542">
        <f>HYPERLINK("https://www.youtube.com/watch?v=p1MfvAx1JoM&amp;t=8s", "Go to time")</f>
        <v/>
      </c>
    </row>
    <row r="5543">
      <c r="A5543">
        <f>HYPERLINK("https://www.youtube.com/watch?v=p1MfvAx1JoM", "Video")</f>
        <v/>
      </c>
      <c r="B5543" t="inlineStr">
        <is>
          <t>1:10</t>
        </is>
      </c>
      <c r="C5543" t="inlineStr">
        <is>
          <t>beloved rabbits your former enemy is</t>
        </is>
      </c>
      <c r="D5543">
        <f>HYPERLINK("https://www.youtube.com/watch?v=p1MfvAx1JoM&amp;t=70s", "Go to time")</f>
        <v/>
      </c>
    </row>
    <row r="5544">
      <c r="A5544">
        <f>HYPERLINK("https://www.youtube.com/watch?v=ncgNSV4UyJg", "Video")</f>
        <v/>
      </c>
      <c r="B5544" t="inlineStr">
        <is>
          <t>0:38</t>
        </is>
      </c>
      <c r="C5544" t="inlineStr">
        <is>
          <t>liam we've got two rabbits</t>
        </is>
      </c>
      <c r="D5544">
        <f>HYPERLINK("https://www.youtube.com/watch?v=ncgNSV4UyJg&amp;t=38s", "Go to time")</f>
        <v/>
      </c>
    </row>
    <row r="5545">
      <c r="A5545">
        <f>HYPERLINK("https://www.youtube.com/watch?v=pAAzfuTN_FI", "Video")</f>
        <v/>
      </c>
      <c r="B5545" t="inlineStr">
        <is>
          <t>0:57</t>
        </is>
      </c>
      <c r="C5545" t="inlineStr">
        <is>
          <t>i think they exhibit what's best about</t>
        </is>
      </c>
      <c r="D5545">
        <f>HYPERLINK("https://www.youtube.com/watch?v=pAAzfuTN_FI&amp;t=57s", "Go to time")</f>
        <v/>
      </c>
    </row>
    <row r="5546">
      <c r="A5546">
        <f>HYPERLINK("https://www.youtube.com/watch?v=MJco9LtT9Vw", "Video")</f>
        <v/>
      </c>
      <c r="B5546" t="inlineStr">
        <is>
          <t>4:57</t>
        </is>
      </c>
      <c r="C5546" t="inlineStr">
        <is>
          <t>he's a very ambitious person he helped</t>
        </is>
      </c>
      <c r="D5546">
        <f>HYPERLINK("https://www.youtube.com/watch?v=MJco9LtT9Vw&amp;t=297s", "Go to time")</f>
        <v/>
      </c>
    </row>
    <row r="5547">
      <c r="A5547">
        <f>HYPERLINK("https://www.youtube.com/watch?v=NWyKw0acpR0", "Video")</f>
        <v/>
      </c>
      <c r="B5547" t="inlineStr">
        <is>
          <t>4:57</t>
        </is>
      </c>
      <c r="C5547" t="inlineStr">
        <is>
          <t>all were a little bit and he of course</t>
        </is>
      </c>
      <c r="D5547">
        <f>HYPERLINK("https://www.youtube.com/watch?v=NWyKw0acpR0&amp;t=297s", "Go to time")</f>
        <v/>
      </c>
    </row>
    <row r="5548">
      <c r="A5548">
        <f>HYPERLINK("https://www.youtube.com/watch?v=NWyKw0acpR0", "Video")</f>
        <v/>
      </c>
      <c r="B5548" t="inlineStr">
        <is>
          <t>12:28</t>
        </is>
      </c>
      <c r="C5548" t="inlineStr">
        <is>
          <t>because they toned it down bit and</t>
        </is>
      </c>
      <c r="D5548">
        <f>HYPERLINK("https://www.youtube.com/watch?v=NWyKw0acpR0&amp;t=748s", "Go to time")</f>
        <v/>
      </c>
    </row>
    <row r="5549">
      <c r="A5549">
        <f>HYPERLINK("https://www.youtube.com/watch?v=NWyKw0acpR0", "Video")</f>
        <v/>
      </c>
      <c r="B5549" t="inlineStr">
        <is>
          <t>16:37</t>
        </is>
      </c>
      <c r="C5549" t="inlineStr">
        <is>
          <t>wolf he also became a bit of a jerk</t>
        </is>
      </c>
      <c r="D5549">
        <f>HYPERLINK("https://www.youtube.com/watch?v=NWyKw0acpR0&amp;t=997s", "Go to time")</f>
        <v/>
      </c>
    </row>
    <row r="5550">
      <c r="A5550">
        <f>HYPERLINK("https://www.youtube.com/watch?v=NWyKw0acpR0", "Video")</f>
        <v/>
      </c>
      <c r="B5550" t="inlineStr">
        <is>
          <t>18:01</t>
        </is>
      </c>
      <c r="C5550" t="inlineStr">
        <is>
          <t>like they make her like a little bit of</t>
        </is>
      </c>
      <c r="D5550">
        <f>HYPERLINK("https://www.youtube.com/watch?v=NWyKw0acpR0&amp;t=1081s", "Go to time")</f>
        <v/>
      </c>
    </row>
    <row r="5551">
      <c r="A5551">
        <f>HYPERLINK("https://www.youtube.com/watch?v=NWyKw0acpR0", "Video")</f>
        <v/>
      </c>
      <c r="B5551" t="inlineStr">
        <is>
          <t>18:47</t>
        </is>
      </c>
      <c r="C5551" t="inlineStr">
        <is>
          <t>the actor mouths the word Ribbit while</t>
        </is>
      </c>
      <c r="D5551">
        <f>HYPERLINK("https://www.youtube.com/watch?v=NWyKw0acpR0&amp;t=1127s", "Go to time")</f>
        <v/>
      </c>
    </row>
    <row r="5552">
      <c r="A5552">
        <f>HYPERLINK("https://www.youtube.com/watch?v=NWyKw0acpR0", "Video")</f>
        <v/>
      </c>
      <c r="B5552" t="inlineStr">
        <is>
          <t>22:49</t>
        </is>
      </c>
      <c r="C5552" t="inlineStr">
        <is>
          <t>little bit before we got like it's like</t>
        </is>
      </c>
      <c r="D5552">
        <f>HYPERLINK("https://www.youtube.com/watch?v=NWyKw0acpR0&amp;t=1369s", "Go to time")</f>
        <v/>
      </c>
    </row>
    <row r="5553">
      <c r="A5553">
        <f>HYPERLINK("https://www.youtube.com/watch?v=NWyKw0acpR0", "Video")</f>
        <v/>
      </c>
      <c r="B5553" t="inlineStr">
        <is>
          <t>23:09</t>
        </is>
      </c>
      <c r="C5553" t="inlineStr">
        <is>
          <t>want to be welled a little bit but look</t>
        </is>
      </c>
      <c r="D5553">
        <f>HYPERLINK("https://www.youtube.com/watch?v=NWyKw0acpR0&amp;t=1389s", "Go to time")</f>
        <v/>
      </c>
    </row>
    <row r="5554">
      <c r="A5554">
        <f>HYPERLINK("https://www.youtube.com/watch?v=NWyKw0acpR0", "Video")</f>
        <v/>
      </c>
      <c r="B5554" t="inlineStr">
        <is>
          <t>25:16</t>
        </is>
      </c>
      <c r="C5554" t="inlineStr">
        <is>
          <t>in the street a little bit dangerous you</t>
        </is>
      </c>
      <c r="D5554">
        <f>HYPERLINK("https://www.youtube.com/watch?v=NWyKw0acpR0&amp;t=1516s", "Go to time")</f>
        <v/>
      </c>
    </row>
    <row r="5555">
      <c r="A5555">
        <f>HYPERLINK("https://www.youtube.com/watch?v=NWyKw0acpR0", "Video")</f>
        <v/>
      </c>
      <c r="B5555" t="inlineStr">
        <is>
          <t>44:37</t>
        </is>
      </c>
      <c r="C5555" t="inlineStr">
        <is>
          <t>before we do a little bit of</t>
        </is>
      </c>
      <c r="D5555">
        <f>HYPERLINK("https://www.youtube.com/watch?v=NWyKw0acpR0&amp;t=2677s", "Go to time")</f>
        <v/>
      </c>
    </row>
    <row r="5556">
      <c r="A5556">
        <f>HYPERLINK("https://www.youtube.com/watch?v=NWyKw0acpR0", "Video")</f>
        <v/>
      </c>
      <c r="B5556" t="inlineStr">
        <is>
          <t>44:52</t>
        </is>
      </c>
      <c r="C5556" t="inlineStr">
        <is>
          <t>but I'm I'm I'm like I'm bittersweetly</t>
        </is>
      </c>
      <c r="D5556">
        <f>HYPERLINK("https://www.youtube.com/watch?v=NWyKw0acpR0&amp;t=2692s", "Go to time")</f>
        <v/>
      </c>
    </row>
    <row r="5557">
      <c r="A5557">
        <f>HYPERLINK("https://www.youtube.com/watch?v=dSm2l6MLkOE", "Video")</f>
        <v/>
      </c>
      <c r="B5557" t="inlineStr">
        <is>
          <t>2:30</t>
        </is>
      </c>
      <c r="C5557" t="inlineStr">
        <is>
          <t>rabbit shut up this is totally</t>
        </is>
      </c>
      <c r="D5557">
        <f>HYPERLINK("https://www.youtube.com/watch?v=dSm2l6MLkOE&amp;t=150s", "Go to time")</f>
        <v/>
      </c>
    </row>
    <row r="5558">
      <c r="A5558">
        <f>HYPERLINK("https://www.youtube.com/watch?v=gYybSJpS-Us", "Video")</f>
        <v/>
      </c>
      <c r="B5558" t="inlineStr">
        <is>
          <t>6:21</t>
        </is>
      </c>
      <c r="C5558" t="inlineStr">
        <is>
          <t>she had to eat rabbit</t>
        </is>
      </c>
      <c r="D5558">
        <f>HYPERLINK("https://www.youtube.com/watch?v=gYybSJpS-Us&amp;t=381s", "Go to time")</f>
        <v/>
      </c>
    </row>
    <row r="5559">
      <c r="A5559">
        <f>HYPERLINK("https://www.youtube.com/watch?v=DGGgN-gVvUY", "Video")</f>
        <v/>
      </c>
      <c r="B5559" t="inlineStr">
        <is>
          <t>0:43</t>
        </is>
      </c>
      <c r="C5559" t="inlineStr">
        <is>
          <t>are you inhibited about dancing in</t>
        </is>
      </c>
      <c r="D5559">
        <f>HYPERLINK("https://www.youtube.com/watch?v=DGGgN-gVvUY&amp;t=43s", "Go to time")</f>
        <v/>
      </c>
    </row>
    <row r="5560">
      <c r="A5560">
        <f>HYPERLINK("https://www.youtube.com/watch?v=uD0A-tsqXzI", "Video")</f>
        <v/>
      </c>
      <c r="B5560" t="inlineStr">
        <is>
          <t>0:25</t>
        </is>
      </c>
      <c r="C5560" t="inlineStr">
        <is>
          <t>being a was a bit like being an</t>
        </is>
      </c>
      <c r="D5560">
        <f>HYPERLINK("https://www.youtube.com/watch?v=uD0A-tsqXzI&amp;t=25s", "Go to time")</f>
        <v/>
      </c>
    </row>
    <row r="5561">
      <c r="A5561">
        <f>HYPERLINK("https://www.youtube.com/watch?v=9QVGrD8_8Yg", "Video")</f>
        <v/>
      </c>
      <c r="B5561" t="inlineStr">
        <is>
          <t>0:26</t>
        </is>
      </c>
      <c r="C5561" t="inlineStr">
        <is>
          <t>right habit</t>
        </is>
      </c>
      <c r="D5561">
        <f>HYPERLINK("https://www.youtube.com/watch?v=9QVGrD8_8Yg&amp;t=26s", "Go to time")</f>
        <v/>
      </c>
    </row>
    <row r="5562">
      <c r="A5562">
        <f>HYPERLINK("https://www.youtube.com/watch?v=4_SBdgdCwDA", "Video")</f>
        <v/>
      </c>
      <c r="B5562" t="inlineStr">
        <is>
          <t>0:17</t>
        </is>
      </c>
      <c r="C5562" t="inlineStr">
        <is>
          <t>and that Hobbit kid Bobby from the gas</t>
        </is>
      </c>
      <c r="D5562">
        <f>HYPERLINK("https://www.youtube.com/watch?v=4_SBdgdCwDA&amp;t=17s", "Go to time")</f>
        <v/>
      </c>
    </row>
    <row r="5563">
      <c r="A5563">
        <f>HYPERLINK("https://www.youtube.com/watch?v=AgN_7KPAAo0", "Video")</f>
        <v/>
      </c>
      <c r="B5563" t="inlineStr">
        <is>
          <t>0:26</t>
        </is>
      </c>
      <c r="C5563" t="inlineStr">
        <is>
          <t>got one a bear and a rabbit are</t>
        </is>
      </c>
      <c r="D5563">
        <f>HYPERLINK("https://www.youtube.com/watch?v=AgN_7KPAAo0&amp;t=26s", "Go to time")</f>
        <v/>
      </c>
    </row>
    <row r="5564">
      <c r="A5564">
        <f>HYPERLINK("https://www.youtube.com/watch?v=AgN_7KPAAo0", "Video")</f>
        <v/>
      </c>
      <c r="B5564" t="inlineStr">
        <is>
          <t>0:31</t>
        </is>
      </c>
      <c r="C5564" t="inlineStr">
        <is>
          <t>to the rabbit hey do you ever have a</t>
        </is>
      </c>
      <c r="D5564">
        <f>HYPERLINK("https://www.youtube.com/watch?v=AgN_7KPAAo0&amp;t=31s", "Go to time")</f>
        <v/>
      </c>
    </row>
    <row r="5565">
      <c r="A5565">
        <f>HYPERLINK("https://www.youtube.com/watch?v=AgN_7KPAAo0", "Video")</f>
        <v/>
      </c>
      <c r="B5565" t="inlineStr">
        <is>
          <t>0:34</t>
        </is>
      </c>
      <c r="C5565" t="inlineStr">
        <is>
          <t>fur and the rabbit finishes and he</t>
        </is>
      </c>
      <c r="D5565">
        <f>HYPERLINK("https://www.youtube.com/watch?v=AgN_7KPAAo0&amp;t=34s", "Go to time")</f>
        <v/>
      </c>
    </row>
    <row r="5566">
      <c r="A5566">
        <f>HYPERLINK("https://www.youtube.com/watch?v=AgN_7KPAAo0", "Video")</f>
        <v/>
      </c>
      <c r="B5566" t="inlineStr">
        <is>
          <t>0:43</t>
        </is>
      </c>
      <c r="C5566" t="inlineStr">
        <is>
          <t>rabbit and hide the ears and</t>
        </is>
      </c>
      <c r="D5566">
        <f>HYPERLINK("https://www.youtube.com/watch?v=AgN_7KPAAo0&amp;t=43s", "Go to time")</f>
        <v/>
      </c>
    </row>
    <row r="5567">
      <c r="A5567">
        <f>HYPERLINK("https://www.youtube.com/watch?v=svwcgrDZVPw", "Video")</f>
        <v/>
      </c>
      <c r="B5567" t="inlineStr">
        <is>
          <t>1:19</t>
        </is>
      </c>
      <c r="C5567" t="inlineStr">
        <is>
          <t>told you my spider bite is acting your</t>
        </is>
      </c>
      <c r="D5567">
        <f>HYPERLINK("https://www.youtube.com/watch?v=svwcgrDZVPw&amp;t=79s", "Go to time")</f>
        <v/>
      </c>
    </row>
    <row r="5568">
      <c r="A5568">
        <f>HYPERLINK("https://www.youtube.com/watch?v=gbJ04U3Ymdg", "Video")</f>
        <v/>
      </c>
      <c r="B5568" t="inlineStr">
        <is>
          <t>6:10</t>
        </is>
      </c>
      <c r="C5568" t="inlineStr">
        <is>
          <t>say it's a bit intense but the vibe from</t>
        </is>
      </c>
      <c r="D5568">
        <f>HYPERLINK("https://www.youtube.com/watch?v=gbJ04U3Ymdg&amp;t=370s", "Go to time")</f>
        <v/>
      </c>
    </row>
    <row r="5569">
      <c r="A5569">
        <f>HYPERLINK("https://www.youtube.com/watch?v=gbJ04U3Ymdg", "Video")</f>
        <v/>
      </c>
      <c r="B5569" t="inlineStr">
        <is>
          <t>12:49</t>
        </is>
      </c>
      <c r="C5569" t="inlineStr">
        <is>
          <t>Heimer made this a bit of a</t>
        </is>
      </c>
      <c r="D5569">
        <f>HYPERLINK("https://www.youtube.com/watch?v=gbJ04U3Ymdg&amp;t=769s", "Go to time")</f>
        <v/>
      </c>
    </row>
    <row r="5570">
      <c r="A5570">
        <f>HYPERLINK("https://www.youtube.com/watch?v=gbJ04U3Ymdg", "Video")</f>
        <v/>
      </c>
      <c r="B5570" t="inlineStr">
        <is>
          <t>13:32</t>
        </is>
      </c>
      <c r="C5570" t="inlineStr">
        <is>
          <t>go this is always the tough bit I can't</t>
        </is>
      </c>
      <c r="D5570">
        <f>HYPERLINK("https://www.youtube.com/watch?v=gbJ04U3Ymdg&amp;t=812s", "Go to time")</f>
        <v/>
      </c>
    </row>
    <row r="5571">
      <c r="A5571">
        <f>HYPERLINK("https://www.youtube.com/watch?v=pWrnxh1tdp8", "Video")</f>
        <v/>
      </c>
      <c r="B5571" t="inlineStr">
        <is>
          <t>12:57</t>
        </is>
      </c>
      <c r="C5571" t="inlineStr">
        <is>
          <t>short by cobit 19 and switched to</t>
        </is>
      </c>
      <c r="D5571">
        <f>HYPERLINK("https://www.youtube.com/watch?v=pWrnxh1tdp8&amp;t=777s", "Go to time")</f>
        <v/>
      </c>
    </row>
    <row r="5572">
      <c r="A5572">
        <f>HYPERLINK("https://www.youtube.com/watch?v=pWrnxh1tdp8", "Video")</f>
        <v/>
      </c>
      <c r="B5572" t="inlineStr">
        <is>
          <t>17:25</t>
        </is>
      </c>
      <c r="C5572" t="inlineStr">
        <is>
          <t>unfortunately event horizon had a bit of</t>
        </is>
      </c>
      <c r="D5572">
        <f>HYPERLINK("https://www.youtube.com/watch?v=pWrnxh1tdp8&amp;t=1045s", "Go to time")</f>
        <v/>
      </c>
    </row>
    <row r="5573">
      <c r="A5573">
        <f>HYPERLINK("https://www.youtube.com/watch?v=whTSpUWS-CY", "Video")</f>
        <v/>
      </c>
      <c r="B5573" t="inlineStr">
        <is>
          <t>3:19</t>
        </is>
      </c>
      <c r="C5573" t="inlineStr">
        <is>
          <t>dog bite and she had every right to</t>
        </is>
      </c>
      <c r="D5573">
        <f>HYPERLINK("https://www.youtube.com/watch?v=whTSpUWS-CY&amp;t=199s", "Go to time")</f>
        <v/>
      </c>
    </row>
    <row r="5574">
      <c r="A5574">
        <f>HYPERLINK("https://www.youtube.com/watch?v=whTSpUWS-CY", "Video")</f>
        <v/>
      </c>
      <c r="B5574" t="inlineStr">
        <is>
          <t>3:44</t>
        </is>
      </c>
      <c r="C5574" t="inlineStr">
        <is>
          <t>bit of Hiatus because my co-stars</t>
        </is>
      </c>
      <c r="D5574">
        <f>HYPERLINK("https://www.youtube.com/watch?v=whTSpUWS-CY&amp;t=224s", "Go to time")</f>
        <v/>
      </c>
    </row>
    <row r="5575">
      <c r="A5575">
        <f>HYPERLINK("https://www.youtube.com/watch?v=whTSpUWS-CY", "Video")</f>
        <v/>
      </c>
      <c r="B5575" t="inlineStr">
        <is>
          <t>4:33</t>
        </is>
      </c>
      <c r="C5575" t="inlineStr">
        <is>
          <t>it's not bad it's kind of a little bit</t>
        </is>
      </c>
      <c r="D5575">
        <f>HYPERLINK("https://www.youtube.com/watch?v=whTSpUWS-CY&amp;t=273s", "Go to time")</f>
        <v/>
      </c>
    </row>
    <row r="5576">
      <c r="A5576">
        <f>HYPERLINK("https://www.youtube.com/watch?v=whTSpUWS-CY", "Video")</f>
        <v/>
      </c>
      <c r="B5576" t="inlineStr">
        <is>
          <t>15:52</t>
        </is>
      </c>
      <c r="C5576" t="inlineStr">
        <is>
          <t>I kind of wish it felt a little bit more</t>
        </is>
      </c>
      <c r="D5576">
        <f>HYPERLINK("https://www.youtube.com/watch?v=whTSpUWS-CY&amp;t=952s", "Go to time")</f>
        <v/>
      </c>
    </row>
    <row r="5577">
      <c r="A5577">
        <f>HYPERLINK("https://www.youtube.com/watch?v=whTSpUWS-CY", "Video")</f>
        <v/>
      </c>
      <c r="B5577" t="inlineStr">
        <is>
          <t>16:28</t>
        </is>
      </c>
      <c r="C5577" t="inlineStr">
        <is>
          <t>are just a little bit more clever and</t>
        </is>
      </c>
      <c r="D5577">
        <f>HYPERLINK("https://www.youtube.com/watch?v=whTSpUWS-CY&amp;t=988s", "Go to time")</f>
        <v/>
      </c>
    </row>
    <row r="5578">
      <c r="A5578">
        <f>HYPERLINK("https://www.youtube.com/watch?v=whTSpUWS-CY", "Video")</f>
        <v/>
      </c>
      <c r="B5578" t="inlineStr">
        <is>
          <t>16:46</t>
        </is>
      </c>
      <c r="C5578" t="inlineStr">
        <is>
          <t>little bit funnier for me it's like</t>
        </is>
      </c>
      <c r="D5578">
        <f>HYPERLINK("https://www.youtube.com/watch?v=whTSpUWS-CY&amp;t=1006s", "Go to time")</f>
        <v/>
      </c>
    </row>
    <row r="5579">
      <c r="A5579">
        <f>HYPERLINK("https://www.youtube.com/watch?v=whTSpUWS-CY", "Video")</f>
        <v/>
      </c>
      <c r="B5579" t="inlineStr">
        <is>
          <t>20:58</t>
        </is>
      </c>
      <c r="C5579" t="inlineStr">
        <is>
          <t>that scene let me down a little bit</t>
        </is>
      </c>
      <c r="D5579">
        <f>HYPERLINK("https://www.youtube.com/watch?v=whTSpUWS-CY&amp;t=1258s", "Go to time")</f>
        <v/>
      </c>
    </row>
    <row r="5580">
      <c r="A5580">
        <f>HYPERLINK("https://www.youtube.com/watch?v=whTSpUWS-CY", "Video")</f>
        <v/>
      </c>
      <c r="B5580" t="inlineStr">
        <is>
          <t>21:15</t>
        </is>
      </c>
      <c r="C5580" t="inlineStr">
        <is>
          <t>little bit and also I was gonna say the</t>
        </is>
      </c>
      <c r="D5580">
        <f>HYPERLINK("https://www.youtube.com/watch?v=whTSpUWS-CY&amp;t=1275s", "Go to time")</f>
        <v/>
      </c>
    </row>
    <row r="5581">
      <c r="A5581">
        <f>HYPERLINK("https://www.youtube.com/watch?v=whTSpUWS-CY", "Video")</f>
        <v/>
      </c>
      <c r="B5581" t="inlineStr">
        <is>
          <t>25:49</t>
        </is>
      </c>
      <c r="C5581" t="inlineStr">
        <is>
          <t>this is another sort of bite at that</t>
        </is>
      </c>
      <c r="D5581">
        <f>HYPERLINK("https://www.youtube.com/watch?v=whTSpUWS-CY&amp;t=1549s", "Go to time")</f>
        <v/>
      </c>
    </row>
    <row r="5582">
      <c r="A5582">
        <f>HYPERLINK("https://www.youtube.com/watch?v=whTSpUWS-CY", "Video")</f>
        <v/>
      </c>
      <c r="B5582" t="inlineStr">
        <is>
          <t>33:31</t>
        </is>
      </c>
      <c r="C5582" t="inlineStr">
        <is>
          <t>bit but they're for the most part they</t>
        </is>
      </c>
      <c r="D5582">
        <f>HYPERLINK("https://www.youtube.com/watch?v=whTSpUWS-CY&amp;t=2011s", "Go to time")</f>
        <v/>
      </c>
    </row>
    <row r="5583">
      <c r="A5583">
        <f>HYPERLINK("https://www.youtube.com/watch?v=whTSpUWS-CY", "Video")</f>
        <v/>
      </c>
      <c r="B5583" t="inlineStr">
        <is>
          <t>37:20</t>
        </is>
      </c>
      <c r="C5583" t="inlineStr">
        <is>
          <t>appreciate that a little bit I want to</t>
        </is>
      </c>
      <c r="D5583">
        <f>HYPERLINK("https://www.youtube.com/watch?v=whTSpUWS-CY&amp;t=2240s", "Go to time")</f>
        <v/>
      </c>
    </row>
    <row r="5584">
      <c r="A5584">
        <f>HYPERLINK("https://www.youtube.com/watch?v=whTSpUWS-CY", "Video")</f>
        <v/>
      </c>
      <c r="B5584" t="inlineStr">
        <is>
          <t>38:09</t>
        </is>
      </c>
      <c r="C5584" t="inlineStr">
        <is>
          <t>little bit for the beginning of you know</t>
        </is>
      </c>
      <c r="D5584">
        <f>HYPERLINK("https://www.youtube.com/watch?v=whTSpUWS-CY&amp;t=2289s", "Go to time")</f>
        <v/>
      </c>
    </row>
    <row r="5585">
      <c r="A5585">
        <f>HYPERLINK("https://www.youtube.com/watch?v=whTSpUWS-CY", "Video")</f>
        <v/>
      </c>
      <c r="B5585" t="inlineStr">
        <is>
          <t>41:19</t>
        </is>
      </c>
      <c r="C5585" t="inlineStr">
        <is>
          <t>to go a little bit farther than he was</t>
        </is>
      </c>
      <c r="D5585">
        <f>HYPERLINK("https://www.youtube.com/watch?v=whTSpUWS-CY&amp;t=2479s", "Go to time")</f>
        <v/>
      </c>
    </row>
    <row r="5586">
      <c r="A5586">
        <f>HYPERLINK("https://www.youtube.com/watch?v=whTSpUWS-CY", "Video")</f>
        <v/>
      </c>
      <c r="B5586" t="inlineStr">
        <is>
          <t>41:29</t>
        </is>
      </c>
      <c r="C5586" t="inlineStr">
        <is>
          <t>bit farther than what he could do in a</t>
        </is>
      </c>
      <c r="D5586">
        <f>HYPERLINK("https://www.youtube.com/watch?v=whTSpUWS-CY&amp;t=2489s", "Go to time")</f>
        <v/>
      </c>
    </row>
    <row r="5587">
      <c r="A5587">
        <f>HYPERLINK("https://www.youtube.com/watch?v=whTSpUWS-CY", "Video")</f>
        <v/>
      </c>
      <c r="B5587" t="inlineStr">
        <is>
          <t>44:16</t>
        </is>
      </c>
      <c r="C5587" t="inlineStr">
        <is>
          <t>bit a little Cameo from him playing the</t>
        </is>
      </c>
      <c r="D5587">
        <f>HYPERLINK("https://www.youtube.com/watch?v=whTSpUWS-CY&amp;t=2656s", "Go to time")</f>
        <v/>
      </c>
    </row>
    <row r="5588">
      <c r="A5588">
        <f>HYPERLINK("https://www.youtube.com/watch?v=Q7r3HIkBJcg", "Video")</f>
        <v/>
      </c>
      <c r="B5588" t="inlineStr">
        <is>
          <t>1:39</t>
        </is>
      </c>
      <c r="C5588" t="inlineStr">
        <is>
          <t>bite from Iraq nest ethicist will</t>
        </is>
      </c>
      <c r="D5588">
        <f>HYPERLINK("https://www.youtube.com/watch?v=Q7r3HIkBJcg&amp;t=99s", "Go to time")</f>
        <v/>
      </c>
    </row>
    <row r="5589">
      <c r="A5589">
        <f>HYPERLINK("https://www.youtube.com/watch?v=68Ih2PqAAIM", "Video")</f>
        <v/>
      </c>
      <c r="B5589" t="inlineStr">
        <is>
          <t>0:04</t>
        </is>
      </c>
      <c r="C5589" t="inlineStr">
        <is>
          <t>a bit of a problem but uh so far it's</t>
        </is>
      </c>
      <c r="D5589">
        <f>HYPERLINK("https://www.youtube.com/watch?v=68Ih2PqAAIM&amp;t=4s", "Go to time")</f>
        <v/>
      </c>
    </row>
    <row r="5590">
      <c r="A5590">
        <f>HYPERLINK("https://www.youtube.com/watch?v=Mv-Jxv9q8Fs", "Video")</f>
        <v/>
      </c>
      <c r="B5590" t="inlineStr">
        <is>
          <t>0:36</t>
        </is>
      </c>
      <c r="C5590" t="inlineStr">
        <is>
          <t>please look at exhibits a through F on</t>
        </is>
      </c>
      <c r="D5590">
        <f>HYPERLINK("https://www.youtube.com/watch?v=Mv-Jxv9q8Fs&amp;t=36s", "Go to time")</f>
        <v/>
      </c>
    </row>
    <row r="5591">
      <c r="A5591">
        <f>HYPERLINK("https://www.youtube.com/watch?v=Mv-Jxv9q8Fs", "Video")</f>
        <v/>
      </c>
      <c r="B5591" t="inlineStr">
        <is>
          <t>1:09</t>
        </is>
      </c>
      <c r="C5591" t="inlineStr">
        <is>
          <t>jar marked exhibit f</t>
        </is>
      </c>
      <c r="D5591">
        <f>HYPERLINK("https://www.youtube.com/watch?v=Mv-Jxv9q8Fs&amp;t=69s", "Go to time")</f>
        <v/>
      </c>
    </row>
    <row r="5592">
      <c r="A5592">
        <f>HYPERLINK("https://www.youtube.com/watch?v=N5flT644qK4", "Video")</f>
        <v/>
      </c>
      <c r="B5592" t="inlineStr">
        <is>
          <t>0:31</t>
        </is>
      </c>
      <c r="C5592" t="inlineStr">
        <is>
          <t>can I assume you shared this titbit for</t>
        </is>
      </c>
      <c r="D5592">
        <f>HYPERLINK("https://www.youtube.com/watch?v=N5flT644qK4&amp;t=31s", "Go to time")</f>
        <v/>
      </c>
    </row>
    <row r="5593">
      <c r="A5593">
        <f>HYPERLINK("https://www.youtube.com/watch?v=N5flT644qK4", "Video")</f>
        <v/>
      </c>
      <c r="B5593" t="inlineStr">
        <is>
          <t>2:13</t>
        </is>
      </c>
      <c r="C5593" t="inlineStr">
        <is>
          <t>no no n we going to call you rabbit</t>
        </is>
      </c>
      <c r="D5593">
        <f>HYPERLINK("https://www.youtube.com/watch?v=N5flT644qK4&amp;t=133s", "Go to time")</f>
        <v/>
      </c>
    </row>
    <row r="5594">
      <c r="A5594">
        <f>HYPERLINK("https://www.youtube.com/watch?v=N5flT644qK4", "Video")</f>
        <v/>
      </c>
      <c r="B5594" t="inlineStr">
        <is>
          <t>2:16</t>
        </is>
      </c>
      <c r="C5594" t="inlineStr">
        <is>
          <t>because what rabbits do best is run you</t>
        </is>
      </c>
      <c r="D5594">
        <f>HYPERLINK("https://www.youtube.com/watch?v=N5flT644qK4&amp;t=136s", "Go to time")</f>
        <v/>
      </c>
    </row>
    <row r="5595">
      <c r="A5595">
        <f>HYPERLINK("https://www.youtube.com/watch?v=N5flT644qK4", "Video")</f>
        <v/>
      </c>
      <c r="B5595" t="inlineStr">
        <is>
          <t>2:18</t>
        </is>
      </c>
      <c r="C5595" t="inlineStr">
        <is>
          <t>see rabbit here escaped a hill hole and</t>
        </is>
      </c>
      <c r="D5595">
        <f>HYPERLINK("https://www.youtube.com/watch?v=N5flT644qK4&amp;t=138s", "Go to time")</f>
        <v/>
      </c>
    </row>
    <row r="5596">
      <c r="A5596">
        <f>HYPERLINK("https://www.youtube.com/watch?v=N5flT644qK4", "Video")</f>
        <v/>
      </c>
      <c r="B5596" t="inlineStr">
        <is>
          <t>2:24</t>
        </is>
      </c>
      <c r="C5596" t="inlineStr">
        <is>
          <t>her own Co right rabbit</t>
        </is>
      </c>
      <c r="D5596">
        <f>HYPERLINK("https://www.youtube.com/watch?v=N5flT644qK4&amp;t=144s", "Go to time")</f>
        <v/>
      </c>
    </row>
    <row r="5597">
      <c r="A5597">
        <f>HYPERLINK("https://www.youtube.com/watch?v=N5flT644qK4", "Video")</f>
        <v/>
      </c>
      <c r="B5597" t="inlineStr">
        <is>
          <t>2:30</t>
        </is>
      </c>
      <c r="C5597" t="inlineStr">
        <is>
          <t>look don't take offense rabbit Dr Mike</t>
        </is>
      </c>
      <c r="D5597">
        <f>HYPERLINK("https://www.youtube.com/watch?v=N5flT644qK4&amp;t=150s", "Go to time")</f>
        <v/>
      </c>
    </row>
    <row r="5598">
      <c r="A5598">
        <f>HYPERLINK("https://www.youtube.com/watch?v=qehb2DPbvWs", "Video")</f>
        <v/>
      </c>
      <c r="B5598" t="inlineStr">
        <is>
          <t>0:41</t>
        </is>
      </c>
      <c r="C5598" t="inlineStr">
        <is>
          <t>of this exhibit I am faster on my feet</t>
        </is>
      </c>
      <c r="D5598">
        <f>HYPERLINK("https://www.youtube.com/watch?v=qehb2DPbvWs&amp;t=41s", "Go to time")</f>
        <v/>
      </c>
    </row>
    <row r="5599">
      <c r="A5599">
        <f>HYPERLINK("https://www.youtube.com/watch?v=Z_oKozOVU4k", "Video")</f>
        <v/>
      </c>
      <c r="B5599" t="inlineStr">
        <is>
          <t>1:55</t>
        </is>
      </c>
      <c r="C5599" t="inlineStr">
        <is>
          <t>consisting of wizards Hobbits dwarves</t>
        </is>
      </c>
      <c r="D5599">
        <f>HYPERLINK("https://www.youtube.com/watch?v=Z_oKozOVU4k&amp;t=115s", "Go to time")</f>
        <v/>
      </c>
    </row>
    <row r="5600">
      <c r="A5600">
        <f>HYPERLINK("https://www.youtube.com/watch?v=Z_oKozOVU4k", "Video")</f>
        <v/>
      </c>
      <c r="B5600" t="inlineStr">
        <is>
          <t>3:04</t>
        </is>
      </c>
      <c r="C5600" t="inlineStr">
        <is>
          <t>unlikely creature imaginable a hobbit</t>
        </is>
      </c>
      <c r="D5600">
        <f>HYPERLINK("https://www.youtube.com/watch?v=Z_oKozOVU4k&amp;t=184s", "Go to time")</f>
        <v/>
      </c>
    </row>
    <row r="5601">
      <c r="A5601">
        <f>HYPERLINK("https://www.youtube.com/watch?v=Z_oKozOVU4k", "Video")</f>
        <v/>
      </c>
      <c r="B5601" t="inlineStr">
        <is>
          <t>15:28</t>
        </is>
      </c>
      <c r="C5601" t="inlineStr">
        <is>
          <t>and a bitter Feud ensues resulting in</t>
        </is>
      </c>
      <c r="D5601">
        <f>HYPERLINK("https://www.youtube.com/watch?v=Z_oKozOVU4k&amp;t=928s", "Go to time")</f>
        <v/>
      </c>
    </row>
    <row r="5602">
      <c r="A5602">
        <f>HYPERLINK("https://www.youtube.com/watch?v=Z_oKozOVU4k", "Video")</f>
        <v/>
      </c>
      <c r="B5602" t="inlineStr">
        <is>
          <t>22:05</t>
        </is>
      </c>
      <c r="C5602" t="inlineStr">
        <is>
          <t>go out for a bite to eat and end up</t>
        </is>
      </c>
      <c r="D5602">
        <f>HYPERLINK("https://www.youtube.com/watch?v=Z_oKozOVU4k&amp;t=1325s", "Go to time")</f>
        <v/>
      </c>
    </row>
    <row r="5603">
      <c r="A5603">
        <f>HYPERLINK("https://www.youtube.com/watch?v=j7iGWsPkeHQ", "Video")</f>
        <v/>
      </c>
      <c r="B5603" t="inlineStr">
        <is>
          <t>1:56</t>
        </is>
      </c>
      <c r="C5603" t="inlineStr">
        <is>
          <t>one bit we shot the construction site I</t>
        </is>
      </c>
      <c r="D5603">
        <f>HYPERLINK("https://www.youtube.com/watch?v=j7iGWsPkeHQ&amp;t=116s", "Go to time")</f>
        <v/>
      </c>
    </row>
    <row r="5604">
      <c r="A5604">
        <f>HYPERLINK("https://www.youtube.com/watch?v=vUiWDDJr4mo", "Video")</f>
        <v/>
      </c>
      <c r="B5604" t="inlineStr">
        <is>
          <t>12:04</t>
        </is>
      </c>
      <c r="C5604" t="inlineStr">
        <is>
          <t>habit of walking</t>
        </is>
      </c>
      <c r="D5604">
        <f>HYPERLINK("https://www.youtube.com/watch?v=vUiWDDJr4mo&amp;t=724s", "Go to time")</f>
        <v/>
      </c>
    </row>
    <row r="5605">
      <c r="A5605">
        <f>HYPERLINK("https://www.youtube.com/watch?v=2aXcrjEwQjA", "Video")</f>
        <v/>
      </c>
      <c r="B5605" t="inlineStr">
        <is>
          <t>1:43</t>
        </is>
      </c>
      <c r="C5605" t="inlineStr">
        <is>
          <t>little bit more hospitable</t>
        </is>
      </c>
      <c r="D5605">
        <f>HYPERLINK("https://www.youtube.com/watch?v=2aXcrjEwQjA&amp;t=103s", "Go to time")</f>
        <v/>
      </c>
    </row>
    <row r="5606">
      <c r="A5606">
        <f>HYPERLINK("https://www.youtube.com/watch?v=eUSALGh1A7E", "Video")</f>
        <v/>
      </c>
      <c r="B5606" t="inlineStr">
        <is>
          <t>4:39</t>
        </is>
      </c>
      <c r="C5606" t="inlineStr">
        <is>
          <t>we'll let her sleep a bit</t>
        </is>
      </c>
      <c r="D5606">
        <f>HYPERLINK("https://www.youtube.com/watch?v=eUSALGh1A7E&amp;t=279s", "Go to time")</f>
        <v/>
      </c>
    </row>
    <row r="5607">
      <c r="A5607">
        <f>HYPERLINK("https://www.youtube.com/watch?v=YHQjbCstZME", "Video")</f>
        <v/>
      </c>
      <c r="B5607" t="inlineStr">
        <is>
          <t>5:39</t>
        </is>
      </c>
      <c r="C5607" t="inlineStr">
        <is>
          <t>little bit i am relaxing</t>
        </is>
      </c>
      <c r="D5607">
        <f>HYPERLINK("https://www.youtube.com/watch?v=YHQjbCstZME&amp;t=339s", "Go to time")</f>
        <v/>
      </c>
    </row>
    <row r="5608">
      <c r="A5608">
        <f>HYPERLINK("https://www.youtube.com/watch?v=YHQjbCstZME", "Video")</f>
        <v/>
      </c>
      <c r="B5608" t="inlineStr">
        <is>
          <t>11:54</t>
        </is>
      </c>
      <c r="C5608" t="inlineStr">
        <is>
          <t>lack of satirical bite the actresses</t>
        </is>
      </c>
      <c r="D5608">
        <f>HYPERLINK("https://www.youtube.com/watch?v=YHQjbCstZME&amp;t=714s", "Go to time")</f>
        <v/>
      </c>
    </row>
    <row r="5609">
      <c r="A5609">
        <f>HYPERLINK("https://www.youtube.com/watch?v=YHQjbCstZME", "Video")</f>
        <v/>
      </c>
      <c r="B5609" t="inlineStr">
        <is>
          <t>19:14</t>
        </is>
      </c>
      <c r="C5609" t="inlineStr">
        <is>
          <t>a little bit come on i know you want is</t>
        </is>
      </c>
      <c r="D5609">
        <f>HYPERLINK("https://www.youtube.com/watch?v=YHQjbCstZME&amp;t=1154s", "Go to time")</f>
        <v/>
      </c>
    </row>
    <row r="5610">
      <c r="A5610">
        <f>HYPERLINK("https://www.youtube.com/watch?v=z5uwGcPB2LI", "Video")</f>
        <v/>
      </c>
      <c r="B5610" t="inlineStr">
        <is>
          <t>1:54</t>
        </is>
      </c>
      <c r="C5610" t="inlineStr">
        <is>
          <t>just get a bit closer i can jump okay</t>
        </is>
      </c>
      <c r="D5610">
        <f>HYPERLINK("https://www.youtube.com/watch?v=z5uwGcPB2LI&amp;t=114s", "Go to time")</f>
        <v/>
      </c>
    </row>
    <row r="5611">
      <c r="A5611">
        <f>HYPERLINK("https://www.youtube.com/watch?v=9qpEVRfaaWk", "Video")</f>
        <v/>
      </c>
      <c r="B5611" t="inlineStr">
        <is>
          <t>1:30</t>
        </is>
      </c>
      <c r="C5611" t="inlineStr">
        <is>
          <t>i don't we inhabit the same house that's</t>
        </is>
      </c>
      <c r="D5611">
        <f>HYPERLINK("https://www.youtube.com/watch?v=9qpEVRfaaWk&amp;t=90s", "Go to time")</f>
        <v/>
      </c>
    </row>
    <row r="5612">
      <c r="A5612">
        <f>HYPERLINK("https://www.youtube.com/watch?v=cmi_cGmILo0", "Video")</f>
        <v/>
      </c>
      <c r="B5612" t="inlineStr">
        <is>
          <t>2:23</t>
        </is>
      </c>
      <c r="C5612" t="inlineStr">
        <is>
          <t>like to just recount a little bit of the</t>
        </is>
      </c>
      <c r="D5612">
        <f>HYPERLINK("https://www.youtube.com/watch?v=cmi_cGmILo0&amp;t=143s", "Go to time")</f>
        <v/>
      </c>
    </row>
    <row r="5613">
      <c r="A5613">
        <f>HYPERLINK("https://www.youtube.com/watch?v=cmi_cGmILo0", "Video")</f>
        <v/>
      </c>
      <c r="B5613" t="inlineStr">
        <is>
          <t>2:31</t>
        </is>
      </c>
      <c r="C5613" t="inlineStr">
        <is>
          <t>announcer bit let me give youall a</t>
        </is>
      </c>
      <c r="D5613">
        <f>HYPERLINK("https://www.youtube.com/watch?v=cmi_cGmILo0&amp;t=151s", "Go to time")</f>
        <v/>
      </c>
    </row>
    <row r="5614">
      <c r="A5614">
        <f>HYPERLINK("https://www.youtube.com/watch?v=cmi_cGmILo0", "Video")</f>
        <v/>
      </c>
      <c r="B5614" t="inlineStr">
        <is>
          <t>5:32</t>
        </is>
      </c>
      <c r="C5614" t="inlineStr">
        <is>
          <t>little bit and this one I will say</t>
        </is>
      </c>
      <c r="D5614">
        <f>HYPERLINK("https://www.youtube.com/watch?v=cmi_cGmILo0&amp;t=332s", "Go to time")</f>
        <v/>
      </c>
    </row>
    <row r="5615">
      <c r="A5615">
        <f>HYPERLINK("https://www.youtube.com/watch?v=cmi_cGmILo0", "Video")</f>
        <v/>
      </c>
      <c r="B5615" t="inlineStr">
        <is>
          <t>5:43</t>
        </is>
      </c>
      <c r="C5615" t="inlineStr">
        <is>
          <t>it back up a bit which I saw some of the</t>
        </is>
      </c>
      <c r="D5615">
        <f>HYPERLINK("https://www.youtube.com/watch?v=cmi_cGmILo0&amp;t=343s", "Go to time")</f>
        <v/>
      </c>
    </row>
    <row r="5616">
      <c r="A5616">
        <f>HYPERLINK("https://www.youtube.com/watch?v=cmi_cGmILo0", "Video")</f>
        <v/>
      </c>
      <c r="B5616" t="inlineStr">
        <is>
          <t>7:08</t>
        </is>
      </c>
      <c r="C5616" t="inlineStr">
        <is>
          <t>bit more ridiculous like the</t>
        </is>
      </c>
      <c r="D5616">
        <f>HYPERLINK("https://www.youtube.com/watch?v=cmi_cGmILo0&amp;t=428s", "Go to time")</f>
        <v/>
      </c>
    </row>
    <row r="5617">
      <c r="A5617">
        <f>HYPERLINK("https://www.youtube.com/watch?v=cmi_cGmILo0", "Video")</f>
        <v/>
      </c>
      <c r="B5617" t="inlineStr">
        <is>
          <t>15:02</t>
        </is>
      </c>
      <c r="C5617" t="inlineStr">
        <is>
          <t>bit later on um I will say something</t>
        </is>
      </c>
      <c r="D5617">
        <f>HYPERLINK("https://www.youtube.com/watch?v=cmi_cGmILo0&amp;t=902s", "Go to time")</f>
        <v/>
      </c>
    </row>
    <row r="5618">
      <c r="A5618">
        <f>HYPERLINK("https://www.youtube.com/watch?v=cmi_cGmILo0", "Video")</f>
        <v/>
      </c>
      <c r="B5618" t="inlineStr">
        <is>
          <t>27:14</t>
        </is>
      </c>
      <c r="C5618" t="inlineStr">
        <is>
          <t>for the camera make it a good bit that</t>
        </is>
      </c>
      <c r="D5618">
        <f>HYPERLINK("https://www.youtube.com/watch?v=cmi_cGmILo0&amp;t=1634s", "Go to time")</f>
        <v/>
      </c>
    </row>
    <row r="5619">
      <c r="A5619">
        <f>HYPERLINK("https://www.youtube.com/watch?v=cmi_cGmILo0", "Video")</f>
        <v/>
      </c>
      <c r="B5619" t="inlineStr">
        <is>
          <t>30:42</t>
        </is>
      </c>
      <c r="C5619" t="inlineStr">
        <is>
          <t>have like a little bit of a political</t>
        </is>
      </c>
      <c r="D5619">
        <f>HYPERLINK("https://www.youtube.com/watch?v=cmi_cGmILo0&amp;t=1842s", "Go to time")</f>
        <v/>
      </c>
    </row>
    <row r="5620">
      <c r="A5620">
        <f>HYPERLINK("https://www.youtube.com/watch?v=cmi_cGmILo0", "Video")</f>
        <v/>
      </c>
      <c r="B5620" t="inlineStr">
        <is>
          <t>38:03</t>
        </is>
      </c>
      <c r="C5620" t="inlineStr">
        <is>
          <t>little bit sad but still I'm like I know</t>
        </is>
      </c>
      <c r="D5620">
        <f>HYPERLINK("https://www.youtube.com/watch?v=cmi_cGmILo0&amp;t=2283s", "Go to time")</f>
        <v/>
      </c>
    </row>
    <row r="5621">
      <c r="A5621">
        <f>HYPERLINK("https://www.youtube.com/watch?v=cmi_cGmILo0", "Video")</f>
        <v/>
      </c>
      <c r="B5621" t="inlineStr">
        <is>
          <t>44:15</t>
        </is>
      </c>
      <c r="C5621" t="inlineStr">
        <is>
          <t>going to be visiting for a little bit</t>
        </is>
      </c>
      <c r="D5621">
        <f>HYPERLINK("https://www.youtube.com/watch?v=cmi_cGmILo0&amp;t=2655s", "Go to time")</f>
        <v/>
      </c>
    </row>
    <row r="5622">
      <c r="A5622">
        <f>HYPERLINK("https://www.youtube.com/watch?v=cmi_cGmILo0", "Video")</f>
        <v/>
      </c>
      <c r="B5622" t="inlineStr">
        <is>
          <t>46:03</t>
        </is>
      </c>
      <c r="C5622" t="inlineStr">
        <is>
          <t>creating my own whole exhibit and back</t>
        </is>
      </c>
      <c r="D5622">
        <f>HYPERLINK("https://www.youtube.com/watch?v=cmi_cGmILo0&amp;t=2763s", "Go to time")</f>
        <v/>
      </c>
    </row>
    <row r="5623">
      <c r="A5623">
        <f>HYPERLINK("https://www.youtube.com/watch?v=cmi_cGmILo0", "Video")</f>
        <v/>
      </c>
      <c r="B5623" t="inlineStr">
        <is>
          <t>47:24</t>
        </is>
      </c>
      <c r="C5623" t="inlineStr">
        <is>
          <t>panel with a guy that knows a little bit</t>
        </is>
      </c>
      <c r="D5623">
        <f>HYPERLINK("https://www.youtube.com/watch?v=cmi_cGmILo0&amp;t=2844s", "Go to time")</f>
        <v/>
      </c>
    </row>
    <row r="5624">
      <c r="A5624">
        <f>HYPERLINK("https://www.youtube.com/watch?v=Ynyg1W-uWiE", "Video")</f>
        <v/>
      </c>
      <c r="B5624" t="inlineStr">
        <is>
          <t>1:47</t>
        </is>
      </c>
      <c r="C5624" t="inlineStr">
        <is>
          <t>exhibition one captured as a pup and</t>
        </is>
      </c>
      <c r="D5624">
        <f>HYPERLINK("https://www.youtube.com/watch?v=Ynyg1W-uWiE&amp;t=107s", "Go to time")</f>
        <v/>
      </c>
    </row>
    <row r="5625">
      <c r="A5625">
        <f>HYPERLINK("https://www.youtube.com/watch?v=I6jsTtEhgAk", "Video")</f>
        <v/>
      </c>
      <c r="B5625" t="inlineStr">
        <is>
          <t>1:29</t>
        </is>
      </c>
      <c r="C5625" t="inlineStr">
        <is>
          <t>bit</t>
        </is>
      </c>
      <c r="D5625">
        <f>HYPERLINK("https://www.youtube.com/watch?v=I6jsTtEhgAk&amp;t=89s", "Go to time")</f>
        <v/>
      </c>
    </row>
    <row r="5626">
      <c r="A5626">
        <f>HYPERLINK("https://www.youtube.com/watch?v=CeluWaT654I", "Video")</f>
        <v/>
      </c>
      <c r="B5626" t="inlineStr">
        <is>
          <t>0:19</t>
        </is>
      </c>
      <c r="C5626" t="inlineStr">
        <is>
          <t>exhibit is canceled why people are</t>
        </is>
      </c>
      <c r="D5626">
        <f>HYPERLINK("https://www.youtube.com/watch?v=CeluWaT654I&amp;t=19s", "Go to time")</f>
        <v/>
      </c>
    </row>
    <row r="5627">
      <c r="A5627">
        <f>HYPERLINK("https://www.youtube.com/watch?v=CeluWaT654I", "Video")</f>
        <v/>
      </c>
      <c r="B5627" t="inlineStr">
        <is>
          <t>0:42</t>
        </is>
      </c>
      <c r="C5627" t="inlineStr">
        <is>
          <t>that the final exhibit be called post</t>
        </is>
      </c>
      <c r="D5627">
        <f>HYPERLINK("https://www.youtube.com/watch?v=CeluWaT654I&amp;t=42s", "Go to time")</f>
        <v/>
      </c>
    </row>
    <row r="5628">
      <c r="A5628">
        <f>HYPERLINK("https://www.youtube.com/watch?v=IGVFR8sxCk0", "Video")</f>
        <v/>
      </c>
      <c r="B5628" t="inlineStr">
        <is>
          <t>0:22</t>
        </is>
      </c>
      <c r="C5628" t="inlineStr">
        <is>
          <t>disturbed its habitat.</t>
        </is>
      </c>
      <c r="D5628">
        <f>HYPERLINK("https://www.youtube.com/watch?v=IGVFR8sxCk0&amp;t=22s", "Go to time")</f>
        <v/>
      </c>
    </row>
    <row r="5629">
      <c r="A5629">
        <f>HYPERLINK("https://www.youtube.com/watch?v=qzsyH89h84A", "Video")</f>
        <v/>
      </c>
      <c r="B5629" t="inlineStr">
        <is>
          <t>1:54</t>
        </is>
      </c>
      <c r="C5629" t="inlineStr">
        <is>
          <t>balls no biting</t>
        </is>
      </c>
      <c r="D5629">
        <f>HYPERLINK("https://www.youtube.com/watch?v=qzsyH89h84A&amp;t=114s", "Go to time")</f>
        <v/>
      </c>
    </row>
    <row r="5630">
      <c r="A5630">
        <f>HYPERLINK("https://www.youtube.com/watch?v=ECuk_JvrU5Y", "Video")</f>
        <v/>
      </c>
      <c r="B5630" t="inlineStr">
        <is>
          <t>16:16</t>
        </is>
      </c>
      <c r="C5630" t="inlineStr">
        <is>
          <t>class 4 is prohibited on Pur</t>
        </is>
      </c>
      <c r="D5630">
        <f>HYPERLINK("https://www.youtube.com/watch?v=ECuk_JvrU5Y&amp;t=976s", "Go to time")</f>
        <v/>
      </c>
    </row>
    <row r="5631">
      <c r="A5631">
        <f>HYPERLINK("https://www.youtube.com/watch?v=ECuk_JvrU5Y", "Video")</f>
        <v/>
      </c>
      <c r="B5631" t="inlineStr">
        <is>
          <t>16:41</t>
        </is>
      </c>
      <c r="C5631" t="inlineStr">
        <is>
          <t>4 is prohibited on Purge Night you notop</t>
        </is>
      </c>
      <c r="D5631">
        <f>HYPERLINK("https://www.youtube.com/watch?v=ECuk_JvrU5Y&amp;t=1001s", "Go to time")</f>
        <v/>
      </c>
    </row>
    <row r="5632">
      <c r="A5632">
        <f>HYPERLINK("https://www.youtube.com/watch?v=L6HWF_-Vmbw", "Video")</f>
        <v/>
      </c>
      <c r="B5632" t="inlineStr">
        <is>
          <t>1:05</t>
        </is>
      </c>
      <c r="C5632" t="inlineStr">
        <is>
          <t>bit once we like this with a head</t>
        </is>
      </c>
      <c r="D5632">
        <f>HYPERLINK("https://www.youtube.com/watch?v=L6HWF_-Vmbw&amp;t=65s", "Go to time")</f>
        <v/>
      </c>
    </row>
    <row r="5633">
      <c r="A5633">
        <f>HYPERLINK("https://www.youtube.com/watch?v=0WtBf-O6dvU", "Video")</f>
        <v/>
      </c>
      <c r="B5633" t="inlineStr">
        <is>
          <t>0:06</t>
        </is>
      </c>
      <c r="C5633" t="inlineStr">
        <is>
          <t>with in just about two bites</t>
        </is>
      </c>
      <c r="D5633">
        <f>HYPERLINK("https://www.youtube.com/watch?v=0WtBf-O6dvU&amp;t=6s", "Go to time")</f>
        <v/>
      </c>
    </row>
    <row r="5634">
      <c r="A5634">
        <f>HYPERLINK("https://www.youtube.com/watch?v=3lxLsyE0CRo", "Video")</f>
        <v/>
      </c>
      <c r="B5634" t="inlineStr">
        <is>
          <t>1:14</t>
        </is>
      </c>
      <c r="C5634" t="inlineStr">
        <is>
          <t>that's drill bit that's the next book</t>
        </is>
      </c>
      <c r="D5634">
        <f>HYPERLINK("https://www.youtube.com/watch?v=3lxLsyE0CRo&amp;t=74s", "Go to time")</f>
        <v/>
      </c>
    </row>
    <row r="5635">
      <c r="A5635">
        <f>HYPERLINK("https://www.youtube.com/watch?v=aEIyGZC3994", "Video")</f>
        <v/>
      </c>
      <c r="B5635" t="inlineStr">
        <is>
          <t>1:28</t>
        </is>
      </c>
      <c r="C5635" t="inlineStr">
        <is>
          <t>being you that you become a little bit</t>
        </is>
      </c>
      <c r="D5635">
        <f>HYPERLINK("https://www.youtube.com/watch?v=aEIyGZC3994&amp;t=88s", "Go to time")</f>
        <v/>
      </c>
    </row>
    <row r="5636">
      <c r="A5636">
        <f>HYPERLINK("https://www.youtube.com/watch?v=PxtWLnapq24", "Video")</f>
        <v/>
      </c>
      <c r="B5636" t="inlineStr">
        <is>
          <t>1:06</t>
        </is>
      </c>
      <c r="C5636" t="inlineStr">
        <is>
          <t>maybe I should have been a little bit</t>
        </is>
      </c>
      <c r="D5636">
        <f>HYPERLINK("https://www.youtube.com/watch?v=PxtWLnapq24&amp;t=66s", "Go to time")</f>
        <v/>
      </c>
    </row>
    <row r="5637">
      <c r="A5637">
        <f>HYPERLINK("https://www.youtube.com/watch?v=-8JVIc4wokM", "Video")</f>
        <v/>
      </c>
      <c r="B5637" t="inlineStr">
        <is>
          <t>1:30</t>
        </is>
      </c>
      <c r="C5637" t="inlineStr">
        <is>
          <t>chomping at the bit for this moment um</t>
        </is>
      </c>
      <c r="D5637">
        <f>HYPERLINK("https://www.youtube.com/watch?v=-8JVIc4wokM&amp;t=90s", "Go to time")</f>
        <v/>
      </c>
    </row>
    <row r="5638">
      <c r="A5638">
        <f>HYPERLINK("https://www.youtube.com/watch?v=-8JVIc4wokM", "Video")</f>
        <v/>
      </c>
      <c r="B5638" t="inlineStr">
        <is>
          <t>5:22</t>
        </is>
      </c>
      <c r="C5638" t="inlineStr">
        <is>
          <t>a little bit of yellow so when you look</t>
        </is>
      </c>
      <c r="D5638">
        <f>HYPERLINK("https://www.youtube.com/watch?v=-8JVIc4wokM&amp;t=322s", "Go to time")</f>
        <v/>
      </c>
    </row>
    <row r="5639">
      <c r="A5639">
        <f>HYPERLINK("https://www.youtube.com/watch?v=-8JVIc4wokM", "Video")</f>
        <v/>
      </c>
      <c r="B5639" t="inlineStr">
        <is>
          <t>7:09</t>
        </is>
      </c>
      <c r="C5639" t="inlineStr">
        <is>
          <t>Colin and we get into a little bit more</t>
        </is>
      </c>
      <c r="D5639">
        <f>HYPERLINK("https://www.youtube.com/watch?v=-8JVIc4wokM&amp;t=429s", "Go to time")</f>
        <v/>
      </c>
    </row>
    <row r="5640">
      <c r="A5640">
        <f>HYPERLINK("https://www.youtube.com/watch?v=-8JVIc4wokM", "Video")</f>
        <v/>
      </c>
      <c r="B5640" t="inlineStr">
        <is>
          <t>7:56</t>
        </is>
      </c>
      <c r="C5640" t="inlineStr">
        <is>
          <t>little bit about telling their story in</t>
        </is>
      </c>
      <c r="D5640">
        <f>HYPERLINK("https://www.youtube.com/watch?v=-8JVIc4wokM&amp;t=476s", "Go to time")</f>
        <v/>
      </c>
    </row>
    <row r="5641">
      <c r="A5641">
        <f>HYPERLINK("https://www.youtube.com/watch?v=-8JVIc4wokM", "Video")</f>
        <v/>
      </c>
      <c r="B5641" t="inlineStr">
        <is>
          <t>9:13</t>
        </is>
      </c>
      <c r="C5641" t="inlineStr">
        <is>
          <t>bit more like those Indian influences</t>
        </is>
      </c>
      <c r="D5641">
        <f>HYPERLINK("https://www.youtube.com/watch?v=-8JVIc4wokM&amp;t=553s", "Go to time")</f>
        <v/>
      </c>
    </row>
    <row r="5642">
      <c r="A5642">
        <f>HYPERLINK("https://www.youtube.com/watch?v=-8JVIc4wokM", "Video")</f>
        <v/>
      </c>
      <c r="B5642" t="inlineStr">
        <is>
          <t>10:11</t>
        </is>
      </c>
      <c r="C5642" t="inlineStr">
        <is>
          <t>little bit of gold but then there's like</t>
        </is>
      </c>
      <c r="D5642">
        <f>HYPERLINK("https://www.youtube.com/watch?v=-8JVIc4wokM&amp;t=611s", "Go to time")</f>
        <v/>
      </c>
    </row>
    <row r="5643">
      <c r="A5643">
        <f>HYPERLINK("https://www.youtube.com/watch?v=-8JVIc4wokM", "Video")</f>
        <v/>
      </c>
      <c r="B5643" t="inlineStr">
        <is>
          <t>11:46</t>
        </is>
      </c>
      <c r="C5643" t="inlineStr">
        <is>
          <t>feels a little bit on her back foot</t>
        </is>
      </c>
      <c r="D5643">
        <f>HYPERLINK("https://www.youtube.com/watch?v=-8JVIc4wokM&amp;t=706s", "Go to time")</f>
        <v/>
      </c>
    </row>
    <row r="5644">
      <c r="A5644">
        <f>HYPERLINK("https://www.youtube.com/watch?v=-8JVIc4wokM", "Video")</f>
        <v/>
      </c>
      <c r="B5644" t="inlineStr">
        <is>
          <t>13:19</t>
        </is>
      </c>
      <c r="C5644" t="inlineStr">
        <is>
          <t>place where we differ a little bit on</t>
        </is>
      </c>
      <c r="D5644">
        <f>HYPERLINK("https://www.youtube.com/watch?v=-8JVIc4wokM&amp;t=799s", "Go to time")</f>
        <v/>
      </c>
    </row>
    <row r="5645">
      <c r="A5645">
        <f>HYPERLINK("https://www.youtube.com/watch?v=-8JVIc4wokM", "Video")</f>
        <v/>
      </c>
      <c r="B5645" t="inlineStr">
        <is>
          <t>13:49</t>
        </is>
      </c>
      <c r="C5645" t="inlineStr">
        <is>
          <t>going to get to know a little bit better</t>
        </is>
      </c>
      <c r="D5645">
        <f>HYPERLINK("https://www.youtube.com/watch?v=-8JVIc4wokM&amp;t=829s", "Go to time")</f>
        <v/>
      </c>
    </row>
    <row r="5646">
      <c r="A5646">
        <f>HYPERLINK("https://www.youtube.com/watch?v=-8JVIc4wokM", "Video")</f>
        <v/>
      </c>
      <c r="B5646" t="inlineStr">
        <is>
          <t>14:04</t>
        </is>
      </c>
      <c r="C5646" t="inlineStr">
        <is>
          <t>um a little bit further to the side and</t>
        </is>
      </c>
      <c r="D5646">
        <f>HYPERLINK("https://www.youtube.com/watch?v=-8JVIc4wokM&amp;t=844s", "Go to time")</f>
        <v/>
      </c>
    </row>
    <row r="5647">
      <c r="A5647">
        <f>HYPERLINK("https://www.youtube.com/watch?v=-8JVIc4wokM", "Video")</f>
        <v/>
      </c>
      <c r="B5647" t="inlineStr">
        <is>
          <t>16:37</t>
        </is>
      </c>
      <c r="C5647" t="inlineStr">
        <is>
          <t>bites yeah in most dresses there's more</t>
        </is>
      </c>
      <c r="D5647">
        <f>HYPERLINK("https://www.youtube.com/watch?v=-8JVIc4wokM&amp;t=997s", "Go to time")</f>
        <v/>
      </c>
    </row>
    <row r="5648">
      <c r="A5648">
        <f>HYPERLINK("https://www.youtube.com/watch?v=-8JVIc4wokM", "Video")</f>
        <v/>
      </c>
      <c r="B5648" t="inlineStr">
        <is>
          <t>18:10</t>
        </is>
      </c>
      <c r="C5648" t="inlineStr">
        <is>
          <t>he also gets a bit of glow up this</t>
        </is>
      </c>
      <c r="D5648">
        <f>HYPERLINK("https://www.youtube.com/watch?v=-8JVIc4wokM&amp;t=1090s", "Go to time")</f>
        <v/>
      </c>
    </row>
    <row r="5649">
      <c r="A5649">
        <f>HYPERLINK("https://www.youtube.com/watch?v=-8JVIc4wokM", "Video")</f>
        <v/>
      </c>
      <c r="B5649" t="inlineStr">
        <is>
          <t>18:17</t>
        </is>
      </c>
      <c r="C5649" t="inlineStr">
        <is>
          <t>to talk a little bit about because he</t>
        </is>
      </c>
      <c r="D5649">
        <f>HYPERLINK("https://www.youtube.com/watch?v=-8JVIc4wokM&amp;t=1097s", "Go to time")</f>
        <v/>
      </c>
    </row>
    <row r="5650">
      <c r="A5650">
        <f>HYPERLINK("https://www.youtube.com/watch?v=YDI9KF6rhmE", "Video")</f>
        <v/>
      </c>
      <c r="B5650" t="inlineStr">
        <is>
          <t>0:43</t>
        </is>
      </c>
      <c r="C5650" t="inlineStr">
        <is>
          <t>his o-bit was printed a few weeks later</t>
        </is>
      </c>
      <c r="D5650">
        <f>HYPERLINK("https://www.youtube.com/watch?v=YDI9KF6rhmE&amp;t=43s", "Go to time")</f>
        <v/>
      </c>
    </row>
    <row r="5651">
      <c r="A5651">
        <f>HYPERLINK("https://www.youtube.com/watch?v=4_ii_OkB96E", "Video")</f>
        <v/>
      </c>
      <c r="B5651" t="inlineStr">
        <is>
          <t>1:39</t>
        </is>
      </c>
      <c r="C5651" t="inlineStr">
        <is>
          <t>bits it's ridiculous</t>
        </is>
      </c>
      <c r="D5651">
        <f>HYPERLINK("https://www.youtube.com/watch?v=4_ii_OkB96E&amp;t=99s", "Go to time")</f>
        <v/>
      </c>
    </row>
    <row r="5652">
      <c r="A5652">
        <f>HYPERLINK("https://www.youtube.com/watch?v=uY8aa5RA4bM", "Video")</f>
        <v/>
      </c>
      <c r="B5652" t="inlineStr">
        <is>
          <t>1:03</t>
        </is>
      </c>
      <c r="C5652" t="inlineStr">
        <is>
          <t>biting that guy why is that happening</t>
        </is>
      </c>
      <c r="D5652">
        <f>HYPERLINK("https://www.youtube.com/watch?v=uY8aa5RA4bM&amp;t=63s", "Go to time")</f>
        <v/>
      </c>
    </row>
    <row r="5653">
      <c r="A5653">
        <f>HYPERLINK("https://www.youtube.com/watch?v=96pSGRvBg3I", "Video")</f>
        <v/>
      </c>
      <c r="B5653" t="inlineStr">
        <is>
          <t>0:00</t>
        </is>
      </c>
      <c r="C5653" t="inlineStr">
        <is>
          <t>so I tinkered with our sleigh a bit hold</t>
        </is>
      </c>
      <c r="D5653">
        <f>HYPERLINK("https://www.youtube.com/watch?v=96pSGRvBg3I&amp;t=0s", "Go to time")</f>
        <v/>
      </c>
    </row>
    <row r="5654">
      <c r="A5654">
        <f>HYPERLINK("https://www.youtube.com/watch?v=bVK-KrmIp6g", "Video")</f>
        <v/>
      </c>
      <c r="B5654" t="inlineStr">
        <is>
          <t>2:30</t>
        </is>
      </c>
      <c r="C5654" t="inlineStr">
        <is>
          <t>the rabbit comes out of the hole</t>
        </is>
      </c>
      <c r="D5654">
        <f>HYPERLINK("https://www.youtube.com/watch?v=bVK-KrmIp6g&amp;t=150s", "Go to time")</f>
        <v/>
      </c>
    </row>
    <row r="5655">
      <c r="A5655">
        <f>HYPERLINK("https://www.youtube.com/watch?v=KYEP1OgoNGM", "Video")</f>
        <v/>
      </c>
      <c r="B5655" t="inlineStr">
        <is>
          <t>0:30</t>
        </is>
      </c>
      <c r="C5655" t="inlineStr">
        <is>
          <t>parodies generally have a bit more love</t>
        </is>
      </c>
      <c r="D5655">
        <f>HYPERLINK("https://www.youtube.com/watch?v=KYEP1OgoNGM&amp;t=30s", "Go to time")</f>
        <v/>
      </c>
    </row>
    <row r="5656">
      <c r="A5656">
        <f>HYPERLINK("https://www.youtube.com/watch?v=KYEP1OgoNGM", "Video")</f>
        <v/>
      </c>
      <c r="B5656" t="inlineStr">
        <is>
          <t>7:25</t>
        </is>
      </c>
      <c r="C5656" t="inlineStr">
        <is>
          <t>it's not habit-forming</t>
        </is>
      </c>
      <c r="D5656">
        <f>HYPERLINK("https://www.youtube.com/watch?v=KYEP1OgoNGM&amp;t=445s", "Go to time")</f>
        <v/>
      </c>
    </row>
    <row r="5657">
      <c r="A5657">
        <f>HYPERLINK("https://www.youtube.com/watch?v=IH9FesauaXo", "Video")</f>
        <v/>
      </c>
      <c r="B5657" t="inlineStr">
        <is>
          <t>0:25</t>
        </is>
      </c>
      <c r="C5657" t="inlineStr">
        <is>
          <t>ambitions mhm</t>
        </is>
      </c>
      <c r="D5657">
        <f>HYPERLINK("https://www.youtube.com/watch?v=IH9FesauaXo&amp;t=25s", "Go to time")</f>
        <v/>
      </c>
    </row>
    <row r="5658">
      <c r="A5658">
        <f>HYPERLINK("https://www.youtube.com/watch?v=IH9FesauaXo", "Video")</f>
        <v/>
      </c>
      <c r="B5658" t="inlineStr">
        <is>
          <t>0:29</t>
        </is>
      </c>
      <c r="C5658" t="inlineStr">
        <is>
          <t>about that it's kind of ambitious right</t>
        </is>
      </c>
      <c r="D5658">
        <f>HYPERLINK("https://www.youtube.com/watch?v=IH9FesauaXo&amp;t=29s", "Go to time")</f>
        <v/>
      </c>
    </row>
    <row r="5659">
      <c r="A5659">
        <f>HYPERLINK("https://www.youtube.com/watch?v=0u5s8U5ggc8", "Video")</f>
        <v/>
      </c>
      <c r="B5659" t="inlineStr">
        <is>
          <t>0:18</t>
        </is>
      </c>
      <c r="C5659" t="inlineStr">
        <is>
          <t>what maybe you like a little bit of</t>
        </is>
      </c>
      <c r="D5659">
        <f>HYPERLINK("https://www.youtube.com/watch?v=0u5s8U5ggc8&amp;t=18s", "Go to time")</f>
        <v/>
      </c>
    </row>
    <row r="5660">
      <c r="A5660">
        <f>HYPERLINK("https://www.youtube.com/watch?v=5-fFksW8Yv8", "Video")</f>
        <v/>
      </c>
      <c r="B5660" t="inlineStr">
        <is>
          <t>1:42</t>
        </is>
      </c>
      <c r="C5660" t="inlineStr">
        <is>
          <t>just a little bit</t>
        </is>
      </c>
      <c r="D5660">
        <f>HYPERLINK("https://www.youtube.com/watch?v=5-fFksW8Yv8&amp;t=102s", "Go to time")</f>
        <v/>
      </c>
    </row>
    <row r="5661">
      <c r="A5661">
        <f>HYPERLINK("https://www.youtube.com/watch?v=5WuMS6bkak0", "Video")</f>
        <v/>
      </c>
      <c r="B5661" t="inlineStr">
        <is>
          <t>3:06</t>
        </is>
      </c>
      <c r="C5661" t="inlineStr">
        <is>
          <t>bite your head off</t>
        </is>
      </c>
      <c r="D5661">
        <f>HYPERLINK("https://www.youtube.com/watch?v=5WuMS6bkak0&amp;t=186s", "Go to time")</f>
        <v/>
      </c>
    </row>
    <row r="5662">
      <c r="A5662">
        <f>HYPERLINK("https://www.youtube.com/watch?v=FF374xT3k6k", "Video")</f>
        <v/>
      </c>
      <c r="B5662" t="inlineStr">
        <is>
          <t>0:09</t>
        </is>
      </c>
      <c r="C5662" t="inlineStr">
        <is>
          <t>bit like</t>
        </is>
      </c>
      <c r="D5662">
        <f>HYPERLINK("https://www.youtube.com/watch?v=FF374xT3k6k&amp;t=9s", "Go to time")</f>
        <v/>
      </c>
    </row>
    <row r="5663">
      <c r="A5663">
        <f>HYPERLINK("https://www.youtube.com/watch?v=s_gVz12ZoHg", "Video")</f>
        <v/>
      </c>
      <c r="B5663" t="inlineStr">
        <is>
          <t>1:41</t>
        </is>
      </c>
      <c r="C5663" t="inlineStr">
        <is>
          <t>bit the is that oh and then</t>
        </is>
      </c>
      <c r="D5663">
        <f>HYPERLINK("https://www.youtube.com/watch?v=s_gVz12ZoHg&amp;t=101s", "Go to time")</f>
        <v/>
      </c>
    </row>
    <row r="5664">
      <c r="A5664">
        <f>HYPERLINK("https://www.youtube.com/watch?v=jcqobmNUJ0c", "Video")</f>
        <v/>
      </c>
      <c r="B5664" t="inlineStr">
        <is>
          <t>1:15</t>
        </is>
      </c>
      <c r="C5664" t="inlineStr">
        <is>
          <t>everywhere fast Frost bite's going to</t>
        </is>
      </c>
      <c r="D5664">
        <f>HYPERLINK("https://www.youtube.com/watch?v=jcqobmNUJ0c&amp;t=75s", "Go to time")</f>
        <v/>
      </c>
    </row>
    <row r="5665">
      <c r="A5665">
        <f>HYPERLINK("https://www.youtube.com/watch?v=XbC8z3TYbxA", "Video")</f>
        <v/>
      </c>
      <c r="B5665" t="inlineStr">
        <is>
          <t>2:51</t>
        </is>
      </c>
      <c r="C5665" t="inlineStr">
        <is>
          <t>till the prohibition of</t>
        </is>
      </c>
      <c r="D5665">
        <f>HYPERLINK("https://www.youtube.com/watch?v=XbC8z3TYbxA&amp;t=171s", "Go to time")</f>
        <v/>
      </c>
    </row>
    <row r="5666">
      <c r="A5666">
        <f>HYPERLINK("https://www.youtube.com/watch?v=CYWwwD2JzeI", "Video")</f>
        <v/>
      </c>
      <c r="B5666" t="inlineStr">
        <is>
          <t>0:32</t>
        </is>
      </c>
      <c r="C5666" t="inlineStr">
        <is>
          <t>blow your itty bitty loads into your</t>
        </is>
      </c>
      <c r="D5666">
        <f>HYPERLINK("https://www.youtube.com/watch?v=CYWwwD2JzeI&amp;t=32s", "Go to time")</f>
        <v/>
      </c>
    </row>
    <row r="5667">
      <c r="A5667">
        <f>HYPERLINK("https://www.youtube.com/watch?v=1ff2u5Qi1E0", "Video")</f>
        <v/>
      </c>
      <c r="B5667" t="inlineStr">
        <is>
          <t>1:23</t>
        </is>
      </c>
      <c r="C5667" t="inlineStr">
        <is>
          <t>loose duties clean the girl out a bit</t>
        </is>
      </c>
      <c r="D5667">
        <f>HYPERLINK("https://www.youtube.com/watch?v=1ff2u5Qi1E0&amp;t=83s", "Go to time")</f>
        <v/>
      </c>
    </row>
    <row r="5668">
      <c r="A5668">
        <f>HYPERLINK("https://www.youtube.com/watch?v=MJiBGLuhHGg", "Video")</f>
        <v/>
      </c>
      <c r="B5668" t="inlineStr">
        <is>
          <t>0:46</t>
        </is>
      </c>
      <c r="C5668" t="inlineStr">
        <is>
          <t>chicken or the egg Tobit meal no let's</t>
        </is>
      </c>
      <c r="D5668">
        <f>HYPERLINK("https://www.youtube.com/watch?v=MJiBGLuhHGg&amp;t=46s", "Go to time")</f>
        <v/>
      </c>
    </row>
    <row r="5669">
      <c r="A5669">
        <f>HYPERLINK("https://www.youtube.com/watch?v=FsUq7WgVc8E", "Video")</f>
        <v/>
      </c>
      <c r="B5669" t="inlineStr">
        <is>
          <t>0:54</t>
        </is>
      </c>
      <c r="C5669" t="inlineStr">
        <is>
          <t>everything I know a little bit about a</t>
        </is>
      </c>
      <c r="D5669">
        <f>HYPERLINK("https://www.youtube.com/watch?v=FsUq7WgVc8E&amp;t=54s", "Go to time")</f>
        <v/>
      </c>
    </row>
    <row r="5670">
      <c r="A5670">
        <f>HYPERLINK("https://www.youtube.com/watch?v=FsUq7WgVc8E", "Video")</f>
        <v/>
      </c>
      <c r="B5670" t="inlineStr">
        <is>
          <t>0:55</t>
        </is>
      </c>
      <c r="C5670" t="inlineStr">
        <is>
          <t>little bit okay tell them something Joe</t>
        </is>
      </c>
      <c r="D5670">
        <f>HYPERLINK("https://www.youtube.com/watch?v=FsUq7WgVc8E&amp;t=55s", "Go to time")</f>
        <v/>
      </c>
    </row>
    <row r="5671">
      <c r="A5671">
        <f>HYPERLINK("https://www.youtube.com/watch?v=IWuIntFf4uk", "Video")</f>
        <v/>
      </c>
      <c r="B5671" t="inlineStr">
        <is>
          <t>4:03</t>
        </is>
      </c>
      <c r="C5671" t="inlineStr">
        <is>
          <t>because we were talking a little bit in</t>
        </is>
      </c>
      <c r="D5671">
        <f>HYPERLINK("https://www.youtube.com/watch?v=IWuIntFf4uk&amp;t=243s", "Go to time")</f>
        <v/>
      </c>
    </row>
    <row r="5672">
      <c r="A5672">
        <f>HYPERLINK("https://www.youtube.com/watch?v=IWuIntFf4uk", "Video")</f>
        <v/>
      </c>
      <c r="B5672" t="inlineStr">
        <is>
          <t>4:49</t>
        </is>
      </c>
      <c r="C5672" t="inlineStr">
        <is>
          <t>Twilight a little bit when she's like no</t>
        </is>
      </c>
      <c r="D5672">
        <f>HYPERLINK("https://www.youtube.com/watch?v=IWuIntFf4uk&amp;t=289s", "Go to time")</f>
        <v/>
      </c>
    </row>
    <row r="5673">
      <c r="A5673">
        <f>HYPERLINK("https://www.youtube.com/watch?v=IWuIntFf4uk", "Video")</f>
        <v/>
      </c>
      <c r="B5673" t="inlineStr">
        <is>
          <t>16:18</t>
        </is>
      </c>
      <c r="C5673" t="inlineStr">
        <is>
          <t>he's having a little bit of fun he's</t>
        </is>
      </c>
      <c r="D5673">
        <f>HYPERLINK("https://www.youtube.com/watch?v=IWuIntFf4uk&amp;t=978s", "Go to time")</f>
        <v/>
      </c>
    </row>
    <row r="5674">
      <c r="A5674">
        <f>HYPERLINK("https://www.youtube.com/watch?v=IWuIntFf4uk", "Video")</f>
        <v/>
      </c>
      <c r="B5674" t="inlineStr">
        <is>
          <t>16:20</t>
        </is>
      </c>
      <c r="C5674" t="inlineStr">
        <is>
          <t>having a little bit of fun you know I</t>
        </is>
      </c>
      <c r="D5674">
        <f>HYPERLINK("https://www.youtube.com/watch?v=IWuIntFf4uk&amp;t=980s", "Go to time")</f>
        <v/>
      </c>
    </row>
    <row r="5675">
      <c r="A5675">
        <f>HYPERLINK("https://www.youtube.com/watch?v=IWuIntFf4uk", "Video")</f>
        <v/>
      </c>
      <c r="B5675" t="inlineStr">
        <is>
          <t>19:30</t>
        </is>
      </c>
      <c r="C5675" t="inlineStr">
        <is>
          <t>bit more exotic exactly like we're gonna</t>
        </is>
      </c>
      <c r="D5675">
        <f>HYPERLINK("https://www.youtube.com/watch?v=IWuIntFf4uk&amp;t=1170s", "Go to time")</f>
        <v/>
      </c>
    </row>
    <row r="5676">
      <c r="A5676">
        <f>HYPERLINK("https://www.youtube.com/watch?v=IWuIntFf4uk", "Video")</f>
        <v/>
      </c>
      <c r="B5676" t="inlineStr">
        <is>
          <t>21:08</t>
        </is>
      </c>
      <c r="C5676" t="inlineStr">
        <is>
          <t>like reword this a little bit better</t>
        </is>
      </c>
      <c r="D5676">
        <f>HYPERLINK("https://www.youtube.com/watch?v=IWuIntFf4uk&amp;t=1268s", "Go to time")</f>
        <v/>
      </c>
    </row>
    <row r="5677">
      <c r="A5677">
        <f>HYPERLINK("https://www.youtube.com/watch?v=IWuIntFf4uk", "Video")</f>
        <v/>
      </c>
      <c r="B5677" t="inlineStr">
        <is>
          <t>27:07</t>
        </is>
      </c>
      <c r="C5677" t="inlineStr">
        <is>
          <t>this acting did feel a little bit like</t>
        </is>
      </c>
      <c r="D5677">
        <f>HYPERLINK("https://www.youtube.com/watch?v=IWuIntFf4uk&amp;t=1627s", "Go to time")</f>
        <v/>
      </c>
    </row>
    <row r="5678">
      <c r="A5678">
        <f>HYPERLINK("https://www.youtube.com/watch?v=IWuIntFf4uk", "Video")</f>
        <v/>
      </c>
      <c r="B5678" t="inlineStr">
        <is>
          <t>31:07</t>
        </is>
      </c>
      <c r="C5678" t="inlineStr">
        <is>
          <t>stumbled a little bit with this one out</t>
        </is>
      </c>
      <c r="D5678">
        <f>HYPERLINK("https://www.youtube.com/watch?v=IWuIntFf4uk&amp;t=1867s", "Go to time")</f>
        <v/>
      </c>
    </row>
    <row r="5679">
      <c r="A5679">
        <f>HYPERLINK("https://www.youtube.com/watch?v=IWuIntFf4uk", "Video")</f>
        <v/>
      </c>
      <c r="B5679" t="inlineStr">
        <is>
          <t>32:31</t>
        </is>
      </c>
      <c r="C5679" t="inlineStr">
        <is>
          <t>little bit of fun here and people like</t>
        </is>
      </c>
      <c r="D5679">
        <f>HYPERLINK("https://www.youtube.com/watch?v=IWuIntFf4uk&amp;t=1951s", "Go to time")</f>
        <v/>
      </c>
    </row>
    <row r="5680">
      <c r="A5680">
        <f>HYPERLINK("https://www.youtube.com/watch?v=IWuIntFf4uk", "Video")</f>
        <v/>
      </c>
      <c r="B5680" t="inlineStr">
        <is>
          <t>33:53</t>
        </is>
      </c>
      <c r="C5680" t="inlineStr">
        <is>
          <t>like add a little bit more where I don't</t>
        </is>
      </c>
      <c r="D5680">
        <f>HYPERLINK("https://www.youtube.com/watch?v=IWuIntFf4uk&amp;t=2033s", "Go to time")</f>
        <v/>
      </c>
    </row>
    <row r="5681">
      <c r="A5681">
        <f>HYPERLINK("https://www.youtube.com/watch?v=IWuIntFf4uk", "Video")</f>
        <v/>
      </c>
      <c r="B5681" t="inlineStr">
        <is>
          <t>37:12</t>
        </is>
      </c>
      <c r="C5681" t="inlineStr">
        <is>
          <t>bit more is this movie an example of</t>
        </is>
      </c>
      <c r="D5681">
        <f>HYPERLINK("https://www.youtube.com/watch?v=IWuIntFf4uk&amp;t=2232s", "Go to time")</f>
        <v/>
      </c>
    </row>
    <row r="5682">
      <c r="A5682">
        <f>HYPERLINK("https://www.youtube.com/watch?v=IWuIntFf4uk", "Video")</f>
        <v/>
      </c>
      <c r="B5682" t="inlineStr">
        <is>
          <t>38:19</t>
        </is>
      </c>
      <c r="C5682" t="inlineStr">
        <is>
          <t>you gotta change it a little bit I think</t>
        </is>
      </c>
      <c r="D5682">
        <f>HYPERLINK("https://www.youtube.com/watch?v=IWuIntFf4uk&amp;t=2299s", "Go to time")</f>
        <v/>
      </c>
    </row>
    <row r="5683">
      <c r="A5683">
        <f>HYPERLINK("https://www.youtube.com/watch?v=IWuIntFf4uk", "Video")</f>
        <v/>
      </c>
      <c r="B5683" t="inlineStr">
        <is>
          <t>40:05</t>
        </is>
      </c>
      <c r="C5683" t="inlineStr">
        <is>
          <t>because I want to talk a little bit</t>
        </is>
      </c>
      <c r="D5683">
        <f>HYPERLINK("https://www.youtube.com/watch?v=IWuIntFf4uk&amp;t=2405s", "Go to time")</f>
        <v/>
      </c>
    </row>
    <row r="5684">
      <c r="A5684">
        <f>HYPERLINK("https://www.youtube.com/watch?v=IWuIntFf4uk", "Video")</f>
        <v/>
      </c>
      <c r="B5684" t="inlineStr">
        <is>
          <t>42:11</t>
        </is>
      </c>
      <c r="C5684" t="inlineStr">
        <is>
          <t>little bit of fun on the weekends</t>
        </is>
      </c>
      <c r="D5684">
        <f>HYPERLINK("https://www.youtube.com/watch?v=IWuIntFf4uk&amp;t=2531s", "Go to time")</f>
        <v/>
      </c>
    </row>
    <row r="5685">
      <c r="A5685">
        <f>HYPERLINK("https://www.youtube.com/watch?v=IWuIntFf4uk", "Video")</f>
        <v/>
      </c>
      <c r="B5685" t="inlineStr">
        <is>
          <t>42:42</t>
        </is>
      </c>
      <c r="C5685" t="inlineStr">
        <is>
          <t>minutes a movie has to last a little bit</t>
        </is>
      </c>
      <c r="D5685">
        <f>HYPERLINK("https://www.youtube.com/watch?v=IWuIntFf4uk&amp;t=2562s", "Go to time")</f>
        <v/>
      </c>
    </row>
    <row r="5686">
      <c r="A5686">
        <f>HYPERLINK("https://www.youtube.com/watch?v=IWuIntFf4uk", "Video")</f>
        <v/>
      </c>
      <c r="B5686" t="inlineStr">
        <is>
          <t>50:31</t>
        </is>
      </c>
      <c r="C5686" t="inlineStr">
        <is>
          <t>Night Shyamalan a bit of a pass that's</t>
        </is>
      </c>
      <c r="D5686">
        <f>HYPERLINK("https://www.youtube.com/watch?v=IWuIntFf4uk&amp;t=3031s", "Go to time")</f>
        <v/>
      </c>
    </row>
    <row r="5687">
      <c r="A5687">
        <f>HYPERLINK("https://www.youtube.com/watch?v=1-pMclN0WOw", "Video")</f>
        <v/>
      </c>
      <c r="B5687" t="inlineStr">
        <is>
          <t>13:59</t>
        </is>
      </c>
      <c r="C5687" t="inlineStr">
        <is>
          <t>bits and pieces and then it's mine then</t>
        </is>
      </c>
      <c r="D5687">
        <f>HYPERLINK("https://www.youtube.com/watch?v=1-pMclN0WOw&amp;t=839s", "Go to time")</f>
        <v/>
      </c>
    </row>
    <row r="5688">
      <c r="A5688">
        <f>HYPERLINK("https://www.youtube.com/watch?v=1-pMclN0WOw", "Video")</f>
        <v/>
      </c>
      <c r="B5688" t="inlineStr">
        <is>
          <t>14:53</t>
        </is>
      </c>
      <c r="C5688" t="inlineStr">
        <is>
          <t>just I want to know a little bit about</t>
        </is>
      </c>
      <c r="D5688">
        <f>HYPERLINK("https://www.youtube.com/watch?v=1-pMclN0WOw&amp;t=893s", "Go to time")</f>
        <v/>
      </c>
    </row>
    <row r="5689">
      <c r="A5689">
        <f>HYPERLINK("https://www.youtube.com/watch?v=1-pMclN0WOw", "Video")</f>
        <v/>
      </c>
      <c r="B5689" t="inlineStr">
        <is>
          <t>14:58</t>
        </is>
      </c>
      <c r="C5689" t="inlineStr">
        <is>
          <t>know a little little bit about what it</t>
        </is>
      </c>
      <c r="D5689">
        <f>HYPERLINK("https://www.youtube.com/watch?v=1-pMclN0WOw&amp;t=898s", "Go to time")</f>
        <v/>
      </c>
    </row>
    <row r="5690">
      <c r="A5690">
        <f>HYPERLINK("https://www.youtube.com/watch?v=1-pMclN0WOw", "Video")</f>
        <v/>
      </c>
      <c r="B5690" t="inlineStr">
        <is>
          <t>15:10</t>
        </is>
      </c>
      <c r="C5690" t="inlineStr">
        <is>
          <t>talked about a little bit but it's like</t>
        </is>
      </c>
      <c r="D5690">
        <f>HYPERLINK("https://www.youtube.com/watch?v=1-pMclN0WOw&amp;t=910s", "Go to time")</f>
        <v/>
      </c>
    </row>
    <row r="5691">
      <c r="A5691">
        <f>HYPERLINK("https://www.youtube.com/watch?v=1-pMclN0WOw", "Video")</f>
        <v/>
      </c>
      <c r="B5691" t="inlineStr">
        <is>
          <t>19:41</t>
        </is>
      </c>
      <c r="C5691" t="inlineStr">
        <is>
          <t>everybody feels a bit like a fraud and a</t>
        </is>
      </c>
      <c r="D5691">
        <f>HYPERLINK("https://www.youtube.com/watch?v=1-pMclN0WOw&amp;t=1181s", "Go to time")</f>
        <v/>
      </c>
    </row>
    <row r="5692">
      <c r="A5692">
        <f>HYPERLINK("https://www.youtube.com/watch?v=1-pMclN0WOw", "Video")</f>
        <v/>
      </c>
      <c r="B5692" t="inlineStr">
        <is>
          <t>19:43</t>
        </is>
      </c>
      <c r="C5692" t="inlineStr">
        <is>
          <t>bit like an outsider and there's</t>
        </is>
      </c>
      <c r="D5692">
        <f>HYPERLINK("https://www.youtube.com/watch?v=1-pMclN0WOw&amp;t=1183s", "Go to time")</f>
        <v/>
      </c>
    </row>
    <row r="5693">
      <c r="A5693">
        <f>HYPERLINK("https://www.youtube.com/watch?v=IqUxn2OGjvY", "Video")</f>
        <v/>
      </c>
      <c r="B5693" t="inlineStr">
        <is>
          <t>5:13</t>
        </is>
      </c>
      <c r="C5693" t="inlineStr">
        <is>
          <t>us I'm not bitter anymore because I know</t>
        </is>
      </c>
      <c r="D5693">
        <f>HYPERLINK("https://www.youtube.com/watch?v=IqUxn2OGjvY&amp;t=313s", "Go to time")</f>
        <v/>
      </c>
    </row>
    <row r="5694">
      <c r="A5694">
        <f>HYPERLINK("https://www.youtube.com/watch?v=sr9DaCy7F0o", "Video")</f>
        <v/>
      </c>
      <c r="B5694" t="inlineStr">
        <is>
          <t>1:22</t>
        </is>
      </c>
      <c r="C5694" t="inlineStr">
        <is>
          <t>rabbit sorry Ro</t>
        </is>
      </c>
      <c r="D5694">
        <f>HYPERLINK("https://www.youtube.com/watch?v=sr9DaCy7F0o&amp;t=82s", "Go to time")</f>
        <v/>
      </c>
    </row>
    <row r="5695">
      <c r="A5695">
        <f>HYPERLINK("https://www.youtube.com/watch?v=Dh3WAI9JeJw", "Video")</f>
        <v/>
      </c>
      <c r="B5695" t="inlineStr">
        <is>
          <t>0:02</t>
        </is>
      </c>
      <c r="C5695" t="inlineStr">
        <is>
          <t>bunny rabbit flying it</t>
        </is>
      </c>
      <c r="D5695">
        <f>HYPERLINK("https://www.youtube.com/watch?v=Dh3WAI9JeJw&amp;t=2s", "Go to time")</f>
        <v/>
      </c>
    </row>
    <row r="5696">
      <c r="A5696">
        <f>HYPERLINK("https://www.youtube.com/watch?v=Dh3WAI9JeJw", "Video")</f>
        <v/>
      </c>
      <c r="B5696" t="inlineStr">
        <is>
          <t>0:04</t>
        </is>
      </c>
      <c r="C5696" t="inlineStr">
        <is>
          <t>oh boy yeah I found a rabbit evolve you</t>
        </is>
      </c>
      <c r="D5696">
        <f>HYPERLINK("https://www.youtube.com/watch?v=Dh3WAI9JeJw&amp;t=4s", "Go to time")</f>
        <v/>
      </c>
    </row>
    <row r="5697">
      <c r="A5697">
        <f>HYPERLINK("https://www.youtube.com/watch?v=Dh3WAI9JeJw", "Video")</f>
        <v/>
      </c>
      <c r="B5697" t="inlineStr">
        <is>
          <t>1:44</t>
        </is>
      </c>
      <c r="C5697" t="inlineStr">
        <is>
          <t>sounder a rabbit flying a bright red and</t>
        </is>
      </c>
      <c r="D5697">
        <f>HYPERLINK("https://www.youtube.com/watch?v=Dh3WAI9JeJw&amp;t=104s", "Go to time")</f>
        <v/>
      </c>
    </row>
    <row r="5698">
      <c r="A5698">
        <f>HYPERLINK("https://www.youtube.com/watch?v=H4PHhibc0-0", "Video")</f>
        <v/>
      </c>
      <c r="B5698" t="inlineStr">
        <is>
          <t>2:39</t>
        </is>
      </c>
      <c r="C5698" t="inlineStr">
        <is>
          <t>we've got something just a little bit</t>
        </is>
      </c>
      <c r="D5698">
        <f>HYPERLINK("https://www.youtube.com/watch?v=H4PHhibc0-0&amp;t=159s", "Go to time")</f>
        <v/>
      </c>
    </row>
    <row r="5699">
      <c r="A5699">
        <f>HYPERLINK("https://www.youtube.com/watch?v=H4PHhibc0-0", "Video")</f>
        <v/>
      </c>
      <c r="B5699" t="inlineStr">
        <is>
          <t>2:48</t>
        </is>
      </c>
      <c r="C5699" t="inlineStr">
        <is>
          <t>just a little bit</t>
        </is>
      </c>
      <c r="D5699">
        <f>HYPERLINK("https://www.youtube.com/watch?v=H4PHhibc0-0&amp;t=168s", "Go to time")</f>
        <v/>
      </c>
    </row>
    <row r="5700">
      <c r="A5700">
        <f>HYPERLINK("https://www.youtube.com/watch?v=2V4qRDozJFQ", "Video")</f>
        <v/>
      </c>
      <c r="B5700" t="inlineStr">
        <is>
          <t>0:14</t>
        </is>
      </c>
      <c r="C5700" t="inlineStr">
        <is>
          <t>do you play just a little bit</t>
        </is>
      </c>
      <c r="D5700">
        <f>HYPERLINK("https://www.youtube.com/watch?v=2V4qRDozJFQ&amp;t=14s", "Go to time")</f>
        <v/>
      </c>
    </row>
    <row r="5701">
      <c r="A5701">
        <f>HYPERLINK("https://www.youtube.com/watch?v=oNytzLH3zRA", "Video")</f>
        <v/>
      </c>
      <c r="B5701" t="inlineStr">
        <is>
          <t>0:34</t>
        </is>
      </c>
      <c r="C5701" t="inlineStr">
        <is>
          <t>a little bit louder and everything</t>
        </is>
      </c>
      <c r="D5701">
        <f>HYPERLINK("https://www.youtube.com/watch?v=oNytzLH3zRA&amp;t=34s", "Go to time")</f>
        <v/>
      </c>
    </row>
    <row r="5702">
      <c r="A5702">
        <f>HYPERLINK("https://www.youtube.com/watch?v=I7pEk2hB5OQ", "Video")</f>
        <v/>
      </c>
      <c r="B5702" t="inlineStr">
        <is>
          <t>0:04</t>
        </is>
      </c>
      <c r="C5702" t="inlineStr">
        <is>
          <t>wee bit tougher on right the mission for</t>
        </is>
      </c>
      <c r="D5702">
        <f>HYPERLINK("https://www.youtube.com/watch?v=I7pEk2hB5OQ&amp;t=4s", "Go to time")</f>
        <v/>
      </c>
    </row>
    <row r="5703">
      <c r="A5703">
        <f>HYPERLINK("https://www.youtube.com/watch?v=vg7gBRLUj4Q", "Video")</f>
        <v/>
      </c>
      <c r="B5703" t="inlineStr">
        <is>
          <t>1:30</t>
        </is>
      </c>
      <c r="C5703" t="inlineStr">
        <is>
          <t>okay so growing up can be a little bit</t>
        </is>
      </c>
      <c r="D5703">
        <f>HYPERLINK("https://www.youtube.com/watch?v=vg7gBRLUj4Q&amp;t=90s", "Go to time")</f>
        <v/>
      </c>
    </row>
    <row r="5704">
      <c r="A5704">
        <f>HYPERLINK("https://www.youtube.com/watch?v=eA8K-R3mZr8", "Video")</f>
        <v/>
      </c>
      <c r="B5704" t="inlineStr">
        <is>
          <t>4:53</t>
        </is>
      </c>
      <c r="C5704" t="inlineStr">
        <is>
          <t>bites what a report from our</t>
        </is>
      </c>
      <c r="D5704">
        <f>HYPERLINK("https://www.youtube.com/watch?v=eA8K-R3mZr8&amp;t=293s", "Go to time")</f>
        <v/>
      </c>
    </row>
    <row r="5705">
      <c r="A5705">
        <f>HYPERLINK("https://www.youtube.com/watch?v=oj-WK6j8bQU", "Video")</f>
        <v/>
      </c>
      <c r="B5705" t="inlineStr">
        <is>
          <t>0:23</t>
        </is>
      </c>
      <c r="C5705" t="inlineStr">
        <is>
          <t>back there we're in a bit of a bind got</t>
        </is>
      </c>
      <c r="D5705">
        <f>HYPERLINK("https://www.youtube.com/watch?v=oj-WK6j8bQU&amp;t=23s", "Go to time")</f>
        <v/>
      </c>
    </row>
    <row r="5706">
      <c r="A5706">
        <f>HYPERLINK("https://www.youtube.com/watch?v=Uy-rFX2NaZE", "Video")</f>
        <v/>
      </c>
      <c r="B5706" t="inlineStr">
        <is>
          <t>12:04</t>
        </is>
      </c>
      <c r="C5706" t="inlineStr">
        <is>
          <t>okay fine make your best move as bite</t>
        </is>
      </c>
      <c r="D5706">
        <f>HYPERLINK("https://www.youtube.com/watch?v=Uy-rFX2NaZE&amp;t=724s", "Go to time")</f>
        <v/>
      </c>
    </row>
    <row r="5707">
      <c r="A5707">
        <f>HYPERLINK("https://www.youtube.com/watch?v=Uy-rFX2NaZE", "Video")</f>
        <v/>
      </c>
      <c r="B5707" t="inlineStr">
        <is>
          <t>21:32</t>
        </is>
      </c>
      <c r="C5707" t="inlineStr">
        <is>
          <t>Tabitha I know what your mom did that</t>
        </is>
      </c>
      <c r="D5707">
        <f>HYPERLINK("https://www.youtube.com/watch?v=Uy-rFX2NaZE&amp;t=1292s", "Go to time")</f>
        <v/>
      </c>
    </row>
    <row r="5708">
      <c r="A5708">
        <f>HYPERLINK("https://www.youtube.com/watch?v=2UdW17knMfw", "Video")</f>
        <v/>
      </c>
      <c r="B5708" t="inlineStr">
        <is>
          <t>0:20</t>
        </is>
      </c>
      <c r="C5708" t="inlineStr">
        <is>
          <t>critics were a little bit unfair to I'm</t>
        </is>
      </c>
      <c r="D5708">
        <f>HYPERLINK("https://www.youtube.com/watch?v=2UdW17knMfw&amp;t=20s", "Go to time")</f>
        <v/>
      </c>
    </row>
    <row r="5709">
      <c r="A5709">
        <f>HYPERLINK("https://www.youtube.com/watch?v=2UdW17knMfw", "Video")</f>
        <v/>
      </c>
      <c r="B5709" t="inlineStr">
        <is>
          <t>1:39</t>
        </is>
      </c>
      <c r="C5709" t="inlineStr">
        <is>
          <t>cult classic a little bit there's a lot</t>
        </is>
      </c>
      <c r="D5709">
        <f>HYPERLINK("https://www.youtube.com/watch?v=2UdW17knMfw&amp;t=99s", "Go to time")</f>
        <v/>
      </c>
    </row>
    <row r="5710">
      <c r="A5710">
        <f>HYPERLINK("https://www.youtube.com/watch?v=2UdW17knMfw", "Video")</f>
        <v/>
      </c>
      <c r="B5710" t="inlineStr">
        <is>
          <t>3:22</t>
        </is>
      </c>
      <c r="C5710" t="inlineStr">
        <is>
          <t>least tell us a little bit about family</t>
        </is>
      </c>
      <c r="D5710">
        <f>HYPERLINK("https://www.youtube.com/watch?v=2UdW17knMfw&amp;t=202s", "Go to time")</f>
        <v/>
      </c>
    </row>
    <row r="5711">
      <c r="A5711">
        <f>HYPERLINK("https://www.youtube.com/watch?v=2UdW17knMfw", "Video")</f>
        <v/>
      </c>
      <c r="B5711" t="inlineStr">
        <is>
          <t>3:43</t>
        </is>
      </c>
      <c r="C5711" t="inlineStr">
        <is>
          <t>little bit of through the looking glass</t>
        </is>
      </c>
      <c r="D5711">
        <f>HYPERLINK("https://www.youtube.com/watch?v=2UdW17knMfw&amp;t=223s", "Go to time")</f>
        <v/>
      </c>
    </row>
    <row r="5712">
      <c r="A5712">
        <f>HYPERLINK("https://www.youtube.com/watch?v=2UdW17knMfw", "Video")</f>
        <v/>
      </c>
      <c r="B5712" t="inlineStr">
        <is>
          <t>4:43</t>
        </is>
      </c>
      <c r="C5712" t="inlineStr">
        <is>
          <t>to grow me a little bit and I meet the</t>
        </is>
      </c>
      <c r="D5712">
        <f>HYPERLINK("https://www.youtube.com/watch?v=2UdW17knMfw&amp;t=283s", "Go to time")</f>
        <v/>
      </c>
    </row>
    <row r="5713">
      <c r="A5713">
        <f>HYPERLINK("https://www.youtube.com/watch?v=2UdW17knMfw", "Video")</f>
        <v/>
      </c>
      <c r="B5713" t="inlineStr">
        <is>
          <t>9:54</t>
        </is>
      </c>
      <c r="C5713" t="inlineStr">
        <is>
          <t>one one bit and they ring that bit until</t>
        </is>
      </c>
      <c r="D5713">
        <f>HYPERLINK("https://www.youtube.com/watch?v=2UdW17knMfw&amp;t=594s", "Go to time")</f>
        <v/>
      </c>
    </row>
    <row r="5714">
      <c r="A5714">
        <f>HYPERLINK("https://www.youtube.com/watch?v=2UdW17knMfw", "Video")</f>
        <v/>
      </c>
      <c r="B5714" t="inlineStr">
        <is>
          <t>10:04</t>
        </is>
      </c>
      <c r="C5714" t="inlineStr">
        <is>
          <t>granted there's a little bit of a Twist</t>
        </is>
      </c>
      <c r="D5714">
        <f>HYPERLINK("https://www.youtube.com/watch?v=2UdW17knMfw&amp;t=604s", "Go to time")</f>
        <v/>
      </c>
    </row>
    <row r="5715">
      <c r="A5715">
        <f>HYPERLINK("https://www.youtube.com/watch?v=2UdW17knMfw", "Video")</f>
        <v/>
      </c>
      <c r="B5715" t="inlineStr">
        <is>
          <t>10:17</t>
        </is>
      </c>
      <c r="C5715" t="inlineStr">
        <is>
          <t>from here a little bit where the movie</t>
        </is>
      </c>
      <c r="D5715">
        <f>HYPERLINK("https://www.youtube.com/watch?v=2UdW17knMfw&amp;t=617s", "Go to time")</f>
        <v/>
      </c>
    </row>
    <row r="5716">
      <c r="A5716">
        <f>HYPERLINK("https://www.youtube.com/watch?v=2UdW17knMfw", "Video")</f>
        <v/>
      </c>
      <c r="B5716" t="inlineStr">
        <is>
          <t>11:25</t>
        </is>
      </c>
      <c r="C5716" t="inlineStr">
        <is>
          <t>story I feel like this has a little bit</t>
        </is>
      </c>
      <c r="D5716">
        <f>HYPERLINK("https://www.youtube.com/watch?v=2UdW17knMfw&amp;t=685s", "Go to time")</f>
        <v/>
      </c>
    </row>
    <row r="5717">
      <c r="A5717">
        <f>HYPERLINK("https://www.youtube.com/watch?v=2UdW17knMfw", "Video")</f>
        <v/>
      </c>
      <c r="B5717" t="inlineStr">
        <is>
          <t>13:10</t>
        </is>
      </c>
      <c r="C5717" t="inlineStr">
        <is>
          <t>where you got to like bite your tongue</t>
        </is>
      </c>
      <c r="D5717">
        <f>HYPERLINK("https://www.youtube.com/watch?v=2UdW17knMfw&amp;t=790s", "Go to time")</f>
        <v/>
      </c>
    </row>
    <row r="5718">
      <c r="A5718">
        <f>HYPERLINK("https://www.youtube.com/watch?v=2UdW17knMfw", "Video")</f>
        <v/>
      </c>
      <c r="B5718" t="inlineStr">
        <is>
          <t>24:33</t>
        </is>
      </c>
      <c r="C5718" t="inlineStr">
        <is>
          <t>yeah no one it else it Robs a little bit</t>
        </is>
      </c>
      <c r="D5718">
        <f>HYPERLINK("https://www.youtube.com/watch?v=2UdW17knMfw&amp;t=1473s", "Go to time")</f>
        <v/>
      </c>
    </row>
    <row r="5719">
      <c r="A5719">
        <f>HYPERLINK("https://www.youtube.com/watch?v=2UdW17knMfw", "Video")</f>
        <v/>
      </c>
      <c r="B5719" t="inlineStr">
        <is>
          <t>25:19</t>
        </is>
      </c>
      <c r="C5719" t="inlineStr">
        <is>
          <t>bitman like all those moments where he</t>
        </is>
      </c>
      <c r="D5719">
        <f>HYPERLINK("https://www.youtube.com/watch?v=2UdW17knMfw&amp;t=1519s", "Go to time")</f>
        <v/>
      </c>
    </row>
    <row r="5720">
      <c r="A5720">
        <f>HYPERLINK("https://www.youtube.com/watch?v=2UdW17knMfw", "Video")</f>
        <v/>
      </c>
      <c r="B5720" t="inlineStr">
        <is>
          <t>32:21</t>
        </is>
      </c>
      <c r="C5720" t="inlineStr">
        <is>
          <t>comedians of not being ambitious now</t>
        </is>
      </c>
      <c r="D5720">
        <f>HYPERLINK("https://www.youtube.com/watch?v=2UdW17knMfw&amp;t=1941s", "Go to time")</f>
        <v/>
      </c>
    </row>
    <row r="5721">
      <c r="A5721">
        <f>HYPERLINK("https://www.youtube.com/watch?v=2UdW17knMfw", "Video")</f>
        <v/>
      </c>
      <c r="B5721" t="inlineStr">
        <is>
          <t>32:23</t>
        </is>
      </c>
      <c r="C5721" t="inlineStr">
        <is>
          <t>they may be not ambitious about that</t>
        </is>
      </c>
      <c r="D5721">
        <f>HYPERLINK("https://www.youtube.com/watch?v=2UdW17knMfw&amp;t=1943s", "Go to time")</f>
        <v/>
      </c>
    </row>
    <row r="5722">
      <c r="A5722">
        <f>HYPERLINK("https://www.youtube.com/watch?v=2UdW17knMfw", "Video")</f>
        <v/>
      </c>
      <c r="B5722" t="inlineStr">
        <is>
          <t>32:26</t>
        </is>
      </c>
      <c r="C5722" t="inlineStr">
        <is>
          <t>ambitious because to just do that is</t>
        </is>
      </c>
      <c r="D5722">
        <f>HYPERLINK("https://www.youtube.com/watch?v=2UdW17knMfw&amp;t=1946s", "Go to time")</f>
        <v/>
      </c>
    </row>
    <row r="5723">
      <c r="A5723">
        <f>HYPERLINK("https://www.youtube.com/watch?v=zEBbjA6HSTc", "Video")</f>
        <v/>
      </c>
      <c r="B5723" t="inlineStr">
        <is>
          <t>0:02</t>
        </is>
      </c>
      <c r="C5723" t="inlineStr">
        <is>
          <t>just see the city a little bit you know</t>
        </is>
      </c>
      <c r="D5723">
        <f>HYPERLINK("https://www.youtube.com/watch?v=zEBbjA6HSTc&amp;t=2s", "Go to time")</f>
        <v/>
      </c>
    </row>
    <row r="5724">
      <c r="A5724">
        <f>HYPERLINK("https://www.youtube.com/watch?v=ELbCWQcPhfs", "Video")</f>
        <v/>
      </c>
      <c r="B5724" t="inlineStr">
        <is>
          <t>5:56</t>
        </is>
      </c>
      <c r="C5724" t="inlineStr">
        <is>
          <t>ambitious I changed it to there was</t>
        </is>
      </c>
      <c r="D5724">
        <f>HYPERLINK("https://www.youtube.com/watch?v=ELbCWQcPhfs&amp;t=356s", "Go to time")</f>
        <v/>
      </c>
    </row>
    <row r="5725">
      <c r="A5725">
        <f>HYPERLINK("https://www.youtube.com/watch?v=ELbCWQcPhfs", "Video")</f>
        <v/>
      </c>
      <c r="B5725" t="inlineStr">
        <is>
          <t>10:27</t>
        </is>
      </c>
      <c r="C5725" t="inlineStr">
        <is>
          <t>what were your Ambitions well my parents</t>
        </is>
      </c>
      <c r="D5725">
        <f>HYPERLINK("https://www.youtube.com/watch?v=ELbCWQcPhfs&amp;t=627s", "Go to time")</f>
        <v/>
      </c>
    </row>
    <row r="5726">
      <c r="A5726">
        <f>HYPERLINK("https://www.youtube.com/watch?v=ELbCWQcPhfs", "Video")</f>
        <v/>
      </c>
      <c r="B5726" t="inlineStr">
        <is>
          <t>22:59</t>
        </is>
      </c>
      <c r="C5726" t="inlineStr">
        <is>
          <t>bit we also The Phantom Menace and The</t>
        </is>
      </c>
      <c r="D5726">
        <f>HYPERLINK("https://www.youtube.com/watch?v=ELbCWQcPhfs&amp;t=1379s", "Go to time")</f>
        <v/>
      </c>
    </row>
    <row r="5727">
      <c r="A5727">
        <f>HYPERLINK("https://www.youtube.com/watch?v=ELbCWQcPhfs", "Video")</f>
        <v/>
      </c>
      <c r="B5727" t="inlineStr">
        <is>
          <t>26:11</t>
        </is>
      </c>
      <c r="C5727" t="inlineStr">
        <is>
          <t>bit about where comic book movies were</t>
        </is>
      </c>
      <c r="D5727">
        <f>HYPERLINK("https://www.youtube.com/watch?v=ELbCWQcPhfs&amp;t=1571s", "Go to time")</f>
        <v/>
      </c>
    </row>
    <row r="5728">
      <c r="A5728">
        <f>HYPERLINK("https://www.youtube.com/watch?v=4_9cIWMpJBA", "Video")</f>
        <v/>
      </c>
      <c r="B5728" t="inlineStr">
        <is>
          <t>2:37</t>
        </is>
      </c>
      <c r="C5728" t="inlineStr">
        <is>
          <t>are a little bit overdone what the</t>
        </is>
      </c>
      <c r="D5728">
        <f>HYPERLINK("https://www.youtube.com/watch?v=4_9cIWMpJBA&amp;t=157s", "Go to time")</f>
        <v/>
      </c>
    </row>
    <row r="5729">
      <c r="A5729">
        <f>HYPERLINK("https://www.youtube.com/watch?v=ow0LFtIZMQg", "Video")</f>
        <v/>
      </c>
      <c r="B5729" t="inlineStr">
        <is>
          <t>0:44</t>
        </is>
      </c>
      <c r="C5729" t="inlineStr">
        <is>
          <t>a little bit out of line huh</t>
        </is>
      </c>
      <c r="D5729">
        <f>HYPERLINK("https://www.youtube.com/watch?v=ow0LFtIZMQg&amp;t=44s", "Go to time")</f>
        <v/>
      </c>
    </row>
    <row r="5730">
      <c r="A5730">
        <f>HYPERLINK("https://www.youtube.com/watch?v=8leV2SFzsM8", "Video")</f>
        <v/>
      </c>
      <c r="B5730" t="inlineStr">
        <is>
          <t>0:46</t>
        </is>
      </c>
      <c r="C5730" t="inlineStr">
        <is>
          <t>any leads oh we're struggling a bit</t>
        </is>
      </c>
      <c r="D5730">
        <f>HYPERLINK("https://www.youtube.com/watch?v=8leV2SFzsM8&amp;t=46s", "Go to time")</f>
        <v/>
      </c>
    </row>
    <row r="5731">
      <c r="A5731">
        <f>HYPERLINK("https://www.youtube.com/watch?v=agcUUHc2iAw", "Video")</f>
        <v/>
      </c>
      <c r="B5731" t="inlineStr">
        <is>
          <t>2:38</t>
        </is>
      </c>
      <c r="C5731" t="inlineStr">
        <is>
          <t>million dollar salary which is a bit on</t>
        </is>
      </c>
      <c r="D5731">
        <f>HYPERLINK("https://www.youtube.com/watch?v=agcUUHc2iAw&amp;t=158s", "Go to time")</f>
        <v/>
      </c>
    </row>
    <row r="5732">
      <c r="A5732">
        <f>HYPERLINK("https://www.youtube.com/watch?v=agcUUHc2iAw", "Video")</f>
        <v/>
      </c>
      <c r="B5732" t="inlineStr">
        <is>
          <t>13:40</t>
        </is>
      </c>
      <c r="C5732" t="inlineStr">
        <is>
          <t>due to his eccentric habits and odd</t>
        </is>
      </c>
      <c r="D5732">
        <f>HYPERLINK("https://www.youtube.com/watch?v=agcUUHc2iAw&amp;t=820s", "Go to time")</f>
        <v/>
      </c>
    </row>
    <row r="5733">
      <c r="A5733">
        <f>HYPERLINK("https://www.youtube.com/watch?v=exu61pb5X68", "Video")</f>
        <v/>
      </c>
      <c r="B5733" t="inlineStr">
        <is>
          <t>0:28</t>
        </is>
      </c>
      <c r="C5733" t="inlineStr">
        <is>
          <t>little bit of catnip okay that's great</t>
        </is>
      </c>
      <c r="D5733">
        <f>HYPERLINK("https://www.youtube.com/watch?v=exu61pb5X68&amp;t=28s", "Go to time")</f>
        <v/>
      </c>
    </row>
    <row r="5734">
      <c r="A5734">
        <f>HYPERLINK("https://www.youtube.com/watch?v=EOKf6vRm6vg", "Video")</f>
        <v/>
      </c>
      <c r="B5734" t="inlineStr">
        <is>
          <t>1:39</t>
        </is>
      </c>
      <c r="C5734" t="inlineStr">
        <is>
          <t>to choke me a little bit uh</t>
        </is>
      </c>
      <c r="D5734">
        <f>HYPERLINK("https://www.youtube.com/watch?v=EOKf6vRm6vg&amp;t=99s", "Go to time")</f>
        <v/>
      </c>
    </row>
    <row r="5735">
      <c r="A5735">
        <f>HYPERLINK("https://www.youtube.com/watch?v=58J1vutT7qQ", "Video")</f>
        <v/>
      </c>
      <c r="B5735" t="inlineStr">
        <is>
          <t>14:06</t>
        </is>
      </c>
      <c r="C5735" t="inlineStr">
        <is>
          <t>pain-loving beings called cenobites and</t>
        </is>
      </c>
      <c r="D5735">
        <f>HYPERLINK("https://www.youtube.com/watch?v=58J1vutT7qQ&amp;t=846s", "Go to time")</f>
        <v/>
      </c>
    </row>
    <row r="5736">
      <c r="A5736">
        <f>HYPERLINK("https://www.youtube.com/watch?v=58J1vutT7qQ", "Video")</f>
        <v/>
      </c>
      <c r="B5736" t="inlineStr">
        <is>
          <t>16:49</t>
        </is>
      </c>
      <c r="C5736" t="inlineStr">
        <is>
          <t>consider that a bit</t>
        </is>
      </c>
      <c r="D5736">
        <f>HYPERLINK("https://www.youtube.com/watch?v=58J1vutT7qQ&amp;t=1009s", "Go to time")</f>
        <v/>
      </c>
    </row>
    <row r="5737">
      <c r="A5737">
        <f>HYPERLINK("https://www.youtube.com/watch?v=v4pRq4if4Bc", "Video")</f>
        <v/>
      </c>
      <c r="B5737" t="inlineStr">
        <is>
          <t>0:00</t>
        </is>
      </c>
      <c r="C5737" t="inlineStr">
        <is>
          <t>the exhibit can open as plan how was</t>
        </is>
      </c>
      <c r="D5737">
        <f>HYPERLINK("https://www.youtube.com/watch?v=v4pRq4if4Bc&amp;t=0s", "Go to time")</f>
        <v/>
      </c>
    </row>
    <row r="5738">
      <c r="A5738">
        <f>HYPERLINK("https://www.youtube.com/watch?v=xyxrJ9PvBrA", "Video")</f>
        <v/>
      </c>
      <c r="B5738" t="inlineStr">
        <is>
          <t>1:51</t>
        </is>
      </c>
      <c r="C5738" t="inlineStr">
        <is>
          <t>bit of blood on the sea so I thought</t>
        </is>
      </c>
      <c r="D5738">
        <f>HYPERLINK("https://www.youtube.com/watch?v=xyxrJ9PvBrA&amp;t=111s", "Go to time")</f>
        <v/>
      </c>
    </row>
    <row r="5739">
      <c r="A5739">
        <f>HYPERLINK("https://www.youtube.com/watch?v=K9PFmssZdBo", "Video")</f>
        <v/>
      </c>
      <c r="B5739" t="inlineStr">
        <is>
          <t>9:24</t>
        </is>
      </c>
      <c r="C5739" t="inlineStr">
        <is>
          <t>have looked a bit different considering</t>
        </is>
      </c>
      <c r="D5739">
        <f>HYPERLINK("https://www.youtube.com/watch?v=K9PFmssZdBo&amp;t=564s", "Go to time")</f>
        <v/>
      </c>
    </row>
    <row r="5740">
      <c r="A5740">
        <f>HYPERLINK("https://www.youtube.com/watch?v=NZWU6ufiI_4", "Video")</f>
        <v/>
      </c>
      <c r="B5740" t="inlineStr">
        <is>
          <t>1:52</t>
        </is>
      </c>
      <c r="C5740" t="inlineStr">
        <is>
          <t>beat a bitch's ass oh is that what</t>
        </is>
      </c>
      <c r="D5740">
        <f>HYPERLINK("https://www.youtube.com/watch?v=NZWU6ufiI_4&amp;t=112s", "Go to time")</f>
        <v/>
      </c>
    </row>
    <row r="5741">
      <c r="A5741">
        <f>HYPERLINK("https://www.youtube.com/watch?v=UoVccNtMi10", "Video")</f>
        <v/>
      </c>
      <c r="B5741" t="inlineStr">
        <is>
          <t>2:58</t>
        </is>
      </c>
      <c r="C5741" t="inlineStr">
        <is>
          <t>orbit</t>
        </is>
      </c>
      <c r="D5741">
        <f>HYPERLINK("https://www.youtube.com/watch?v=UoVccNtMi10&amp;t=178s", "Go to time")</f>
        <v/>
      </c>
    </row>
    <row r="5742">
      <c r="A5742">
        <f>HYPERLINK("https://www.youtube.com/watch?v=wqD7igf1Zu0", "Video")</f>
        <v/>
      </c>
      <c r="B5742" t="inlineStr">
        <is>
          <t>0:37</t>
        </is>
      </c>
      <c r="C5742" t="inlineStr">
        <is>
          <t>i was kind of drinking a little bit in</t>
        </is>
      </c>
      <c r="D5742">
        <f>HYPERLINK("https://www.youtube.com/watch?v=wqD7igf1Zu0&amp;t=37s", "Go to time")</f>
        <v/>
      </c>
    </row>
    <row r="5743">
      <c r="A5743">
        <f>HYPERLINK("https://www.youtube.com/watch?v=yrSXBAj2HKI", "Video")</f>
        <v/>
      </c>
      <c r="B5743" t="inlineStr">
        <is>
          <t>3:41</t>
        </is>
      </c>
      <c r="C5743" t="inlineStr">
        <is>
          <t>saved because that flea bitten mag</t>
        </is>
      </c>
      <c r="D5743">
        <f>HYPERLINK("https://www.youtube.com/watch?v=yrSXBAj2HKI&amp;t=221s", "Go to time")</f>
        <v/>
      </c>
    </row>
    <row r="5744">
      <c r="A5744">
        <f>HYPERLINK("https://www.youtube.com/watch?v=3AFkmyjSWRY", "Video")</f>
        <v/>
      </c>
      <c r="B5744" t="inlineStr">
        <is>
          <t>1:11</t>
        </is>
      </c>
      <c r="C5744" t="inlineStr">
        <is>
          <t>on but can we be a little bit more</t>
        </is>
      </c>
      <c r="D5744">
        <f>HYPERLINK("https://www.youtube.com/watch?v=3AFkmyjSWRY&amp;t=71s", "Go to time")</f>
        <v/>
      </c>
    </row>
    <row r="5745">
      <c r="A5745">
        <f>HYPERLINK("https://www.youtube.com/watch?v=fZHqMJIHfLI", "Video")</f>
        <v/>
      </c>
      <c r="B5745" t="inlineStr">
        <is>
          <t>1:12</t>
        </is>
      </c>
      <c r="C5745" t="inlineStr">
        <is>
          <t>little bit crushed and it makes you want</t>
        </is>
      </c>
      <c r="D5745">
        <f>HYPERLINK("https://www.youtube.com/watch?v=fZHqMJIHfLI&amp;t=72s", "Go to time")</f>
        <v/>
      </c>
    </row>
    <row r="5746">
      <c r="A5746">
        <f>HYPERLINK("https://www.youtube.com/watch?v=zVDbeyXhghw", "Video")</f>
        <v/>
      </c>
      <c r="B5746" t="inlineStr">
        <is>
          <t>0:54</t>
        </is>
      </c>
      <c r="C5746" t="inlineStr">
        <is>
          <t>can relive a little bit of the fun we</t>
        </is>
      </c>
      <c r="D5746">
        <f>HYPERLINK("https://www.youtube.com/watch?v=zVDbeyXhghw&amp;t=54s", "Go to time")</f>
        <v/>
      </c>
    </row>
    <row r="5747">
      <c r="A5747">
        <f>HYPERLINK("https://www.youtube.com/watch?v=zVDbeyXhghw", "Video")</f>
        <v/>
      </c>
      <c r="B5747" t="inlineStr">
        <is>
          <t>2:38</t>
        </is>
      </c>
      <c r="C5747" t="inlineStr">
        <is>
          <t>we had at least a little bit of time on</t>
        </is>
      </c>
      <c r="D5747">
        <f>HYPERLINK("https://www.youtube.com/watch?v=zVDbeyXhghw&amp;t=158s", "Go to time")</f>
        <v/>
      </c>
    </row>
    <row r="5748">
      <c r="A5748">
        <f>HYPERLINK("https://www.youtube.com/watch?v=H-YC_VUoPTY", "Video")</f>
        <v/>
      </c>
      <c r="B5748" t="inlineStr">
        <is>
          <t>13:39</t>
        </is>
      </c>
      <c r="C5748" t="inlineStr">
        <is>
          <t>him for their mission thor is bitter and</t>
        </is>
      </c>
      <c r="D5748">
        <f>HYPERLINK("https://www.youtube.com/watch?v=H-YC_VUoPTY&amp;t=819s", "Go to time")</f>
        <v/>
      </c>
    </row>
    <row r="5749">
      <c r="A5749">
        <f>HYPERLINK("https://www.youtube.com/watch?v=H-YC_VUoPTY", "Video")</f>
        <v/>
      </c>
      <c r="B5749" t="inlineStr">
        <is>
          <t>19:56</t>
        </is>
      </c>
      <c r="C5749" t="inlineStr">
        <is>
          <t>rocket aka sweet rabbit and groot travel</t>
        </is>
      </c>
      <c r="D5749">
        <f>HYPERLINK("https://www.youtube.com/watch?v=H-YC_VUoPTY&amp;t=1196s", "Go to time")</f>
        <v/>
      </c>
    </row>
    <row r="5750">
      <c r="A5750">
        <f>HYPERLINK("https://www.youtube.com/watch?v=2Aq_DS_qRLI", "Video")</f>
        <v/>
      </c>
      <c r="B5750" t="inlineStr">
        <is>
          <t>1:23</t>
        </is>
      </c>
      <c r="C5750" t="inlineStr">
        <is>
          <t>me a little bit of nauy it's a little</t>
        </is>
      </c>
      <c r="D5750">
        <f>HYPERLINK("https://www.youtube.com/watch?v=2Aq_DS_qRLI&amp;t=83s", "Go to time")</f>
        <v/>
      </c>
    </row>
    <row r="5751">
      <c r="A5751">
        <f>HYPERLINK("https://www.youtube.com/watch?v=2Aq_DS_qRLI", "Video")</f>
        <v/>
      </c>
      <c r="B5751" t="inlineStr">
        <is>
          <t>1:25</t>
        </is>
      </c>
      <c r="C5751" t="inlineStr">
        <is>
          <t>bit nice she's a whole lot of Glam sweat</t>
        </is>
      </c>
      <c r="D5751">
        <f>HYPERLINK("https://www.youtube.com/watch?v=2Aq_DS_qRLI&amp;t=85s", "Go to time")</f>
        <v/>
      </c>
    </row>
    <row r="5752">
      <c r="A5752">
        <f>HYPERLINK("https://www.youtube.com/watch?v=kim-p8Eaetw", "Video")</f>
        <v/>
      </c>
      <c r="B5752" t="inlineStr">
        <is>
          <t>7:13</t>
        </is>
      </c>
      <c r="C5752" t="inlineStr">
        <is>
          <t>bit of an asterisk where like that 87 is</t>
        </is>
      </c>
      <c r="D5752">
        <f>HYPERLINK("https://www.youtube.com/watch?v=kim-p8Eaetw&amp;t=433s", "Go to time")</f>
        <v/>
      </c>
    </row>
    <row r="5753">
      <c r="A5753">
        <f>HYPERLINK("https://www.youtube.com/watch?v=kim-p8Eaetw", "Video")</f>
        <v/>
      </c>
      <c r="B5753" t="inlineStr">
        <is>
          <t>8:24</t>
        </is>
      </c>
      <c r="C5753" t="inlineStr">
        <is>
          <t>um I I 71 I think is a baby bit too low</t>
        </is>
      </c>
      <c r="D5753">
        <f>HYPERLINK("https://www.youtube.com/watch?v=kim-p8Eaetw&amp;t=504s", "Go to time")</f>
        <v/>
      </c>
    </row>
    <row r="5754">
      <c r="A5754">
        <f>HYPERLINK("https://www.youtube.com/watch?v=kim-p8Eaetw", "Video")</f>
        <v/>
      </c>
      <c r="B5754" t="inlineStr">
        <is>
          <t>12:55</t>
        </is>
      </c>
      <c r="C5754" t="inlineStr">
        <is>
          <t>audiences watching habits it's the kind</t>
        </is>
      </c>
      <c r="D5754">
        <f>HYPERLINK("https://www.youtube.com/watch?v=kim-p8Eaetw&amp;t=775s", "Go to time")</f>
        <v/>
      </c>
    </row>
    <row r="5755">
      <c r="A5755">
        <f>HYPERLINK("https://www.youtube.com/watch?v=kim-p8Eaetw", "Video")</f>
        <v/>
      </c>
      <c r="B5755" t="inlineStr">
        <is>
          <t>13:16</t>
        </is>
      </c>
      <c r="C5755" t="inlineStr">
        <is>
          <t>makes sense given current viewing habits</t>
        </is>
      </c>
      <c r="D5755">
        <f>HYPERLINK("https://www.youtube.com/watch?v=kim-p8Eaetw&amp;t=796s", "Go to time")</f>
        <v/>
      </c>
    </row>
    <row r="5756">
      <c r="A5756">
        <f>HYPERLINK("https://www.youtube.com/watch?v=kim-p8Eaetw", "Video")</f>
        <v/>
      </c>
      <c r="B5756" t="inlineStr">
        <is>
          <t>25:29</t>
        </is>
      </c>
      <c r="C5756" t="inlineStr">
        <is>
          <t>bit I I think the two highlights for me</t>
        </is>
      </c>
      <c r="D5756">
        <f>HYPERLINK("https://www.youtube.com/watch?v=kim-p8Eaetw&amp;t=1529s", "Go to time")</f>
        <v/>
      </c>
    </row>
    <row r="5757">
      <c r="A5757">
        <f>HYPERLINK("https://www.youtube.com/watch?v=kim-p8Eaetw", "Video")</f>
        <v/>
      </c>
      <c r="B5757" t="inlineStr">
        <is>
          <t>41:52</t>
        </is>
      </c>
      <c r="C5757" t="inlineStr">
        <is>
          <t>Rod a little bit it sat a little while</t>
        </is>
      </c>
      <c r="D5757">
        <f>HYPERLINK("https://www.youtube.com/watch?v=kim-p8Eaetw&amp;t=2512s", "Go to time")</f>
        <v/>
      </c>
    </row>
    <row r="5758">
      <c r="A5758">
        <f>HYPERLINK("https://www.youtube.com/watch?v=kim-p8Eaetw", "Video")</f>
        <v/>
      </c>
      <c r="B5758" t="inlineStr">
        <is>
          <t>44:06</t>
        </is>
      </c>
      <c r="C5758" t="inlineStr">
        <is>
          <t>bit in there I didn't need it especially</t>
        </is>
      </c>
      <c r="D5758">
        <f>HYPERLINK("https://www.youtube.com/watch?v=kim-p8Eaetw&amp;t=2646s", "Go to time")</f>
        <v/>
      </c>
    </row>
    <row r="5759">
      <c r="A5759">
        <f>HYPERLINK("https://www.youtube.com/watch?v=kim-p8Eaetw", "Video")</f>
        <v/>
      </c>
      <c r="B5759" t="inlineStr">
        <is>
          <t>47:15</t>
        </is>
      </c>
      <c r="C5759" t="inlineStr">
        <is>
          <t>uh just a little bit it was like</t>
        </is>
      </c>
      <c r="D5759">
        <f>HYPERLINK("https://www.youtube.com/watch?v=kim-p8Eaetw&amp;t=2835s", "Go to time")</f>
        <v/>
      </c>
    </row>
    <row r="5760">
      <c r="A5760">
        <f>HYPERLINK("https://www.youtube.com/watch?v=kim-p8Eaetw", "Video")</f>
        <v/>
      </c>
      <c r="B5760" t="inlineStr">
        <is>
          <t>58:09</t>
        </is>
      </c>
      <c r="C5760" t="inlineStr">
        <is>
          <t>little bit uh since we don't have any</t>
        </is>
      </c>
      <c r="D5760">
        <f>HYPERLINK("https://www.youtube.com/watch?v=kim-p8Eaetw&amp;t=3489s", "Go to time")</f>
        <v/>
      </c>
    </row>
    <row r="5761">
      <c r="A5761">
        <f>HYPERLINK("https://www.youtube.com/watch?v=2K7LdYM8Yag", "Video")</f>
        <v/>
      </c>
      <c r="B5761" t="inlineStr">
        <is>
          <t>1:31</t>
        </is>
      </c>
      <c r="C5761" t="inlineStr">
        <is>
          <t>like a jackrabbit on the side and</t>
        </is>
      </c>
      <c r="D5761">
        <f>HYPERLINK("https://www.youtube.com/watch?v=2K7LdYM8Yag&amp;t=91s", "Go to time")</f>
        <v/>
      </c>
    </row>
    <row r="5762">
      <c r="A5762">
        <f>HYPERLINK("https://www.youtube.com/watch?v=zUgDbgBIb5U", "Video")</f>
        <v/>
      </c>
      <c r="B5762" t="inlineStr">
        <is>
          <t>17:47</t>
        </is>
      </c>
      <c r="C5762" t="inlineStr">
        <is>
          <t>ambitious mother to seek the position of</t>
        </is>
      </c>
      <c r="D5762">
        <f>HYPERLINK("https://www.youtube.com/watch?v=zUgDbgBIb5U&amp;t=1067s", "Go to time")</f>
        <v/>
      </c>
    </row>
    <row r="5763">
      <c r="A5763">
        <f>HYPERLINK("https://www.youtube.com/watch?v=zUgDbgBIb5U", "Video")</f>
        <v/>
      </c>
      <c r="B5763" t="inlineStr">
        <is>
          <t>20:53</t>
        </is>
      </c>
      <c r="C5763" t="inlineStr">
        <is>
          <t>I mean we can always come back a bit</t>
        </is>
      </c>
      <c r="D5763">
        <f>HYPERLINK("https://www.youtube.com/watch?v=zUgDbgBIb5U&amp;t=1253s", "Go to time")</f>
        <v/>
      </c>
    </row>
    <row r="5764">
      <c r="A5764">
        <f>HYPERLINK("https://www.youtube.com/watch?v=zUgDbgBIb5U", "Video")</f>
        <v/>
      </c>
      <c r="B5764" t="inlineStr">
        <is>
          <t>23:42</t>
        </is>
      </c>
      <c r="C5764" t="inlineStr">
        <is>
          <t>Magazine wrote that Pop Shop inhabits an</t>
        </is>
      </c>
      <c r="D5764">
        <f>HYPERLINK("https://www.youtube.com/watch?v=zUgDbgBIb5U&amp;t=1422s", "Go to time")</f>
        <v/>
      </c>
    </row>
    <row r="5765">
      <c r="A5765">
        <f>HYPERLINK("https://www.youtube.com/watch?v=nt71afOGcbc", "Video")</f>
        <v/>
      </c>
      <c r="B5765" t="inlineStr">
        <is>
          <t>1:37</t>
        </is>
      </c>
      <c r="C5765" t="inlineStr">
        <is>
          <t>pull rabbits out of here</t>
        </is>
      </c>
      <c r="D5765">
        <f>HYPERLINK("https://www.youtube.com/watch?v=nt71afOGcbc&amp;t=97s", "Go to time")</f>
        <v/>
      </c>
    </row>
    <row r="5766">
      <c r="A5766">
        <f>HYPERLINK("https://www.youtube.com/watch?v=hd_aoZ2eQBQ", "Video")</f>
        <v/>
      </c>
      <c r="B5766" t="inlineStr">
        <is>
          <t>0:00</t>
        </is>
      </c>
      <c r="C5766" t="inlineStr">
        <is>
          <t>it's a bit here we all right so today</t>
        </is>
      </c>
      <c r="D5766">
        <f>HYPERLINK("https://www.youtube.com/watch?v=hd_aoZ2eQBQ&amp;t=0s", "Go to time")</f>
        <v/>
      </c>
    </row>
    <row r="5767">
      <c r="A5767">
        <f>HYPERLINK("https://www.youtube.com/watch?v=hd_aoZ2eQBQ", "Video")</f>
        <v/>
      </c>
      <c r="B5767" t="inlineStr">
        <is>
          <t>0:31</t>
        </is>
      </c>
      <c r="C5767" t="inlineStr">
        <is>
          <t>so we're getting ready to do a bit</t>
        </is>
      </c>
      <c r="D5767">
        <f>HYPERLINK("https://www.youtube.com/watch?v=hd_aoZ2eQBQ&amp;t=31s", "Go to time")</f>
        <v/>
      </c>
    </row>
    <row r="5768">
      <c r="A5768">
        <f>HYPERLINK("https://www.youtube.com/watch?v=hd_aoZ2eQBQ", "Video")</f>
        <v/>
      </c>
      <c r="B5768" t="inlineStr">
        <is>
          <t>2:33</t>
        </is>
      </c>
      <c r="C5768" t="inlineStr">
        <is>
          <t>and I was like I wasn't in the bit you</t>
        </is>
      </c>
      <c r="D5768">
        <f>HYPERLINK("https://www.youtube.com/watch?v=hd_aoZ2eQBQ&amp;t=153s", "Go to time")</f>
        <v/>
      </c>
    </row>
    <row r="5769">
      <c r="A5769">
        <f>HYPERLINK("https://www.youtube.com/watch?v=Dfyb_ysDmFw", "Video")</f>
        <v/>
      </c>
      <c r="B5769" t="inlineStr">
        <is>
          <t>2:46</t>
        </is>
      </c>
      <c r="C5769" t="inlineStr">
        <is>
          <t>just I was going to bite you very badly</t>
        </is>
      </c>
      <c r="D5769">
        <f>HYPERLINK("https://www.youtube.com/watch?v=Dfyb_ysDmFw&amp;t=166s", "Go to time")</f>
        <v/>
      </c>
    </row>
    <row r="5770">
      <c r="A5770">
        <f>HYPERLINK("https://www.youtube.com/watch?v=IRGe_qnfCnk", "Video")</f>
        <v/>
      </c>
      <c r="B5770" t="inlineStr">
        <is>
          <t>5:36</t>
        </is>
      </c>
      <c r="C5770" t="inlineStr">
        <is>
          <t>first place the hobbit the battle of the</t>
        </is>
      </c>
      <c r="D5770">
        <f>HYPERLINK("https://www.youtube.com/watch?v=IRGe_qnfCnk&amp;t=336s", "Go to time")</f>
        <v/>
      </c>
    </row>
    <row r="5771">
      <c r="A5771">
        <f>HYPERLINK("https://www.youtube.com/watch?v=IRGe_qnfCnk", "Video")</f>
        <v/>
      </c>
      <c r="B5771" t="inlineStr">
        <is>
          <t>6:11</t>
        </is>
      </c>
      <c r="C5771" t="inlineStr">
        <is>
          <t>the hobbit consists of three films the</t>
        </is>
      </c>
      <c r="D5771">
        <f>HYPERLINK("https://www.youtube.com/watch?v=IRGe_qnfCnk&amp;t=371s", "Go to time")</f>
        <v/>
      </c>
    </row>
    <row r="5772">
      <c r="A5772">
        <f>HYPERLINK("https://www.youtube.com/watch?v=IRGe_qnfCnk", "Video")</f>
        <v/>
      </c>
      <c r="B5772" t="inlineStr">
        <is>
          <t>6:46</t>
        </is>
      </c>
      <c r="C5772" t="inlineStr">
        <is>
          <t>symbol for the king brave hobbit bilbo</t>
        </is>
      </c>
      <c r="D5772">
        <f>HYPERLINK("https://www.youtube.com/watch?v=IRGe_qnfCnk&amp;t=406s", "Go to time")</f>
        <v/>
      </c>
    </row>
    <row r="5773">
      <c r="A5773">
        <f>HYPERLINK("https://www.youtube.com/watch?v=IRGe_qnfCnk", "Video")</f>
        <v/>
      </c>
      <c r="B5773" t="inlineStr">
        <is>
          <t>15:05</t>
        </is>
      </c>
      <c r="C5773" t="inlineStr">
        <is>
          <t>place there's just one itsy bitsy little</t>
        </is>
      </c>
      <c r="D5773">
        <f>HYPERLINK("https://www.youtube.com/watch?v=IRGe_qnfCnk&amp;t=905s", "Go to time")</f>
        <v/>
      </c>
    </row>
    <row r="5774">
      <c r="A5774">
        <f>HYPERLINK("https://www.youtube.com/watch?v=_eL35irX7kM", "Video")</f>
        <v/>
      </c>
      <c r="B5774" t="inlineStr">
        <is>
          <t>1:29</t>
        </is>
      </c>
      <c r="C5774" t="inlineStr">
        <is>
          <t>exhibiting extremely poor judgment uh</t>
        </is>
      </c>
      <c r="D5774">
        <f>HYPERLINK("https://www.youtube.com/watch?v=_eL35irX7kM&amp;t=89s", "Go to time")</f>
        <v/>
      </c>
    </row>
    <row r="5775">
      <c r="A5775">
        <f>HYPERLINK("https://www.youtube.com/watch?v=cBDJ8Cdluco", "Video")</f>
        <v/>
      </c>
      <c r="B5775" t="inlineStr">
        <is>
          <t>0:46</t>
        </is>
      </c>
      <c r="C5775" t="inlineStr">
        <is>
          <t>and Katie bitched out but You' talk</t>
        </is>
      </c>
      <c r="D5775">
        <f>HYPERLINK("https://www.youtube.com/watch?v=cBDJ8Cdluco&amp;t=46s", "Go to time")</f>
        <v/>
      </c>
    </row>
    <row r="5776">
      <c r="A5776">
        <f>HYPERLINK("https://www.youtube.com/watch?v=-nqpvSjmvKI", "Video")</f>
        <v/>
      </c>
      <c r="B5776" t="inlineStr">
        <is>
          <t>4:42</t>
        </is>
      </c>
      <c r="C5776" t="inlineStr">
        <is>
          <t>an immunity to vampire bites it wasn't</t>
        </is>
      </c>
      <c r="D5776">
        <f>HYPERLINK("https://www.youtube.com/watch?v=-nqpvSjmvKI&amp;t=282s", "Go to time")</f>
        <v/>
      </c>
    </row>
    <row r="5777">
      <c r="A5777">
        <f>HYPERLINK("https://www.youtube.com/watch?v=-nqpvSjmvKI", "Video")</f>
        <v/>
      </c>
      <c r="B5777" t="inlineStr">
        <is>
          <t>15:28</t>
        </is>
      </c>
      <c r="C5777" t="inlineStr">
        <is>
          <t>why is the other lift full of bits of</t>
        </is>
      </c>
      <c r="D5777">
        <f>HYPERLINK("https://www.youtube.com/watch?v=-nqpvSjmvKI&amp;t=928s", "Go to time")</f>
        <v/>
      </c>
    </row>
    <row r="5778">
      <c r="A5778">
        <f>HYPERLINK("https://www.youtube.com/watch?v=RI9lCLkYn4E", "Video")</f>
        <v/>
      </c>
      <c r="B5778" t="inlineStr">
        <is>
          <t>0:46</t>
        </is>
      </c>
      <c r="C5778" t="inlineStr">
        <is>
          <t>the bathroom it would have bitten me</t>
        </is>
      </c>
      <c r="D5778">
        <f>HYPERLINK("https://www.youtube.com/watch?v=RI9lCLkYn4E&amp;t=46s", "Go to time")</f>
        <v/>
      </c>
    </row>
    <row r="5779">
      <c r="A5779">
        <f>HYPERLINK("https://www.youtube.com/watch?v=pK4HU2AkZ_k", "Video")</f>
        <v/>
      </c>
      <c r="B5779" t="inlineStr">
        <is>
          <t>2:17</t>
        </is>
      </c>
      <c r="C5779" t="inlineStr">
        <is>
          <t>to bite it's like he chose you I can't I</t>
        </is>
      </c>
      <c r="D5779">
        <f>HYPERLINK("https://www.youtube.com/watch?v=pK4HU2AkZ_k&amp;t=137s", "Go to time")</f>
        <v/>
      </c>
    </row>
    <row r="5780">
      <c r="A5780">
        <f>HYPERLINK("https://www.youtube.com/watch?v=zQO3q1lSZ4k", "Video")</f>
        <v/>
      </c>
      <c r="B5780" t="inlineStr">
        <is>
          <t>21:05</t>
        </is>
      </c>
      <c r="C5780" t="inlineStr">
        <is>
          <t>I feel like he just inhabits that energy</t>
        </is>
      </c>
      <c r="D5780">
        <f>HYPERLINK("https://www.youtube.com/watch?v=zQO3q1lSZ4k&amp;t=1265s", "Go to time")</f>
        <v/>
      </c>
    </row>
    <row r="5781">
      <c r="A5781">
        <f>HYPERLINK("https://www.youtube.com/watch?v=zQO3q1lSZ4k", "Video")</f>
        <v/>
      </c>
      <c r="B5781" t="inlineStr">
        <is>
          <t>30:44</t>
        </is>
      </c>
      <c r="C5781" t="inlineStr">
        <is>
          <t>bit because it was PG-13</t>
        </is>
      </c>
      <c r="D5781">
        <f>HYPERLINK("https://www.youtube.com/watch?v=zQO3q1lSZ4k&amp;t=1844s", "Go to time")</f>
        <v/>
      </c>
    </row>
    <row r="5782">
      <c r="A5782">
        <f>HYPERLINK("https://www.youtube.com/watch?v=zQO3q1lSZ4k", "Video")</f>
        <v/>
      </c>
      <c r="B5782" t="inlineStr">
        <is>
          <t>31:02</t>
        </is>
      </c>
      <c r="C5782" t="inlineStr">
        <is>
          <t>little bit I understand that Keanu is</t>
        </is>
      </c>
      <c r="D5782">
        <f>HYPERLINK("https://www.youtube.com/watch?v=zQO3q1lSZ4k&amp;t=1862s", "Go to time")</f>
        <v/>
      </c>
    </row>
    <row r="5783">
      <c r="A5783">
        <f>HYPERLINK("https://www.youtube.com/watch?v=zQO3q1lSZ4k", "Video")</f>
        <v/>
      </c>
      <c r="B5783" t="inlineStr">
        <is>
          <t>40:09</t>
        </is>
      </c>
      <c r="C5783" t="inlineStr">
        <is>
          <t>going a little bit</t>
        </is>
      </c>
      <c r="D5783">
        <f>HYPERLINK("https://www.youtube.com/watch?v=zQO3q1lSZ4k&amp;t=2409s", "Go to time")</f>
        <v/>
      </c>
    </row>
    <row r="5784">
      <c r="A5784">
        <f>HYPERLINK("https://www.youtube.com/watch?v=zQO3q1lSZ4k", "Video")</f>
        <v/>
      </c>
      <c r="B5784" t="inlineStr">
        <is>
          <t>41:45</t>
        </is>
      </c>
      <c r="C5784" t="inlineStr">
        <is>
          <t>little bit of satire that camp around</t>
        </is>
      </c>
      <c r="D5784">
        <f>HYPERLINK("https://www.youtube.com/watch?v=zQO3q1lSZ4k&amp;t=2505s", "Go to time")</f>
        <v/>
      </c>
    </row>
    <row r="5785">
      <c r="A5785">
        <f>HYPERLINK("https://www.youtube.com/watch?v=zQO3q1lSZ4k", "Video")</f>
        <v/>
      </c>
      <c r="B5785" t="inlineStr">
        <is>
          <t>46:28</t>
        </is>
      </c>
      <c r="C5785" t="inlineStr">
        <is>
          <t>little bit about that and how you know</t>
        </is>
      </c>
      <c r="D5785">
        <f>HYPERLINK("https://www.youtube.com/watch?v=zQO3q1lSZ4k&amp;t=2788s", "Go to time")</f>
        <v/>
      </c>
    </row>
    <row r="5786">
      <c r="A5786">
        <f>HYPERLINK("https://www.youtube.com/watch?v=yWMh-306XCo", "Video")</f>
        <v/>
      </c>
      <c r="B5786" t="inlineStr">
        <is>
          <t>0:02</t>
        </is>
      </c>
      <c r="C5786" t="inlineStr">
        <is>
          <t>bit annoying though all that</t>
        </is>
      </c>
      <c r="D5786">
        <f>HYPERLINK("https://www.youtube.com/watch?v=yWMh-306XCo&amp;t=2s", "Go to time")</f>
        <v/>
      </c>
    </row>
    <row r="5787">
      <c r="A5787">
        <f>HYPERLINK("https://www.youtube.com/watch?v=8vIcT7VLx0U", "Video")</f>
        <v/>
      </c>
      <c r="B5787" t="inlineStr">
        <is>
          <t>16:28</t>
        </is>
      </c>
      <c r="C5787" t="inlineStr">
        <is>
          <t>exhibition match this was supposed to be</t>
        </is>
      </c>
      <c r="D5787">
        <f>HYPERLINK("https://www.youtube.com/watch?v=8vIcT7VLx0U&amp;t=988s", "Go to time")</f>
        <v/>
      </c>
    </row>
    <row r="5788">
      <c r="A5788">
        <f>HYPERLINK("https://www.youtube.com/watch?v=8vIcT7VLx0U", "Video")</f>
        <v/>
      </c>
      <c r="B5788" t="inlineStr">
        <is>
          <t>16:30</t>
        </is>
      </c>
      <c r="C5788" t="inlineStr">
        <is>
          <t>an exhibition between Drago Coming to</t>
        </is>
      </c>
      <c r="D5788">
        <f>HYPERLINK("https://www.youtube.com/watch?v=8vIcT7VLx0U&amp;t=990s", "Go to time")</f>
        <v/>
      </c>
    </row>
    <row r="5789">
      <c r="A5789">
        <f>HYPERLINK("https://www.youtube.com/watch?v=8vIcT7VLx0U", "Video")</f>
        <v/>
      </c>
      <c r="B5789" t="inlineStr">
        <is>
          <t>21:38</t>
        </is>
      </c>
      <c r="C5789" t="inlineStr">
        <is>
          <t>amount of bitching I do through it that</t>
        </is>
      </c>
      <c r="D5789">
        <f>HYPERLINK("https://www.youtube.com/watch?v=8vIcT7VLx0U&amp;t=1298s", "Go to time")</f>
        <v/>
      </c>
    </row>
    <row r="5790">
      <c r="A5790">
        <f>HYPERLINK("https://www.youtube.com/watch?v=8vIcT7VLx0U", "Video")</f>
        <v/>
      </c>
      <c r="B5790" t="inlineStr">
        <is>
          <t>23:47</t>
        </is>
      </c>
      <c r="C5790" t="inlineStr">
        <is>
          <t>like a bit it's like you cannot bring in</t>
        </is>
      </c>
      <c r="D5790">
        <f>HYPERLINK("https://www.youtube.com/watch?v=8vIcT7VLx0U&amp;t=1427s", "Go to time")</f>
        <v/>
      </c>
    </row>
    <row r="5791">
      <c r="A5791">
        <f>HYPERLINK("https://www.youtube.com/watch?v=8vIcT7VLx0U", "Video")</f>
        <v/>
      </c>
      <c r="B5791" t="inlineStr">
        <is>
          <t>27:46</t>
        </is>
      </c>
      <c r="C5791" t="inlineStr">
        <is>
          <t>this Rabbit Hole where we ultimately end</t>
        </is>
      </c>
      <c r="D5791">
        <f>HYPERLINK("https://www.youtube.com/watch?v=8vIcT7VLx0U&amp;t=1666s", "Go to time")</f>
        <v/>
      </c>
    </row>
    <row r="5792">
      <c r="A5792">
        <f>HYPERLINK("https://www.youtube.com/watch?v=8vIcT7VLx0U", "Video")</f>
        <v/>
      </c>
      <c r="B5792" t="inlineStr">
        <is>
          <t>28:42</t>
        </is>
      </c>
      <c r="C5792" t="inlineStr">
        <is>
          <t>bit further in his career and so he's</t>
        </is>
      </c>
      <c r="D5792">
        <f>HYPERLINK("https://www.youtube.com/watch?v=8vIcT7VLx0U&amp;t=1722s", "Go to time")</f>
        <v/>
      </c>
    </row>
    <row r="5793">
      <c r="A5793">
        <f>HYPERLINK("https://www.youtube.com/watch?v=8vIcT7VLx0U", "Video")</f>
        <v/>
      </c>
      <c r="B5793" t="inlineStr">
        <is>
          <t>29:37</t>
        </is>
      </c>
      <c r="C5793" t="inlineStr">
        <is>
          <t>fiction overlay of just a little bit of</t>
        </is>
      </c>
      <c r="D5793">
        <f>HYPERLINK("https://www.youtube.com/watch?v=8vIcT7VLx0U&amp;t=1777s", "Go to time")</f>
        <v/>
      </c>
    </row>
    <row r="5794">
      <c r="A5794">
        <f>HYPERLINK("https://www.youtube.com/watch?v=8vIcT7VLx0U", "Video")</f>
        <v/>
      </c>
      <c r="B5794" t="inlineStr">
        <is>
          <t>36:10</t>
        </is>
      </c>
      <c r="C5794" t="inlineStr">
        <is>
          <t>guys did change just a little bit maybe</t>
        </is>
      </c>
      <c r="D5794">
        <f>HYPERLINK("https://www.youtube.com/watch?v=8vIcT7VLx0U&amp;t=2170s", "Go to time")</f>
        <v/>
      </c>
    </row>
    <row r="5795">
      <c r="A5795">
        <f>HYPERLINK("https://www.youtube.com/watch?v=8vIcT7VLx0U", "Video")</f>
        <v/>
      </c>
      <c r="B5795" t="inlineStr">
        <is>
          <t>37:17</t>
        </is>
      </c>
      <c r="C5795" t="inlineStr">
        <is>
          <t>little bit more from Paulie than you</t>
        </is>
      </c>
      <c r="D5795">
        <f>HYPERLINK("https://www.youtube.com/watch?v=8vIcT7VLx0U&amp;t=2237s", "Go to time")</f>
        <v/>
      </c>
    </row>
    <row r="5796">
      <c r="A5796">
        <f>HYPERLINK("https://www.youtube.com/watch?v=8vIcT7VLx0U", "Video")</f>
        <v/>
      </c>
      <c r="B5796" t="inlineStr">
        <is>
          <t>37:20</t>
        </is>
      </c>
      <c r="C5796" t="inlineStr">
        <is>
          <t>I was going to go to yeah a little bit</t>
        </is>
      </c>
      <c r="D5796">
        <f>HYPERLINK("https://www.youtube.com/watch?v=8vIcT7VLx0U&amp;t=2240s", "Go to time")</f>
        <v/>
      </c>
    </row>
    <row r="5797">
      <c r="A5797">
        <f>HYPERLINK("https://www.youtube.com/watch?v=8vIcT7VLx0U", "Video")</f>
        <v/>
      </c>
      <c r="B5797" t="inlineStr">
        <is>
          <t>38:28</t>
        </is>
      </c>
      <c r="C5797" t="inlineStr">
        <is>
          <t>think that that is a little bit coded</t>
        </is>
      </c>
      <c r="D5797">
        <f>HYPERLINK("https://www.youtube.com/watch?v=8vIcT7VLx0U&amp;t=2308s", "Go to time")</f>
        <v/>
      </c>
    </row>
    <row r="5798">
      <c r="A5798">
        <f>HYPERLINK("https://www.youtube.com/watch?v=L9sFrzAcRAU", "Video")</f>
        <v/>
      </c>
      <c r="B5798" t="inlineStr">
        <is>
          <t>0:00</t>
        </is>
      </c>
      <c r="C5798" t="inlineStr">
        <is>
          <t>I can deal with an ambitious man he can</t>
        </is>
      </c>
      <c r="D5798">
        <f>HYPERLINK("https://www.youtube.com/watch?v=L9sFrzAcRAU&amp;t=0s", "Go to time")</f>
        <v/>
      </c>
    </row>
    <row r="5799">
      <c r="A5799">
        <f>HYPERLINK("https://www.youtube.com/watch?v=Z-fkur0F2j4", "Video")</f>
        <v/>
      </c>
      <c r="B5799" t="inlineStr">
        <is>
          <t>0:07</t>
        </is>
      </c>
      <c r="C5799" t="inlineStr">
        <is>
          <t>fantasy is a bit of a Pandora's Box</t>
        </is>
      </c>
      <c r="D5799">
        <f>HYPERLINK("https://www.youtube.com/watch?v=Z-fkur0F2j4&amp;t=7s", "Go to time")</f>
        <v/>
      </c>
    </row>
    <row r="5800">
      <c r="A5800">
        <f>HYPERLINK("https://www.youtube.com/watch?v=Z-fkur0F2j4", "Video")</f>
        <v/>
      </c>
      <c r="B5800" t="inlineStr">
        <is>
          <t>1:14</t>
        </is>
      </c>
      <c r="C5800" t="inlineStr">
        <is>
          <t>Tabitha uh she named me uni because</t>
        </is>
      </c>
      <c r="D5800">
        <f>HYPERLINK("https://www.youtube.com/watch?v=Z-fkur0F2j4&amp;t=74s", "Go to time")</f>
        <v/>
      </c>
    </row>
    <row r="5801">
      <c r="A5801">
        <f>HYPERLINK("https://www.youtube.com/watch?v=0L4i-hPw7b8", "Video")</f>
        <v/>
      </c>
      <c r="B5801" t="inlineStr">
        <is>
          <t>3:06</t>
        </is>
      </c>
      <c r="C5801" t="inlineStr">
        <is>
          <t>if he had stayed here a little bit</t>
        </is>
      </c>
      <c r="D5801">
        <f>HYPERLINK("https://www.youtube.com/watch?v=0L4i-hPw7b8&amp;t=186s", "Go to time")</f>
        <v/>
      </c>
    </row>
    <row r="5802">
      <c r="A5802">
        <f>HYPERLINK("https://www.youtube.com/watch?v=N9rlqZEThgk", "Video")</f>
        <v/>
      </c>
      <c r="B5802" t="inlineStr">
        <is>
          <t>0:40</t>
        </is>
      </c>
      <c r="C5802" t="inlineStr">
        <is>
          <t>I'm thrilled it gives a bit of a lift to</t>
        </is>
      </c>
      <c r="D5802">
        <f>HYPERLINK("https://www.youtube.com/watch?v=N9rlqZEThgk&amp;t=40s", "Go to time")</f>
        <v/>
      </c>
    </row>
    <row r="5803">
      <c r="A5803">
        <f>HYPERLINK("https://www.youtube.com/watch?v=N9rlqZEThgk", "Video")</f>
        <v/>
      </c>
      <c r="B5803" t="inlineStr">
        <is>
          <t>1:58</t>
        </is>
      </c>
      <c r="C5803" t="inlineStr">
        <is>
          <t>humbling maybe a little bit of a big</t>
        </is>
      </c>
      <c r="D5803">
        <f>HYPERLINK("https://www.youtube.com/watch?v=N9rlqZEThgk&amp;t=118s", "Go to time")</f>
        <v/>
      </c>
    </row>
    <row r="5804">
      <c r="A5804">
        <f>HYPERLINK("https://www.youtube.com/watch?v=N9rlqZEThgk", "Video")</f>
        <v/>
      </c>
      <c r="B5804" t="inlineStr">
        <is>
          <t>4:39</t>
        </is>
      </c>
      <c r="C5804" t="inlineStr">
        <is>
          <t>little bit more high high profile over</t>
        </is>
      </c>
      <c r="D5804">
        <f>HYPERLINK("https://www.youtube.com/watch?v=N9rlqZEThgk&amp;t=279s", "Go to time")</f>
        <v/>
      </c>
    </row>
    <row r="5805">
      <c r="A5805">
        <f>HYPERLINK("https://www.youtube.com/watch?v=N9rlqZEThgk", "Video")</f>
        <v/>
      </c>
      <c r="B5805" t="inlineStr">
        <is>
          <t>8:40</t>
        </is>
      </c>
      <c r="C5805" t="inlineStr">
        <is>
          <t>Bittersweet with the recent news and I</t>
        </is>
      </c>
      <c r="D5805">
        <f>HYPERLINK("https://www.youtube.com/watch?v=N9rlqZEThgk&amp;t=520s", "Go to time")</f>
        <v/>
      </c>
    </row>
    <row r="5806">
      <c r="A5806">
        <f>HYPERLINK("https://www.youtube.com/watch?v=N9rlqZEThgk", "Video")</f>
        <v/>
      </c>
      <c r="B5806" t="inlineStr">
        <is>
          <t>9:15</t>
        </is>
      </c>
      <c r="C5806" t="inlineStr">
        <is>
          <t>and so it Bittersweet is the word that</t>
        </is>
      </c>
      <c r="D5806">
        <f>HYPERLINK("https://www.youtube.com/watch?v=N9rlqZEThgk&amp;t=555s", "Go to time")</f>
        <v/>
      </c>
    </row>
    <row r="5807">
      <c r="A5807">
        <f>HYPERLINK("https://www.youtube.com/watch?v=N9rlqZEThgk", "Video")</f>
        <v/>
      </c>
      <c r="B5807" t="inlineStr">
        <is>
          <t>14:00</t>
        </is>
      </c>
      <c r="C5807" t="inlineStr">
        <is>
          <t>like a bit of a family affair what's</t>
        </is>
      </c>
      <c r="D5807">
        <f>HYPERLINK("https://www.youtube.com/watch?v=N9rlqZEThgk&amp;t=840s", "Go to time")</f>
        <v/>
      </c>
    </row>
    <row r="5808">
      <c r="A5808">
        <f>HYPERLINK("https://www.youtube.com/watch?v=-YD5cXhnfFc", "Video")</f>
        <v/>
      </c>
      <c r="B5808" t="inlineStr">
        <is>
          <t>1:50</t>
        </is>
      </c>
      <c r="C5808" t="inlineStr">
        <is>
          <t>wolf it's a bit difficult to believe my</t>
        </is>
      </c>
      <c r="D5808">
        <f>HYPERLINK("https://www.youtube.com/watch?v=-YD5cXhnfFc&amp;t=110s", "Go to time")</f>
        <v/>
      </c>
    </row>
    <row r="5809">
      <c r="A5809">
        <f>HYPERLINK("https://www.youtube.com/watch?v=-YD5cXhnfFc", "Video")</f>
        <v/>
      </c>
      <c r="B5809" t="inlineStr">
        <is>
          <t>1:57</t>
        </is>
      </c>
      <c r="C5809" t="inlineStr">
        <is>
          <t>scar that's where I was bitten by a wolf</t>
        </is>
      </c>
      <c r="D5809">
        <f>HYPERLINK("https://www.youtube.com/watch?v=-YD5cXhnfFc&amp;t=117s", "Go to time")</f>
        <v/>
      </c>
    </row>
    <row r="5810">
      <c r="A5810">
        <f>HYPERLINK("https://www.youtube.com/watch?v=MHPp7bN1kXI", "Video")</f>
        <v/>
      </c>
      <c r="B5810" t="inlineStr">
        <is>
          <t>0:29</t>
        </is>
      </c>
      <c r="C5810" t="inlineStr">
        <is>
          <t>little bit because you know what all the</t>
        </is>
      </c>
      <c r="D5810">
        <f>HYPERLINK("https://www.youtube.com/watch?v=MHPp7bN1kXI&amp;t=29s", "Go to time")</f>
        <v/>
      </c>
    </row>
    <row r="5811">
      <c r="A5811">
        <f>HYPERLINK("https://www.youtube.com/watch?v=UtCmGFZiaqs", "Video")</f>
        <v/>
      </c>
      <c r="B5811" t="inlineStr">
        <is>
          <t>2:17</t>
        </is>
      </c>
      <c r="C5811" t="inlineStr">
        <is>
          <t>for that little bit of</t>
        </is>
      </c>
      <c r="D5811">
        <f>HYPERLINK("https://www.youtube.com/watch?v=UtCmGFZiaqs&amp;t=137s", "Go to time")</f>
        <v/>
      </c>
    </row>
    <row r="5812">
      <c r="A5812">
        <f>HYPERLINK("https://www.youtube.com/watch?v=sQtUnHa4wDs", "Video")</f>
        <v/>
      </c>
      <c r="B5812" t="inlineStr">
        <is>
          <t>4:59</t>
        </is>
      </c>
      <c r="C5812" t="inlineStr">
        <is>
          <t>it escaped APAP and it bit</t>
        </is>
      </c>
      <c r="D5812">
        <f>HYPERLINK("https://www.youtube.com/watch?v=sQtUnHa4wDs&amp;t=299s", "Go to time")</f>
        <v/>
      </c>
    </row>
    <row r="5813">
      <c r="A5813">
        <f>HYPERLINK("https://www.youtube.com/watch?v=sQtUnHa4wDs", "Video")</f>
        <v/>
      </c>
      <c r="B5813" t="inlineStr">
        <is>
          <t>9:18</t>
        </is>
      </c>
      <c r="C5813" t="inlineStr">
        <is>
          <t>bite unless you want me</t>
        </is>
      </c>
      <c r="D5813">
        <f>HYPERLINK("https://www.youtube.com/watch?v=sQtUnHa4wDs&amp;t=558s", "Go to time")</f>
        <v/>
      </c>
    </row>
    <row r="5814">
      <c r="A5814">
        <f>HYPERLINK("https://www.youtube.com/watch?v=sQtUnHa4wDs", "Video")</f>
        <v/>
      </c>
      <c r="B5814" t="inlineStr">
        <is>
          <t>9:28</t>
        </is>
      </c>
      <c r="C5814" t="inlineStr">
        <is>
          <t>biting</t>
        </is>
      </c>
      <c r="D5814">
        <f>HYPERLINK("https://www.youtube.com/watch?v=sQtUnHa4wDs&amp;t=568s", "Go to time")</f>
        <v/>
      </c>
    </row>
    <row r="5815">
      <c r="A5815">
        <f>HYPERLINK("https://www.youtube.com/watch?v=sQtUnHa4wDs", "Video")</f>
        <v/>
      </c>
      <c r="B5815" t="inlineStr">
        <is>
          <t>52:06</t>
        </is>
      </c>
      <c r="C5815" t="inlineStr">
        <is>
          <t>are you okay did it bite you no I'm</t>
        </is>
      </c>
      <c r="D5815">
        <f>HYPERLINK("https://www.youtube.com/watch?v=sQtUnHa4wDs&amp;t=3126s", "Go to time")</f>
        <v/>
      </c>
    </row>
    <row r="5816">
      <c r="A5816">
        <f>HYPERLINK("https://www.youtube.com/watch?v=E-ZJMAHjq2w", "Video")</f>
        <v/>
      </c>
      <c r="B5816" t="inlineStr">
        <is>
          <t>0:57</t>
        </is>
      </c>
      <c r="C5816" t="inlineStr">
        <is>
          <t>and yourself oh i have ambitions dreams</t>
        </is>
      </c>
      <c r="D5816">
        <f>HYPERLINK("https://www.youtube.com/watch?v=E-ZJMAHjq2w&amp;t=57s", "Go to time")</f>
        <v/>
      </c>
    </row>
    <row r="5817">
      <c r="A5817">
        <f>HYPERLINK("https://www.youtube.com/watch?v=pR9CIvcYNOk", "Video")</f>
        <v/>
      </c>
      <c r="B5817" t="inlineStr">
        <is>
          <t>0:24</t>
        </is>
      </c>
      <c r="C5817" t="inlineStr">
        <is>
          <t>within the Ambit of my responsibility</t>
        </is>
      </c>
      <c r="D5817">
        <f>HYPERLINK("https://www.youtube.com/watch?v=pR9CIvcYNOk&amp;t=24s", "Go to time")</f>
        <v/>
      </c>
    </row>
    <row r="5818">
      <c r="A5818">
        <f>HYPERLINK("https://www.youtube.com/watch?v=P_BnTgfL7qs", "Video")</f>
        <v/>
      </c>
      <c r="B5818" t="inlineStr">
        <is>
          <t>14:33</t>
        </is>
      </c>
      <c r="C5818" t="inlineStr">
        <is>
          <t>the queen's gambit the diary of a</t>
        </is>
      </c>
      <c r="D5818">
        <f>HYPERLINK("https://www.youtube.com/watch?v=P_BnTgfL7qs&amp;t=873s", "Go to time")</f>
        <v/>
      </c>
    </row>
    <row r="5819">
      <c r="A5819">
        <f>HYPERLINK("https://www.youtube.com/watch?v=P_BnTgfL7qs", "Video")</f>
        <v/>
      </c>
      <c r="B5819" t="inlineStr">
        <is>
          <t>23:18</t>
        </is>
      </c>
      <c r="C5819" t="inlineStr">
        <is>
          <t>ambition and freedom the film is about</t>
        </is>
      </c>
      <c r="D5819">
        <f>HYPERLINK("https://www.youtube.com/watch?v=P_BnTgfL7qs&amp;t=1398s", "Go to time")</f>
        <v/>
      </c>
    </row>
    <row r="5820">
      <c r="A5820">
        <f>HYPERLINK("https://www.youtube.com/watch?v=rH4YgI7-1OU", "Video")</f>
        <v/>
      </c>
      <c r="B5820" t="inlineStr">
        <is>
          <t>0:58</t>
        </is>
      </c>
      <c r="C5820" t="inlineStr">
        <is>
          <t>Abit</t>
        </is>
      </c>
      <c r="D5820">
        <f>HYPERLINK("https://www.youtube.com/watch?v=rH4YgI7-1OU&amp;t=58s", "Go to time")</f>
        <v/>
      </c>
    </row>
    <row r="5821">
      <c r="A5821">
        <f>HYPERLINK("https://www.youtube.com/watch?v=1AUVSMU1hHg", "Video")</f>
        <v/>
      </c>
      <c r="B5821" t="inlineStr">
        <is>
          <t>0:24</t>
        </is>
      </c>
      <c r="C5821" t="inlineStr">
        <is>
          <t>bite grab a</t>
        </is>
      </c>
      <c r="D5821">
        <f>HYPERLINK("https://www.youtube.com/watch?v=1AUVSMU1hHg&amp;t=24s", "Go to time")</f>
        <v/>
      </c>
    </row>
    <row r="5822">
      <c r="A5822">
        <f>HYPERLINK("https://www.youtube.com/watch?v=4EEMDr8l_gY", "Video")</f>
        <v/>
      </c>
      <c r="B5822" t="inlineStr">
        <is>
          <t>0:36</t>
        </is>
      </c>
      <c r="C5822" t="inlineStr">
        <is>
          <t>spoon feed me mm-hmm I like big bites by</t>
        </is>
      </c>
      <c r="D5822">
        <f>HYPERLINK("https://www.youtube.com/watch?v=4EEMDr8l_gY&amp;t=36s", "Go to time")</f>
        <v/>
      </c>
    </row>
    <row r="5823">
      <c r="A5823">
        <f>HYPERLINK("https://www.youtube.com/watch?v=piYjkTV2zS4", "Video")</f>
        <v/>
      </c>
      <c r="B5823" t="inlineStr">
        <is>
          <t>2:37</t>
        </is>
      </c>
      <c r="C5823" t="inlineStr">
        <is>
          <t>how is the easy bit in fact you go into</t>
        </is>
      </c>
      <c r="D5823">
        <f>HYPERLINK("https://www.youtube.com/watch?v=piYjkTV2zS4&amp;t=157s", "Go to time")</f>
        <v/>
      </c>
    </row>
    <row r="5824">
      <c r="A5824">
        <f>HYPERLINK("https://www.youtube.com/watch?v=piYjkTV2zS4", "Video")</f>
        <v/>
      </c>
      <c r="B5824" t="inlineStr">
        <is>
          <t>2:50</t>
        </is>
      </c>
      <c r="C5824" t="inlineStr">
        <is>
          <t>after a bit of a stumble and a rumble</t>
        </is>
      </c>
      <c r="D5824">
        <f>HYPERLINK("https://www.youtube.com/watch?v=piYjkTV2zS4&amp;t=170s", "Go to time")</f>
        <v/>
      </c>
    </row>
    <row r="5825">
      <c r="A5825">
        <f>HYPERLINK("https://www.youtube.com/watch?v=KkW6PmD7Jg4", "Video")</f>
        <v/>
      </c>
      <c r="B5825" t="inlineStr">
        <is>
          <t>0:11</t>
        </is>
      </c>
      <c r="C5825" t="inlineStr">
        <is>
          <t>on here yeah she looks a little bit like</t>
        </is>
      </c>
      <c r="D5825">
        <f>HYPERLINK("https://www.youtube.com/watch?v=KkW6PmD7Jg4&amp;t=11s", "Go to time")</f>
        <v/>
      </c>
    </row>
    <row r="5826">
      <c r="A5826">
        <f>HYPERLINK("https://www.youtube.com/watch?v=GOYpqqTsO-k", "Video")</f>
        <v/>
      </c>
      <c r="B5826" t="inlineStr">
        <is>
          <t>0:48</t>
        </is>
      </c>
      <c r="C5826" t="inlineStr">
        <is>
          <t>for a little bit and then come back if</t>
        </is>
      </c>
      <c r="D5826">
        <f>HYPERLINK("https://www.youtube.com/watch?v=GOYpqqTsO-k&amp;t=48s", "Go to time")</f>
        <v/>
      </c>
    </row>
    <row r="5827">
      <c r="A5827">
        <f>HYPERLINK("https://www.youtube.com/watch?v=xYwlvWJn5wk", "Video")</f>
        <v/>
      </c>
      <c r="B5827" t="inlineStr">
        <is>
          <t>1:35</t>
        </is>
      </c>
      <c r="C5827" t="inlineStr">
        <is>
          <t>are you okay did it bite you no I'm</t>
        </is>
      </c>
      <c r="D5827">
        <f>HYPERLINK("https://www.youtube.com/watch?v=xYwlvWJn5wk&amp;t=95s", "Go to time")</f>
        <v/>
      </c>
    </row>
    <row r="5828">
      <c r="A5828">
        <f>HYPERLINK("https://www.youtube.com/watch?v=LpMKSXXgK2k", "Video")</f>
        <v/>
      </c>
      <c r="B5828" t="inlineStr">
        <is>
          <t>2:47</t>
        </is>
      </c>
      <c r="C5828" t="inlineStr">
        <is>
          <t>is that you must crawl into the same bit</t>
        </is>
      </c>
      <c r="D5828">
        <f>HYPERLINK("https://www.youtube.com/watch?v=LpMKSXXgK2k&amp;t=167s", "Go to time")</f>
        <v/>
      </c>
    </row>
    <row r="5829">
      <c r="A5829">
        <f>HYPERLINK("https://www.youtube.com/watch?v=LpMKSXXgK2k", "Video")</f>
        <v/>
      </c>
      <c r="B5829" t="inlineStr">
        <is>
          <t>12:14</t>
        </is>
      </c>
      <c r="C5829" t="inlineStr">
        <is>
          <t>but it inhibited you from understanding</t>
        </is>
      </c>
      <c r="D5829">
        <f>HYPERLINK("https://www.youtube.com/watch?v=LpMKSXXgK2k&amp;t=734s", "Go to time")</f>
        <v/>
      </c>
    </row>
    <row r="5830">
      <c r="A5830">
        <f>HYPERLINK("https://www.youtube.com/watch?v=LpMKSXXgK2k", "Video")</f>
        <v/>
      </c>
      <c r="B5830" t="inlineStr">
        <is>
          <t>25:45</t>
        </is>
      </c>
      <c r="C5830" t="inlineStr">
        <is>
          <t>sacrifice a bite down on the device in</t>
        </is>
      </c>
      <c r="D5830">
        <f>HYPERLINK("https://www.youtube.com/watch?v=LpMKSXXgK2k&amp;t=1545s", "Go to time")</f>
        <v/>
      </c>
    </row>
    <row r="5831">
      <c r="A5831">
        <f>HYPERLINK("https://www.youtube.com/watch?v=yaqDoG3X_xc", "Video")</f>
        <v/>
      </c>
      <c r="B5831" t="inlineStr">
        <is>
          <t>12:12</t>
        </is>
      </c>
      <c r="C5831" t="inlineStr">
        <is>
          <t>just believe for just a little bit just</t>
        </is>
      </c>
      <c r="D5831">
        <f>HYPERLINK("https://www.youtube.com/watch?v=yaqDoG3X_xc&amp;t=732s", "Go to time")</f>
        <v/>
      </c>
    </row>
    <row r="5832">
      <c r="A5832">
        <f>HYPERLINK("https://www.youtube.com/watch?v=yaqDoG3X_xc", "Video")</f>
        <v/>
      </c>
      <c r="B5832" t="inlineStr">
        <is>
          <t>14:11</t>
        </is>
      </c>
      <c r="C5832" t="inlineStr">
        <is>
          <t>nail-biting scene towards the end of the</t>
        </is>
      </c>
      <c r="D5832">
        <f>HYPERLINK("https://www.youtube.com/watch?v=yaqDoG3X_xc&amp;t=851s", "Go to time")</f>
        <v/>
      </c>
    </row>
    <row r="5833">
      <c r="A5833">
        <f>HYPERLINK("https://www.youtube.com/watch?v=yaqDoG3X_xc", "Video")</f>
        <v/>
      </c>
      <c r="B5833" t="inlineStr">
        <is>
          <t>17:51</t>
        </is>
      </c>
      <c r="C5833" t="inlineStr">
        <is>
          <t>uninhabitable deserted earth he's not</t>
        </is>
      </c>
      <c r="D5833">
        <f>HYPERLINK("https://www.youtube.com/watch?v=yaqDoG3X_xc&amp;t=1071s", "Go to time")</f>
        <v/>
      </c>
    </row>
    <row r="5834">
      <c r="A5834">
        <f>HYPERLINK("https://www.youtube.com/watch?v=yaqDoG3X_xc", "Video")</f>
        <v/>
      </c>
      <c r="B5834" t="inlineStr">
        <is>
          <t>23:58</t>
        </is>
      </c>
      <c r="C5834" t="inlineStr">
        <is>
          <t>allowing spock to jump up and bite his</t>
        </is>
      </c>
      <c r="D5834">
        <f>HYPERLINK("https://www.youtube.com/watch?v=yaqDoG3X_xc&amp;t=1438s", "Go to time")</f>
        <v/>
      </c>
    </row>
    <row r="5835">
      <c r="A5835">
        <f>HYPERLINK("https://www.youtube.com/watch?v=wkTYaxevAm8", "Video")</f>
        <v/>
      </c>
      <c r="B5835" t="inlineStr">
        <is>
          <t>0:55</t>
        </is>
      </c>
      <c r="C5835" t="inlineStr">
        <is>
          <t>heel and bite her in the throat last</t>
        </is>
      </c>
      <c r="D5835">
        <f>HYPERLINK("https://www.youtube.com/watch?v=wkTYaxevAm8&amp;t=55s", "Go to time")</f>
        <v/>
      </c>
    </row>
    <row r="5836">
      <c r="A5836">
        <f>HYPERLINK("https://www.youtube.com/watch?v=tRz1NjaOG1c", "Video")</f>
        <v/>
      </c>
      <c r="B5836" t="inlineStr">
        <is>
          <t>2:49</t>
        </is>
      </c>
      <c r="C5836" t="inlineStr">
        <is>
          <t>I left behind all such Ambitions that</t>
        </is>
      </c>
      <c r="D5836">
        <f>HYPERLINK("https://www.youtube.com/watch?v=tRz1NjaOG1c&amp;t=169s", "Go to time")</f>
        <v/>
      </c>
    </row>
    <row r="5837">
      <c r="A5837">
        <f>HYPERLINK("https://www.youtube.com/watch?v=U6DtTEfD-uk", "Video")</f>
        <v/>
      </c>
      <c r="B5837" t="inlineStr">
        <is>
          <t>0:47</t>
        </is>
      </c>
      <c r="C5837" t="inlineStr">
        <is>
          <t>bit scaredy cat wants to play</t>
        </is>
      </c>
      <c r="D5837">
        <f>HYPERLINK("https://www.youtube.com/watch?v=U6DtTEfD-uk&amp;t=47s", "Go to time")</f>
        <v/>
      </c>
    </row>
    <row r="5838">
      <c r="A5838">
        <f>HYPERLINK("https://www.youtube.com/watch?v=DNvQGmiEeIo", "Video")</f>
        <v/>
      </c>
      <c r="B5838" t="inlineStr">
        <is>
          <t>0:59</t>
        </is>
      </c>
      <c r="C5838" t="inlineStr">
        <is>
          <t>little bit</t>
        </is>
      </c>
      <c r="D5838">
        <f>HYPERLINK("https://www.youtube.com/watch?v=DNvQGmiEeIo&amp;t=59s", "Go to time")</f>
        <v/>
      </c>
    </row>
    <row r="5839">
      <c r="A5839">
        <f>HYPERLINK("https://www.youtube.com/watch?v=WkEK2NyGq10", "Video")</f>
        <v/>
      </c>
      <c r="B5839" t="inlineStr">
        <is>
          <t>0:37</t>
        </is>
      </c>
      <c r="C5839" t="inlineStr">
        <is>
          <t>sister rabbit are you remembering</t>
        </is>
      </c>
      <c r="D5839">
        <f>HYPERLINK("https://www.youtube.com/watch?v=WkEK2NyGq10&amp;t=37s", "Go to time")</f>
        <v/>
      </c>
    </row>
    <row r="5840">
      <c r="A5840">
        <f>HYPERLINK("https://www.youtube.com/watch?v=WkEK2NyGq10", "Video")</f>
        <v/>
      </c>
      <c r="B5840" t="inlineStr">
        <is>
          <t>1:50</t>
        </is>
      </c>
      <c r="C5840" t="inlineStr">
        <is>
          <t>sister rabbit what's up are you okay</t>
        </is>
      </c>
      <c r="D5840">
        <f>HYPERLINK("https://www.youtube.com/watch?v=WkEK2NyGq10&amp;t=110s", "Go to time")</f>
        <v/>
      </c>
    </row>
    <row r="5841">
      <c r="A5841">
        <f>HYPERLINK("https://www.youtube.com/watch?v=WkEK2NyGq10", "Video")</f>
        <v/>
      </c>
      <c r="B5841" t="inlineStr">
        <is>
          <t>1:57</t>
        </is>
      </c>
      <c r="C5841" t="inlineStr">
        <is>
          <t>sister rabbit are you okay sister sister</t>
        </is>
      </c>
      <c r="D5841">
        <f>HYPERLINK("https://www.youtube.com/watch?v=WkEK2NyGq10&amp;t=117s", "Go to time")</f>
        <v/>
      </c>
    </row>
    <row r="5842">
      <c r="A5842">
        <f>HYPERLINK("https://www.youtube.com/watch?v=WkEK2NyGq10", "Video")</f>
        <v/>
      </c>
      <c r="B5842" t="inlineStr">
        <is>
          <t>2:02</t>
        </is>
      </c>
      <c r="C5842" t="inlineStr">
        <is>
          <t>rabbit what's wrong with you hold on huh</t>
        </is>
      </c>
      <c r="D5842">
        <f>HYPERLINK("https://www.youtube.com/watch?v=WkEK2NyGq10&amp;t=122s", "Go to time")</f>
        <v/>
      </c>
    </row>
    <row r="5843">
      <c r="A5843">
        <f>HYPERLINK("https://www.youtube.com/watch?v=huDFl8Whd-Y", "Video")</f>
        <v/>
      </c>
      <c r="B5843" t="inlineStr">
        <is>
          <t>0:44</t>
        </is>
      </c>
      <c r="C5843" t="inlineStr">
        <is>
          <t>like to leave you with one final bit of</t>
        </is>
      </c>
      <c r="D5843">
        <f>HYPERLINK("https://www.youtube.com/watch?v=huDFl8Whd-Y&amp;t=44s", "Go to time")</f>
        <v/>
      </c>
    </row>
    <row r="5844">
      <c r="A5844">
        <f>HYPERLINK("https://www.youtube.com/watch?v=huDFl8Whd-Y", "Video")</f>
        <v/>
      </c>
      <c r="B5844" t="inlineStr">
        <is>
          <t>1:59</t>
        </is>
      </c>
      <c r="C5844" t="inlineStr">
        <is>
          <t>things are gonna change a little bit</t>
        </is>
      </c>
      <c r="D5844">
        <f>HYPERLINK("https://www.youtube.com/watch?v=huDFl8Whd-Y&amp;t=119s", "Go to time")</f>
        <v/>
      </c>
    </row>
    <row r="5845">
      <c r="A5845">
        <f>HYPERLINK("https://www.youtube.com/watch?v=R1ZGDUXk2k0", "Video")</f>
        <v/>
      </c>
      <c r="B5845" t="inlineStr">
        <is>
          <t>0:00</t>
        </is>
      </c>
      <c r="C5845" t="inlineStr">
        <is>
          <t>today a boxing exhibition of sorts</t>
        </is>
      </c>
      <c r="D5845">
        <f>HYPERLINK("https://www.youtube.com/watch?v=R1ZGDUXk2k0&amp;t=0s", "Go to time")</f>
        <v/>
      </c>
    </row>
    <row r="5846">
      <c r="A5846">
        <f>HYPERLINK("https://www.youtube.com/watch?v=1OtWlFfef2w", "Video")</f>
        <v/>
      </c>
      <c r="B5846" t="inlineStr">
        <is>
          <t>0:06</t>
        </is>
      </c>
      <c r="C5846" t="inlineStr">
        <is>
          <t>see a little bit I'll take it off for</t>
        </is>
      </c>
      <c r="D5846">
        <f>HYPERLINK("https://www.youtube.com/watch?v=1OtWlFfef2w&amp;t=6s", "Go to time")</f>
        <v/>
      </c>
    </row>
    <row r="5847">
      <c r="A5847">
        <f>HYPERLINK("https://www.youtube.com/watch?v=1OtWlFfef2w", "Video")</f>
        <v/>
      </c>
      <c r="B5847" t="inlineStr">
        <is>
          <t>1:45</t>
        </is>
      </c>
      <c r="C5847" t="inlineStr">
        <is>
          <t>nothing you mind if I have a bite of</t>
        </is>
      </c>
      <c r="D5847">
        <f>HYPERLINK("https://www.youtube.com/watch?v=1OtWlFfef2w&amp;t=105s", "Go to time")</f>
        <v/>
      </c>
    </row>
    <row r="5848">
      <c r="A5848">
        <f>HYPERLINK("https://www.youtube.com/watch?v=cWXe8uii0ck", "Video")</f>
        <v/>
      </c>
      <c r="B5848" t="inlineStr">
        <is>
          <t>1:44</t>
        </is>
      </c>
      <c r="C5848" t="inlineStr">
        <is>
          <t>other we had a bit of a go back when</t>
        </is>
      </c>
      <c r="D5848">
        <f>HYPERLINK("https://www.youtube.com/watch?v=cWXe8uii0ck&amp;t=104s", "Go to time")</f>
        <v/>
      </c>
    </row>
    <row r="5849">
      <c r="A5849">
        <f>HYPERLINK("https://www.youtube.com/watch?v=2bpW6lcwwzE", "Video")</f>
        <v/>
      </c>
      <c r="B5849" t="inlineStr">
        <is>
          <t>0:15</t>
        </is>
      </c>
      <c r="C5849" t="inlineStr">
        <is>
          <t>doesn't make one goddamn bit of</t>
        </is>
      </c>
      <c r="D5849">
        <f>HYPERLINK("https://www.youtube.com/watch?v=2bpW6lcwwzE&amp;t=15s", "Go to time")</f>
        <v/>
      </c>
    </row>
    <row r="5850">
      <c r="A5850">
        <f>HYPERLINK("https://www.youtube.com/watch?v=eeoTVXNshoQ", "Video")</f>
        <v/>
      </c>
      <c r="B5850" t="inlineStr">
        <is>
          <t>11:37</t>
        </is>
      </c>
      <c r="C5850" t="inlineStr">
        <is>
          <t>bit to you first because there's a</t>
        </is>
      </c>
      <c r="D5850">
        <f>HYPERLINK("https://www.youtube.com/watch?v=eeoTVXNshoQ&amp;t=697s", "Go to time")</f>
        <v/>
      </c>
    </row>
    <row r="5851">
      <c r="A5851">
        <f>HYPERLINK("https://www.youtube.com/watch?v=eeoTVXNshoQ", "Video")</f>
        <v/>
      </c>
      <c r="B5851" t="inlineStr">
        <is>
          <t>20:28</t>
        </is>
      </c>
      <c r="C5851" t="inlineStr">
        <is>
          <t>about a little bit as a scene partner</t>
        </is>
      </c>
      <c r="D5851">
        <f>HYPERLINK("https://www.youtube.com/watch?v=eeoTVXNshoQ&amp;t=1228s", "Go to time")</f>
        <v/>
      </c>
    </row>
    <row r="5852">
      <c r="A5852">
        <f>HYPERLINK("https://www.youtube.com/watch?v=Lqvt2gA8310", "Video")</f>
        <v/>
      </c>
      <c r="B5852" t="inlineStr">
        <is>
          <t>12:02</t>
        </is>
      </c>
      <c r="C5852" t="inlineStr">
        <is>
          <t>and now you take my son's bite into even</t>
        </is>
      </c>
      <c r="D5852">
        <f>HYPERLINK("https://www.youtube.com/watch?v=Lqvt2gA8310&amp;t=722s", "Go to time")</f>
        <v/>
      </c>
    </row>
    <row r="5853">
      <c r="A5853">
        <f>HYPERLINK("https://www.youtube.com/watch?v=Lqvt2gA8310", "Video")</f>
        <v/>
      </c>
      <c r="B5853" t="inlineStr">
        <is>
          <t>16:50</t>
        </is>
      </c>
      <c r="C5853" t="inlineStr">
        <is>
          <t>The Hobbit and The Lord of the Rings</t>
        </is>
      </c>
      <c r="D5853">
        <f>HYPERLINK("https://www.youtube.com/watch?v=Lqvt2gA8310&amp;t=1010s", "Go to time")</f>
        <v/>
      </c>
    </row>
    <row r="5854">
      <c r="A5854">
        <f>HYPERLINK("https://www.youtube.com/watch?v=g2PaNqE1apA", "Video")</f>
        <v/>
      </c>
      <c r="B5854" t="inlineStr">
        <is>
          <t>0:21</t>
        </is>
      </c>
      <c r="C5854" t="inlineStr">
        <is>
          <t>a wee bit bigger than what we have here</t>
        </is>
      </c>
      <c r="D5854">
        <f>HYPERLINK("https://www.youtube.com/watch?v=g2PaNqE1apA&amp;t=21s", "Go to time")</f>
        <v/>
      </c>
    </row>
    <row r="5855">
      <c r="A5855">
        <f>HYPERLINK("https://www.youtube.com/watch?v=5zSNErnZ2Hw", "Video")</f>
        <v/>
      </c>
      <c r="B5855" t="inlineStr">
        <is>
          <t>1:30</t>
        </is>
      </c>
      <c r="C5855" t="inlineStr">
        <is>
          <t>a bit with carry on too</t>
        </is>
      </c>
      <c r="D5855">
        <f>HYPERLINK("https://www.youtube.com/watch?v=5zSNErnZ2Hw&amp;t=90s", "Go to time")</f>
        <v/>
      </c>
    </row>
    <row r="5856">
      <c r="A5856">
        <f>HYPERLINK("https://www.youtube.com/watch?v=0w-VvsSV1l0", "Video")</f>
        <v/>
      </c>
      <c r="B5856" t="inlineStr">
        <is>
          <t>1:33</t>
        </is>
      </c>
      <c r="C5856" t="inlineStr">
        <is>
          <t>stealing a little bit bigger maybe</t>
        </is>
      </c>
      <c r="D5856">
        <f>HYPERLINK("https://www.youtube.com/watch?v=0w-VvsSV1l0&amp;t=93s", "Go to time")</f>
        <v/>
      </c>
    </row>
    <row r="5857">
      <c r="A5857">
        <f>HYPERLINK("https://www.youtube.com/watch?v=SM5VSiWsTds", "Video")</f>
        <v/>
      </c>
      <c r="B5857" t="inlineStr">
        <is>
          <t>6:07</t>
        </is>
      </c>
      <c r="C5857" t="inlineStr">
        <is>
          <t>with my rabbit ears all right</t>
        </is>
      </c>
      <c r="D5857">
        <f>HYPERLINK("https://www.youtube.com/watch?v=SM5VSiWsTds&amp;t=367s", "Go to time")</f>
        <v/>
      </c>
    </row>
    <row r="5858">
      <c r="A5858">
        <f>HYPERLINK("https://www.youtube.com/watch?v=SM5VSiWsTds", "Video")</f>
        <v/>
      </c>
      <c r="B5858" t="inlineStr">
        <is>
          <t>17:26</t>
        </is>
      </c>
      <c r="C5858" t="inlineStr">
        <is>
          <t>fun tidbit on jude law in the film his</t>
        </is>
      </c>
      <c r="D5858">
        <f>HYPERLINK("https://www.youtube.com/watch?v=SM5VSiWsTds&amp;t=1046s", "Go to time")</f>
        <v/>
      </c>
    </row>
    <row r="5859">
      <c r="A5859">
        <f>HYPERLINK("https://www.youtube.com/watch?v=SM5VSiWsTds", "Video")</f>
        <v/>
      </c>
      <c r="B5859" t="inlineStr">
        <is>
          <t>17:41</t>
        </is>
      </c>
      <c r="C5859" t="inlineStr">
        <is>
          <t>a little bit i was gonna go down to the</t>
        </is>
      </c>
      <c r="D5859">
        <f>HYPERLINK("https://www.youtube.com/watch?v=SM5VSiWsTds&amp;t=1061s", "Go to time")</f>
        <v/>
      </c>
    </row>
    <row r="5860">
      <c r="A5860">
        <f>HYPERLINK("https://www.youtube.com/watch?v=SM5VSiWsTds", "Video")</f>
        <v/>
      </c>
      <c r="B5860" t="inlineStr">
        <is>
          <t>19:02</t>
        </is>
      </c>
      <c r="C5860" t="inlineStr">
        <is>
          <t>bit</t>
        </is>
      </c>
      <c r="D5860">
        <f>HYPERLINK("https://www.youtube.com/watch?v=SM5VSiWsTds&amp;t=1142s", "Go to time")</f>
        <v/>
      </c>
    </row>
    <row r="5861">
      <c r="A5861">
        <f>HYPERLINK("https://www.youtube.com/watch?v=SM5VSiWsTds", "Video")</f>
        <v/>
      </c>
      <c r="B5861" t="inlineStr">
        <is>
          <t>24:04</t>
        </is>
      </c>
      <c r="C5861" t="inlineStr">
        <is>
          <t>still maybe a bit of added</t>
        </is>
      </c>
      <c r="D5861">
        <f>HYPERLINK("https://www.youtube.com/watch?v=SM5VSiWsTds&amp;t=1444s", "Go to time")</f>
        <v/>
      </c>
    </row>
    <row r="5862">
      <c r="A5862">
        <f>HYPERLINK("https://www.youtube.com/watch?v=SM5VSiWsTds", "Video")</f>
        <v/>
      </c>
      <c r="B5862" t="inlineStr">
        <is>
          <t>24:43</t>
        </is>
      </c>
      <c r="C5862" t="inlineStr">
        <is>
          <t>that is commitment to a bit moms are so</t>
        </is>
      </c>
      <c r="D5862">
        <f>HYPERLINK("https://www.youtube.com/watch?v=SM5VSiWsTds&amp;t=1483s", "Go to time")</f>
        <v/>
      </c>
    </row>
    <row r="5863">
      <c r="A5863">
        <f>HYPERLINK("https://www.youtube.com/watch?v=SM5VSiWsTds", "Video")</f>
        <v/>
      </c>
      <c r="B5863" t="inlineStr">
        <is>
          <t>33:30</t>
        </is>
      </c>
      <c r="C5863" t="inlineStr">
        <is>
          <t>bit better than most of our rotten</t>
        </is>
      </c>
      <c r="D5863">
        <f>HYPERLINK("https://www.youtube.com/watch?v=SM5VSiWsTds&amp;t=2010s", "Go to time")</f>
        <v/>
      </c>
    </row>
    <row r="5864">
      <c r="A5864">
        <f>HYPERLINK("https://www.youtube.com/watch?v=SM5VSiWsTds", "Video")</f>
        <v/>
      </c>
      <c r="B5864" t="inlineStr">
        <is>
          <t>37:48</t>
        </is>
      </c>
      <c r="C5864" t="inlineStr">
        <is>
          <t>this was fun yeah you want to get a bite</t>
        </is>
      </c>
      <c r="D5864">
        <f>HYPERLINK("https://www.youtube.com/watch?v=SM5VSiWsTds&amp;t=2268s", "Go to time")</f>
        <v/>
      </c>
    </row>
    <row r="5865">
      <c r="A5865">
        <f>HYPERLINK("https://www.youtube.com/watch?v=Qfs38mrZF-4", "Video")</f>
        <v/>
      </c>
      <c r="B5865" t="inlineStr">
        <is>
          <t>1:02</t>
        </is>
      </c>
      <c r="C5865" t="inlineStr">
        <is>
          <t>you looking at Butthead a bit getting</t>
        </is>
      </c>
      <c r="D5865">
        <f>HYPERLINK("https://www.youtube.com/watch?v=Qfs38mrZF-4&amp;t=62s", "Go to time")</f>
        <v/>
      </c>
    </row>
    <row r="5866">
      <c r="A5866">
        <f>HYPERLINK("https://www.youtube.com/watch?v=EICXimg-DXM", "Video")</f>
        <v/>
      </c>
      <c r="B5866" t="inlineStr">
        <is>
          <t>2:18</t>
        </is>
      </c>
      <c r="C5866" t="inlineStr">
        <is>
          <t>dude he tried to bite my hand</t>
        </is>
      </c>
      <c r="D5866">
        <f>HYPERLINK("https://www.youtube.com/watch?v=EICXimg-DXM&amp;t=138s", "Go to time")</f>
        <v/>
      </c>
    </row>
    <row r="5867">
      <c r="A5867">
        <f>HYPERLINK("https://www.youtube.com/watch?v=EICXimg-DXM", "Video")</f>
        <v/>
      </c>
      <c r="B5867" t="inlineStr">
        <is>
          <t>2:20</t>
        </is>
      </c>
      <c r="C5867" t="inlineStr">
        <is>
          <t>he's trying to bite my hand he's trying</t>
        </is>
      </c>
      <c r="D5867">
        <f>HYPERLINK("https://www.youtube.com/watch?v=EICXimg-DXM&amp;t=140s", "Go to time")</f>
        <v/>
      </c>
    </row>
    <row r="5868">
      <c r="A5868">
        <f>HYPERLINK("https://www.youtube.com/watch?v=EICXimg-DXM", "Video")</f>
        <v/>
      </c>
      <c r="B5868" t="inlineStr">
        <is>
          <t>2:21</t>
        </is>
      </c>
      <c r="C5868" t="inlineStr">
        <is>
          <t>to bite my hand he's trying to bite my</t>
        </is>
      </c>
      <c r="D5868">
        <f>HYPERLINK("https://www.youtube.com/watch?v=EICXimg-DXM&amp;t=141s", "Go to time")</f>
        <v/>
      </c>
    </row>
    <row r="5869">
      <c r="A5869">
        <f>HYPERLINK("https://www.youtube.com/watch?v=eX7KaNfNG3c", "Video")</f>
        <v/>
      </c>
      <c r="B5869" t="inlineStr">
        <is>
          <t>0:36</t>
        </is>
      </c>
      <c r="C5869" t="inlineStr">
        <is>
          <t>for you to talk a little bit about since</t>
        </is>
      </c>
      <c r="D5869">
        <f>HYPERLINK("https://www.youtube.com/watch?v=eX7KaNfNG3c&amp;t=36s", "Go to time")</f>
        <v/>
      </c>
    </row>
    <row r="5870">
      <c r="A5870">
        <f>HYPERLINK("https://www.youtube.com/watch?v=eX7KaNfNG3c", "Video")</f>
        <v/>
      </c>
      <c r="B5870" t="inlineStr">
        <is>
          <t>4:00</t>
        </is>
      </c>
      <c r="C5870" t="inlineStr">
        <is>
          <t>it was a scene that was a bit tricky</t>
        </is>
      </c>
      <c r="D5870">
        <f>HYPERLINK("https://www.youtube.com/watch?v=eX7KaNfNG3c&amp;t=240s", "Go to time")</f>
        <v/>
      </c>
    </row>
    <row r="5871">
      <c r="A5871">
        <f>HYPERLINK("https://www.youtube.com/watch?v=eX7KaNfNG3c", "Video")</f>
        <v/>
      </c>
      <c r="B5871" t="inlineStr">
        <is>
          <t>13:14</t>
        </is>
      </c>
      <c r="C5871" t="inlineStr">
        <is>
          <t>right now and you I felt he was a bit</t>
        </is>
      </c>
      <c r="D5871">
        <f>HYPERLINK("https://www.youtube.com/watch?v=eX7KaNfNG3c&amp;t=794s", "Go to time")</f>
        <v/>
      </c>
    </row>
    <row r="5872">
      <c r="A5872">
        <f>HYPERLINK("https://www.youtube.com/watch?v=eX7KaNfNG3c", "Video")</f>
        <v/>
      </c>
      <c r="B5872" t="inlineStr">
        <is>
          <t>13:17</t>
        </is>
      </c>
      <c r="C5872" t="inlineStr">
        <is>
          <t>reluctant a bit impatient to to finally</t>
        </is>
      </c>
      <c r="D5872">
        <f>HYPERLINK("https://www.youtube.com/watch?v=eX7KaNfNG3c&amp;t=797s", "Go to time")</f>
        <v/>
      </c>
    </row>
    <row r="5873">
      <c r="A5873">
        <f>HYPERLINK("https://www.youtube.com/watch?v=eX7KaNfNG3c", "Video")</f>
        <v/>
      </c>
      <c r="B5873" t="inlineStr">
        <is>
          <t>15:47</t>
        </is>
      </c>
      <c r="C5873" t="inlineStr">
        <is>
          <t>little bit of correcting the record also</t>
        </is>
      </c>
      <c r="D5873">
        <f>HYPERLINK("https://www.youtube.com/watch?v=eX7KaNfNG3c&amp;t=947s", "Go to time")</f>
        <v/>
      </c>
    </row>
    <row r="5874">
      <c r="A5874">
        <f>HYPERLINK("https://www.youtube.com/watch?v=eX7KaNfNG3c", "Video")</f>
        <v/>
      </c>
      <c r="B5874" t="inlineStr">
        <is>
          <t>16:42</t>
        </is>
      </c>
      <c r="C5874" t="inlineStr">
        <is>
          <t>bit let's say Running on Fumes and and I</t>
        </is>
      </c>
      <c r="D5874">
        <f>HYPERLINK("https://www.youtube.com/watch?v=eX7KaNfNG3c&amp;t=1002s", "Go to time")</f>
        <v/>
      </c>
    </row>
    <row r="5875">
      <c r="A5875">
        <f>HYPERLINK("https://www.youtube.com/watch?v=eX7KaNfNG3c", "Video")</f>
        <v/>
      </c>
      <c r="B5875" t="inlineStr">
        <is>
          <t>16:57</t>
        </is>
      </c>
      <c r="C5875" t="inlineStr">
        <is>
          <t>forward and and I was a bit more grumpy</t>
        </is>
      </c>
      <c r="D5875">
        <f>HYPERLINK("https://www.youtube.com/watch?v=eX7KaNfNG3c&amp;t=1017s", "Go to time")</f>
        <v/>
      </c>
    </row>
    <row r="5876">
      <c r="A5876">
        <f>HYPERLINK("https://www.youtube.com/watch?v=JkAWo365C8c", "Video")</f>
        <v/>
      </c>
      <c r="B5876" t="inlineStr">
        <is>
          <t>2:25</t>
        </is>
      </c>
      <c r="C5876" t="inlineStr">
        <is>
          <t>the whole body and the bite which is</t>
        </is>
      </c>
      <c r="D5876">
        <f>HYPERLINK("https://www.youtube.com/watch?v=JkAWo365C8c&amp;t=145s", "Go to time")</f>
        <v/>
      </c>
    </row>
    <row r="5877">
      <c r="A5877">
        <f>HYPERLINK("https://www.youtube.com/watch?v=JkAWo365C8c", "Video")</f>
        <v/>
      </c>
      <c r="B5877" t="inlineStr">
        <is>
          <t>5:04</t>
        </is>
      </c>
      <c r="C5877" t="inlineStr">
        <is>
          <t>it well maybe I saw a little bit more</t>
        </is>
      </c>
      <c r="D5877">
        <f>HYPERLINK("https://www.youtube.com/watch?v=JkAWo365C8c&amp;t=304s", "Go to time")</f>
        <v/>
      </c>
    </row>
    <row r="5878">
      <c r="A5878">
        <f>HYPERLINK("https://www.youtube.com/watch?v=8CA1Jv6clOQ", "Video")</f>
        <v/>
      </c>
      <c r="B5878" t="inlineStr">
        <is>
          <t>2:02</t>
        </is>
      </c>
      <c r="C5878" t="inlineStr">
        <is>
          <t>slightest bit worthy of I might add dear</t>
        </is>
      </c>
      <c r="D5878">
        <f>HYPERLINK("https://www.youtube.com/watch?v=8CA1Jv6clOQ&amp;t=122s", "Go to time")</f>
        <v/>
      </c>
    </row>
    <row r="5879">
      <c r="A5879">
        <f>HYPERLINK("https://www.youtube.com/watch?v=upyGJw1GYzs", "Video")</f>
        <v/>
      </c>
      <c r="B5879" t="inlineStr">
        <is>
          <t>6:44</t>
        </is>
      </c>
      <c r="C5879" t="inlineStr">
        <is>
          <t>alike well well big bad bug got a bit of</t>
        </is>
      </c>
      <c r="D5879">
        <f>HYPERLINK("https://www.youtube.com/watch?v=upyGJw1GYzs&amp;t=404s", "Go to time")</f>
        <v/>
      </c>
    </row>
    <row r="5880">
      <c r="A5880">
        <f>HYPERLINK("https://www.youtube.com/watch?v=zkY-Td5ds1c", "Video")</f>
        <v/>
      </c>
      <c r="B5880" t="inlineStr">
        <is>
          <t>18:29</t>
        </is>
      </c>
      <c r="C5880" t="inlineStr">
        <is>
          <t>corvette it was an ambitious undertaking</t>
        </is>
      </c>
      <c r="D5880">
        <f>HYPERLINK("https://www.youtube.com/watch?v=zkY-Td5ds1c&amp;t=1109s", "Go to time")</f>
        <v/>
      </c>
    </row>
    <row r="5881">
      <c r="A5881">
        <f>HYPERLINK("https://www.youtube.com/watch?v=69EgFXB9x94", "Video")</f>
        <v/>
      </c>
      <c r="B5881" t="inlineStr">
        <is>
          <t>0:42</t>
        </is>
      </c>
      <c r="C5881" t="inlineStr">
        <is>
          <t>if i painted the rabbits in high tops</t>
        </is>
      </c>
      <c r="D5881">
        <f>HYPERLINK("https://www.youtube.com/watch?v=69EgFXB9x94&amp;t=42s", "Go to time")</f>
        <v/>
      </c>
    </row>
    <row r="5882">
      <c r="A5882">
        <f>HYPERLINK("https://www.youtube.com/watch?v=69EgFXB9x94", "Video")</f>
        <v/>
      </c>
      <c r="B5882" t="inlineStr">
        <is>
          <t>1:36</t>
        </is>
      </c>
      <c r="C5882" t="inlineStr">
        <is>
          <t>quite a bit oh</t>
        </is>
      </c>
      <c r="D5882">
        <f>HYPERLINK("https://www.youtube.com/watch?v=69EgFXB9x94&amp;t=96s", "Go to time")</f>
        <v/>
      </c>
    </row>
    <row r="5883">
      <c r="A5883">
        <f>HYPERLINK("https://www.youtube.com/watch?v=PV9JKRuptU0", "Video")</f>
        <v/>
      </c>
      <c r="B5883" t="inlineStr">
        <is>
          <t>2:31</t>
        </is>
      </c>
      <c r="C5883" t="inlineStr">
        <is>
          <t>noisy Pro to biting Ro going to</t>
        </is>
      </c>
      <c r="D5883">
        <f>HYPERLINK("https://www.youtube.com/watch?v=PV9JKRuptU0&amp;t=151s", "Go to time")</f>
        <v/>
      </c>
    </row>
    <row r="5884">
      <c r="A5884">
        <f>HYPERLINK("https://www.youtube.com/watch?v=lKI2I1foF8I", "Video")</f>
        <v/>
      </c>
      <c r="B5884" t="inlineStr">
        <is>
          <t>0:45</t>
        </is>
      </c>
      <c r="C5884" t="inlineStr">
        <is>
          <t>and that I've sometimes been a bit of a</t>
        </is>
      </c>
      <c r="D5884">
        <f>HYPERLINK("https://www.youtube.com/watch?v=lKI2I1foF8I&amp;t=45s", "Go to time")</f>
        <v/>
      </c>
    </row>
    <row r="5885">
      <c r="A5885">
        <f>HYPERLINK("https://www.youtube.com/watch?v=MaaRVK3rIqA", "Video")</f>
        <v/>
      </c>
      <c r="B5885" t="inlineStr">
        <is>
          <t>1:21</t>
        </is>
      </c>
      <c r="C5885" t="inlineStr">
        <is>
          <t>I got plans Ambitions like</t>
        </is>
      </c>
      <c r="D5885">
        <f>HYPERLINK("https://www.youtube.com/watch?v=MaaRVK3rIqA&amp;t=81s", "Go to time")</f>
        <v/>
      </c>
    </row>
    <row r="5886">
      <c r="A5886">
        <f>HYPERLINK("https://www.youtube.com/watch?v=83122tKLGw4", "Video")</f>
        <v/>
      </c>
      <c r="B5886" t="inlineStr">
        <is>
          <t>12:52</t>
        </is>
      </c>
      <c r="C5886" t="inlineStr">
        <is>
          <t>know so I think it's a little bit of</t>
        </is>
      </c>
      <c r="D5886">
        <f>HYPERLINK("https://www.youtube.com/watch?v=83122tKLGw4&amp;t=772s", "Go to time")</f>
        <v/>
      </c>
    </row>
    <row r="5887">
      <c r="A5887">
        <f>HYPERLINK("https://www.youtube.com/watch?v=83122tKLGw4", "Video")</f>
        <v/>
      </c>
      <c r="B5887" t="inlineStr">
        <is>
          <t>15:29</t>
        </is>
      </c>
      <c r="C5887" t="inlineStr">
        <is>
          <t>a little bit of resisting Authority I</t>
        </is>
      </c>
      <c r="D5887">
        <f>HYPERLINK("https://www.youtube.com/watch?v=83122tKLGw4&amp;t=929s", "Go to time")</f>
        <v/>
      </c>
    </row>
    <row r="5888">
      <c r="A5888">
        <f>HYPERLINK("https://www.youtube.com/watch?v=83122tKLGw4", "Video")</f>
        <v/>
      </c>
      <c r="B5888" t="inlineStr">
        <is>
          <t>25:35</t>
        </is>
      </c>
      <c r="C5888" t="inlineStr">
        <is>
          <t>gotta grade it on a curve a little bit</t>
        </is>
      </c>
      <c r="D5888">
        <f>HYPERLINK("https://www.youtube.com/watch?v=83122tKLGw4&amp;t=1535s", "Go to time")</f>
        <v/>
      </c>
    </row>
    <row r="5889">
      <c r="A5889">
        <f>HYPERLINK("https://www.youtube.com/watch?v=83122tKLGw4", "Video")</f>
        <v/>
      </c>
      <c r="B5889" t="inlineStr">
        <is>
          <t>32:28</t>
        </is>
      </c>
      <c r="C5889" t="inlineStr">
        <is>
          <t>bit of a sampler we also have that</t>
        </is>
      </c>
      <c r="D5889">
        <f>HYPERLINK("https://www.youtube.com/watch?v=83122tKLGw4&amp;t=1948s", "Go to time")</f>
        <v/>
      </c>
    </row>
    <row r="5890">
      <c r="A5890">
        <f>HYPERLINK("https://www.youtube.com/watch?v=83122tKLGw4", "Video")</f>
        <v/>
      </c>
      <c r="B5890" t="inlineStr">
        <is>
          <t>35:11</t>
        </is>
      </c>
      <c r="C5890" t="inlineStr">
        <is>
          <t>to put on an exhibition for the fans</t>
        </is>
      </c>
      <c r="D5890">
        <f>HYPERLINK("https://www.youtube.com/watch?v=83122tKLGw4&amp;t=2111s", "Go to time")</f>
        <v/>
      </c>
    </row>
    <row r="5891">
      <c r="A5891">
        <f>HYPERLINK("https://www.youtube.com/watch?v=83122tKLGw4", "Video")</f>
        <v/>
      </c>
      <c r="B5891" t="inlineStr">
        <is>
          <t>47:33</t>
        </is>
      </c>
      <c r="C5891" t="inlineStr">
        <is>
          <t>bit of a delinquency under the professor</t>
        </is>
      </c>
      <c r="D5891">
        <f>HYPERLINK("https://www.youtube.com/watch?v=83122tKLGw4&amp;t=2853s", "Go to time")</f>
        <v/>
      </c>
    </row>
    <row r="5892">
      <c r="A5892">
        <f>HYPERLINK("https://www.youtube.com/watch?v=83122tKLGw4", "Video")</f>
        <v/>
      </c>
      <c r="B5892" t="inlineStr">
        <is>
          <t>50:10</t>
        </is>
      </c>
      <c r="C5892" t="inlineStr">
        <is>
          <t>little bit slow it's a lot of synth and</t>
        </is>
      </c>
      <c r="D5892">
        <f>HYPERLINK("https://www.youtube.com/watch?v=83122tKLGw4&amp;t=3010s", "Go to time")</f>
        <v/>
      </c>
    </row>
    <row r="5893">
      <c r="A5893">
        <f>HYPERLINK("https://www.youtube.com/watch?v=_UledOmoM-Q", "Video")</f>
        <v/>
      </c>
      <c r="B5893" t="inlineStr">
        <is>
          <t>0:33</t>
        </is>
      </c>
      <c r="C5893" t="inlineStr">
        <is>
          <t>land just a tiny bit okay why did I wait</t>
        </is>
      </c>
      <c r="D5893">
        <f>HYPERLINK("https://www.youtube.com/watch?v=_UledOmoM-Q&amp;t=33s", "Go to time")</f>
        <v/>
      </c>
    </row>
    <row r="5894">
      <c r="A5894">
        <f>HYPERLINK("https://www.youtube.com/watch?v=vY0UZtTr2rU", "Video")</f>
        <v/>
      </c>
      <c r="B5894" t="inlineStr">
        <is>
          <t>0:23</t>
        </is>
      </c>
      <c r="C5894" t="inlineStr">
        <is>
          <t>mosquitoes buzzing around you bite you</t>
        </is>
      </c>
      <c r="D5894">
        <f>HYPERLINK("https://www.youtube.com/watch?v=vY0UZtTr2rU&amp;t=23s", "Go to time")</f>
        <v/>
      </c>
    </row>
    <row r="5895">
      <c r="A5895">
        <f>HYPERLINK("https://www.youtube.com/watch?v=8p1gevM0y-I", "Video")</f>
        <v/>
      </c>
      <c r="B5895" t="inlineStr">
        <is>
          <t>0:17</t>
        </is>
      </c>
      <c r="C5895" t="inlineStr">
        <is>
          <t>seven that's a hutch bit of ever I heard</t>
        </is>
      </c>
      <c r="D5895">
        <f>HYPERLINK("https://www.youtube.com/watch?v=8p1gevM0y-I&amp;t=17s", "Go to time")</f>
        <v/>
      </c>
    </row>
    <row r="5896">
      <c r="A5896">
        <f>HYPERLINK("https://www.youtube.com/watch?v=OJrGd-0oOo0", "Video")</f>
        <v/>
      </c>
      <c r="B5896" t="inlineStr">
        <is>
          <t>5:12</t>
        </is>
      </c>
      <c r="C5896" t="inlineStr">
        <is>
          <t>little bit later but i do want to give</t>
        </is>
      </c>
      <c r="D5896">
        <f>HYPERLINK("https://www.youtube.com/watch?v=OJrGd-0oOo0&amp;t=312s", "Go to time")</f>
        <v/>
      </c>
    </row>
    <row r="5897">
      <c r="A5897">
        <f>HYPERLINK("https://www.youtube.com/watch?v=OJrGd-0oOo0", "Video")</f>
        <v/>
      </c>
      <c r="B5897" t="inlineStr">
        <is>
          <t>7:17</t>
        </is>
      </c>
      <c r="C5897" t="inlineStr">
        <is>
          <t>didn't bite until a certain name came</t>
        </is>
      </c>
      <c r="D5897">
        <f>HYPERLINK("https://www.youtube.com/watch?v=OJrGd-0oOo0&amp;t=437s", "Go to time")</f>
        <v/>
      </c>
    </row>
    <row r="5898">
      <c r="A5898">
        <f>HYPERLINK("https://www.youtube.com/watch?v=ZUeMz_tlCso", "Video")</f>
        <v/>
      </c>
      <c r="B5898" t="inlineStr">
        <is>
          <t>1:44</t>
        </is>
      </c>
      <c r="C5898" t="inlineStr">
        <is>
          <t>little bit</t>
        </is>
      </c>
      <c r="D5898">
        <f>HYPERLINK("https://www.youtube.com/watch?v=ZUeMz_tlCso&amp;t=104s", "Go to time")</f>
        <v/>
      </c>
    </row>
    <row r="5899">
      <c r="A5899">
        <f>HYPERLINK("https://www.youtube.com/watch?v=JZt4T37_OmE", "Video")</f>
        <v/>
      </c>
      <c r="B5899" t="inlineStr">
        <is>
          <t>0:49</t>
        </is>
      </c>
      <c r="C5899" t="inlineStr">
        <is>
          <t>step into the aya bit bus stop</t>
        </is>
      </c>
      <c r="D5899">
        <f>HYPERLINK("https://www.youtube.com/watch?v=JZt4T37_OmE&amp;t=49s", "Go to time")</f>
        <v/>
      </c>
    </row>
    <row r="5900">
      <c r="A5900">
        <f>HYPERLINK("https://www.youtube.com/watch?v=hLCOdzEXUp4", "Video")</f>
        <v/>
      </c>
      <c r="B5900" t="inlineStr">
        <is>
          <t>2:09</t>
        </is>
      </c>
      <c r="C5900" t="inlineStr">
        <is>
          <t>a little bit</t>
        </is>
      </c>
      <c r="D5900">
        <f>HYPERLINK("https://www.youtube.com/watch?v=hLCOdzEXUp4&amp;t=129s", "Go to time")</f>
        <v/>
      </c>
    </row>
    <row r="5901">
      <c r="A5901">
        <f>HYPERLINK("https://www.youtube.com/watch?v=42ndBO23iNQ", "Video")</f>
        <v/>
      </c>
      <c r="B5901" t="inlineStr">
        <is>
          <t>0:00</t>
        </is>
      </c>
      <c r="C5901" t="inlineStr">
        <is>
          <t>my day may be a bit more hectic thanks</t>
        </is>
      </c>
      <c r="D5901">
        <f>HYPERLINK("https://www.youtube.com/watch?v=42ndBO23iNQ&amp;t=0s", "Go to time")</f>
        <v/>
      </c>
    </row>
    <row r="5902">
      <c r="A5902">
        <f>HYPERLINK("https://www.youtube.com/watch?v=u7RlpGXXTJU", "Video")</f>
        <v/>
      </c>
      <c r="B5902" t="inlineStr">
        <is>
          <t>2:00</t>
        </is>
      </c>
      <c r="C5902" t="inlineStr">
        <is>
          <t>move back just a little bit</t>
        </is>
      </c>
      <c r="D5902">
        <f>HYPERLINK("https://www.youtube.com/watch?v=u7RlpGXXTJU&amp;t=120s", "Go to time")</f>
        <v/>
      </c>
    </row>
    <row r="5903">
      <c r="A5903">
        <f>HYPERLINK("https://www.youtube.com/watch?v=1KJu7UIc0pU", "Video")</f>
        <v/>
      </c>
      <c r="B5903" t="inlineStr">
        <is>
          <t>2:46</t>
        </is>
      </c>
      <c r="C5903" t="inlineStr">
        <is>
          <t>need a little bit more juice can I do</t>
        </is>
      </c>
      <c r="D5903">
        <f>HYPERLINK("https://www.youtube.com/watch?v=1KJu7UIc0pU&amp;t=166s", "Go to time")</f>
        <v/>
      </c>
    </row>
    <row r="5904">
      <c r="A5904">
        <f>HYPERLINK("https://www.youtube.com/watch?v=QBWyMNNDyyU", "Video")</f>
        <v/>
      </c>
      <c r="B5904" t="inlineStr">
        <is>
          <t>2:51</t>
        </is>
      </c>
      <c r="C5904" t="inlineStr">
        <is>
          <t>forest in Frostbite Falls and sure</t>
        </is>
      </c>
      <c r="D5904">
        <f>HYPERLINK("https://www.youtube.com/watch?v=QBWyMNNDyyU&amp;t=171s", "Go to time")</f>
        <v/>
      </c>
    </row>
    <row r="5905">
      <c r="A5905">
        <f>HYPERLINK("https://www.youtube.com/watch?v=zXpWuUgT2WY", "Video")</f>
        <v/>
      </c>
      <c r="B5905" t="inlineStr">
        <is>
          <t>1:53</t>
        </is>
      </c>
      <c r="C5905" t="inlineStr">
        <is>
          <t>covers it's a snake and it bites his</t>
        </is>
      </c>
      <c r="D5905">
        <f>HYPERLINK("https://www.youtube.com/watch?v=zXpWuUgT2WY&amp;t=113s", "Go to time")</f>
        <v/>
      </c>
    </row>
    <row r="5906">
      <c r="A5906">
        <f>HYPERLINK("https://www.youtube.com/watch?v=wP3TfR9QlwY", "Video")</f>
        <v/>
      </c>
      <c r="B5906" t="inlineStr">
        <is>
          <t>1:34</t>
        </is>
      </c>
      <c r="C5906" t="inlineStr">
        <is>
          <t>Sir with three bits of sticky tape three</t>
        </is>
      </c>
      <c r="D5906">
        <f>HYPERLINK("https://www.youtube.com/watch?v=wP3TfR9QlwY&amp;t=94s", "Go to time")</f>
        <v/>
      </c>
    </row>
    <row r="5907">
      <c r="A5907">
        <f>HYPERLINK("https://www.youtube.com/watch?v=wP3TfR9QlwY", "Video")</f>
        <v/>
      </c>
      <c r="B5907" t="inlineStr">
        <is>
          <t>2:23</t>
        </is>
      </c>
      <c r="C5907" t="inlineStr">
        <is>
          <t>bit where a reindeer short France</t>
        </is>
      </c>
      <c r="D5907">
        <f>HYPERLINK("https://www.youtube.com/watch?v=wP3TfR9QlwY&amp;t=143s", "Go to time")</f>
        <v/>
      </c>
    </row>
    <row r="5908">
      <c r="A5908">
        <f>HYPERLINK("https://www.youtube.com/watch?v=XSvMbUumY4A", "Video")</f>
        <v/>
      </c>
      <c r="B5908" t="inlineStr">
        <is>
          <t>3:37</t>
        </is>
      </c>
      <c r="C5908" t="inlineStr">
        <is>
          <t>Ambit of additional academic Pursuits</t>
        </is>
      </c>
      <c r="D5908">
        <f>HYPERLINK("https://www.youtube.com/watch?v=XSvMbUumY4A&amp;t=217s", "Go to time")</f>
        <v/>
      </c>
    </row>
    <row r="5909">
      <c r="A5909">
        <f>HYPERLINK("https://www.youtube.com/watch?v=Sf9gqUHAuMA", "Video")</f>
        <v/>
      </c>
      <c r="B5909" t="inlineStr">
        <is>
          <t>0:13</t>
        </is>
      </c>
      <c r="C5909" t="inlineStr">
        <is>
          <t>bit presumptuous isn't it forgive me for</t>
        </is>
      </c>
      <c r="D5909">
        <f>HYPERLINK("https://www.youtube.com/watch?v=Sf9gqUHAuMA&amp;t=13s", "Go to time")</f>
        <v/>
      </c>
    </row>
    <row r="5910">
      <c r="A5910">
        <f>HYPERLINK("https://www.youtube.com/watch?v=0AcfNBtbpUI", "Video")</f>
        <v/>
      </c>
      <c r="B5910" t="inlineStr">
        <is>
          <t>1:47</t>
        </is>
      </c>
      <c r="C5910" t="inlineStr">
        <is>
          <t>the billboard a little bit harder to</t>
        </is>
      </c>
      <c r="D5910">
        <f>HYPERLINK("https://www.youtube.com/watch?v=0AcfNBtbpUI&amp;t=107s", "Go to time")</f>
        <v/>
      </c>
    </row>
    <row r="5911">
      <c r="A5911">
        <f>HYPERLINK("https://www.youtube.com/watch?v=qL6Qgxz_oog", "Video")</f>
        <v/>
      </c>
      <c r="B5911" t="inlineStr">
        <is>
          <t>6:48</t>
        </is>
      </c>
      <c r="C5911" t="inlineStr">
        <is>
          <t>and the prohibited nature of their</t>
        </is>
      </c>
      <c r="D5911">
        <f>HYPERLINK("https://www.youtube.com/watch?v=qL6Qgxz_oog&amp;t=408s", "Go to time")</f>
        <v/>
      </c>
    </row>
    <row r="5912">
      <c r="A5912">
        <f>HYPERLINK("https://www.youtube.com/watch?v=qL6Qgxz_oog", "Video")</f>
        <v/>
      </c>
      <c r="B5912" t="inlineStr">
        <is>
          <t>7:11</t>
        </is>
      </c>
      <c r="C5912" t="inlineStr">
        <is>
          <t>the white man's overbite</t>
        </is>
      </c>
      <c r="D5912">
        <f>HYPERLINK("https://www.youtube.com/watch?v=qL6Qgxz_oog&amp;t=431s", "Go to time")</f>
        <v/>
      </c>
    </row>
    <row r="5913">
      <c r="A5913">
        <f>HYPERLINK("https://www.youtube.com/watch?v=gqHRz6SrfiA", "Video")</f>
        <v/>
      </c>
      <c r="B5913" t="inlineStr">
        <is>
          <t>1:04</t>
        </is>
      </c>
      <c r="C5913" t="inlineStr">
        <is>
          <t>when you think about it says arbitraries</t>
        </is>
      </c>
      <c r="D5913">
        <f>HYPERLINK("https://www.youtube.com/watch?v=gqHRz6SrfiA&amp;t=64s", "Go to time")</f>
        <v/>
      </c>
    </row>
    <row r="5914">
      <c r="A5914">
        <f>HYPERLINK("https://www.youtube.com/watch?v=_yMbz437IWI", "Video")</f>
        <v/>
      </c>
      <c r="B5914" t="inlineStr">
        <is>
          <t>0:22</t>
        </is>
      </c>
      <c r="C5914" t="inlineStr">
        <is>
          <t>little bit about the journey that you</t>
        </is>
      </c>
      <c r="D5914">
        <f>HYPERLINK("https://www.youtube.com/watch?v=_yMbz437IWI&amp;t=22s", "Go to time")</f>
        <v/>
      </c>
    </row>
    <row r="5915">
      <c r="A5915">
        <f>HYPERLINK("https://www.youtube.com/watch?v=_yMbz437IWI", "Video")</f>
        <v/>
      </c>
      <c r="B5915" t="inlineStr">
        <is>
          <t>2:10</t>
        </is>
      </c>
      <c r="C5915" t="inlineStr">
        <is>
          <t>bit which is kind of driven by Car's</t>
        </is>
      </c>
      <c r="D5915">
        <f>HYPERLINK("https://www.youtube.com/watch?v=_yMbz437IWI&amp;t=130s", "Go to time")</f>
        <v/>
      </c>
    </row>
    <row r="5916">
      <c r="A5916">
        <f>HYPERLINK("https://www.youtube.com/watch?v=_yMbz437IWI", "Video")</f>
        <v/>
      </c>
      <c r="B5916" t="inlineStr">
        <is>
          <t>5:19</t>
        </is>
      </c>
      <c r="C5916" t="inlineStr">
        <is>
          <t>your seat a little bit Yeah I think like</t>
        </is>
      </c>
      <c r="D5916">
        <f>HYPERLINK("https://www.youtube.com/watch?v=_yMbz437IWI&amp;t=319s", "Go to time")</f>
        <v/>
      </c>
    </row>
    <row r="5917">
      <c r="A5917">
        <f>HYPERLINK("https://www.youtube.com/watch?v=_yMbz437IWI", "Video")</f>
        <v/>
      </c>
      <c r="B5917" t="inlineStr">
        <is>
          <t>5:54</t>
        </is>
      </c>
      <c r="C5917" t="inlineStr">
        <is>
          <t>was just a bit too much for me really</t>
        </is>
      </c>
      <c r="D5917">
        <f>HYPERLINK("https://www.youtube.com/watch?v=_yMbz437IWI&amp;t=354s", "Go to time")</f>
        <v/>
      </c>
    </row>
    <row r="5918">
      <c r="A5918">
        <f>HYPERLINK("https://www.youtube.com/watch?v=_yMbz437IWI", "Video")</f>
        <v/>
      </c>
      <c r="B5918" t="inlineStr">
        <is>
          <t>6:37</t>
        </is>
      </c>
      <c r="C5918" t="inlineStr">
        <is>
          <t>little bit Yeah Yeah So that that was</t>
        </is>
      </c>
      <c r="D5918">
        <f>HYPERLINK("https://www.youtube.com/watch?v=_yMbz437IWI&amp;t=397s", "Go to time")</f>
        <v/>
      </c>
    </row>
    <row r="5919">
      <c r="A5919">
        <f>HYPERLINK("https://www.youtube.com/watch?v=NGL1AWRMa7k", "Video")</f>
        <v/>
      </c>
      <c r="B5919" t="inlineStr">
        <is>
          <t>11:23</t>
        </is>
      </c>
      <c r="C5919" t="inlineStr">
        <is>
          <t>something just a little bit extra oh I</t>
        </is>
      </c>
      <c r="D5919">
        <f>HYPERLINK("https://www.youtube.com/watch?v=NGL1AWRMa7k&amp;t=683s", "Go to time")</f>
        <v/>
      </c>
    </row>
    <row r="5920">
      <c r="A5920">
        <f>HYPERLINK("https://www.youtube.com/watch?v=NGL1AWRMa7k", "Video")</f>
        <v/>
      </c>
      <c r="B5920" t="inlineStr">
        <is>
          <t>11:29</t>
        </is>
      </c>
      <c r="C5920" t="inlineStr">
        <is>
          <t>draw but more but just a little bit</t>
        </is>
      </c>
      <c r="D5920">
        <f>HYPERLINK("https://www.youtube.com/watch?v=NGL1AWRMa7k&amp;t=689s", "Go to time")</f>
        <v/>
      </c>
    </row>
    <row r="5921">
      <c r="A5921">
        <f>HYPERLINK("https://www.youtube.com/watch?v=qfDzFRrWppU", "Video")</f>
        <v/>
      </c>
      <c r="B5921" t="inlineStr">
        <is>
          <t>1:27</t>
        </is>
      </c>
      <c r="C5921" t="inlineStr">
        <is>
          <t>a bit of time</t>
        </is>
      </c>
      <c r="D5921">
        <f>HYPERLINK("https://www.youtube.com/watch?v=qfDzFRrWppU&amp;t=87s", "Go to time")</f>
        <v/>
      </c>
    </row>
    <row r="5922">
      <c r="A5922">
        <f>HYPERLINK("https://www.youtube.com/watch?v=JjA4uWgf_Yo", "Video")</f>
        <v/>
      </c>
      <c r="B5922" t="inlineStr">
        <is>
          <t>1:44</t>
        </is>
      </c>
      <c r="C5922" t="inlineStr">
        <is>
          <t>told us the minute we bit the word about</t>
        </is>
      </c>
      <c r="D5922">
        <f>HYPERLINK("https://www.youtube.com/watch?v=JjA4uWgf_Yo&amp;t=104s", "Go to time")</f>
        <v/>
      </c>
    </row>
    <row r="5923">
      <c r="A5923">
        <f>HYPERLINK("https://www.youtube.com/watch?v=VVaSBQUtpk0", "Video")</f>
        <v/>
      </c>
      <c r="B5923" t="inlineStr">
        <is>
          <t>1:05</t>
        </is>
      </c>
      <c r="C5923" t="inlineStr">
        <is>
          <t>the ugly people to bite themselves</t>
        </is>
      </c>
      <c r="D5923">
        <f>HYPERLINK("https://www.youtube.com/watch?v=VVaSBQUtpk0&amp;t=65s", "Go to time")</f>
        <v/>
      </c>
    </row>
    <row r="5924">
      <c r="A5924">
        <f>HYPERLINK("https://www.youtube.com/watch?v=kcYJYnG2OhM", "Video")</f>
        <v/>
      </c>
      <c r="B5924" t="inlineStr">
        <is>
          <t>3:06</t>
        </is>
      </c>
      <c r="C5924" t="inlineStr">
        <is>
          <t>in the r you keep on being a rabbit then</t>
        </is>
      </c>
      <c r="D5924">
        <f>HYPERLINK("https://www.youtube.com/watch?v=kcYJYnG2OhM&amp;t=186s", "Go to time")</f>
        <v/>
      </c>
    </row>
    <row r="5925">
      <c r="A5925">
        <f>HYPERLINK("https://www.youtube.com/watch?v=0dZOPgVO26c", "Video")</f>
        <v/>
      </c>
      <c r="B5925" t="inlineStr">
        <is>
          <t>3:48</t>
        </is>
      </c>
      <c r="C5925" t="inlineStr">
        <is>
          <t>me how do you feel I feel like I got bit</t>
        </is>
      </c>
      <c r="D5925">
        <f>HYPERLINK("https://www.youtube.com/watch?v=0dZOPgVO26c&amp;t=228s", "Go to time")</f>
        <v/>
      </c>
    </row>
    <row r="5926">
      <c r="A5926">
        <f>HYPERLINK("https://www.youtube.com/watch?v=e3fMVooS-zw", "Video")</f>
        <v/>
      </c>
      <c r="B5926" t="inlineStr">
        <is>
          <t>1:49</t>
        </is>
      </c>
      <c r="C5926" t="inlineStr">
        <is>
          <t>and you're gonna end up bittering alone</t>
        </is>
      </c>
      <c r="D5926">
        <f>HYPERLINK("https://www.youtube.com/watch?v=e3fMVooS-zw&amp;t=109s", "Go to time")</f>
        <v/>
      </c>
    </row>
    <row r="5927">
      <c r="A5927">
        <f>HYPERLINK("https://www.youtube.com/watch?v=p1CFY8FpdkY", "Video")</f>
        <v/>
      </c>
      <c r="B5927" t="inlineStr">
        <is>
          <t>2:46</t>
        </is>
      </c>
      <c r="C5927" t="inlineStr">
        <is>
          <t>on get a bite of this pumping nickel b</t>
        </is>
      </c>
      <c r="D5927">
        <f>HYPERLINK("https://www.youtube.com/watch?v=p1CFY8FpdkY&amp;t=166s", "Go to time")</f>
        <v/>
      </c>
    </row>
    <row r="5928">
      <c r="A5928">
        <f>HYPERLINK("https://www.youtube.com/watch?v=MRh8TEiJSZo", "Video")</f>
        <v/>
      </c>
      <c r="B5928" t="inlineStr">
        <is>
          <t>6:58</t>
        </is>
      </c>
      <c r="C5928" t="inlineStr">
        <is>
          <t>with that a little bit when you're on</t>
        </is>
      </c>
      <c r="D5928">
        <f>HYPERLINK("https://www.youtube.com/watch?v=MRh8TEiJSZo&amp;t=418s", "Go to time")</f>
        <v/>
      </c>
    </row>
    <row r="5929">
      <c r="A5929">
        <f>HYPERLINK("https://www.youtube.com/watch?v=T7qbsbPLtLE", "Video")</f>
        <v/>
      </c>
      <c r="B5929" t="inlineStr">
        <is>
          <t>16:27</t>
        </is>
      </c>
      <c r="C5929" t="inlineStr">
        <is>
          <t>Judy Hopps becomes the first rabbit to</t>
        </is>
      </c>
      <c r="D5929">
        <f>HYPERLINK("https://www.youtube.com/watch?v=T7qbsbPLtLE&amp;t=987s", "Go to time")</f>
        <v/>
      </c>
    </row>
    <row r="5930">
      <c r="A5930">
        <f>HYPERLINK("https://www.youtube.com/watch?v=T7qbsbPLtLE", "Video")</f>
        <v/>
      </c>
      <c r="B5930" t="inlineStr">
        <is>
          <t>20:08</t>
        </is>
      </c>
      <c r="C5930" t="inlineStr">
        <is>
          <t>future of Middle Earth Hobbits Frodo and</t>
        </is>
      </c>
      <c r="D5930">
        <f>HYPERLINK("https://www.youtube.com/watch?v=T7qbsbPLtLE&amp;t=1208s", "Go to time")</f>
        <v/>
      </c>
    </row>
    <row r="5931">
      <c r="A5931">
        <f>HYPERLINK("https://www.youtube.com/watch?v=kJ1XgOPAYHM", "Video")</f>
        <v/>
      </c>
      <c r="B5931" t="inlineStr">
        <is>
          <t>1:17</t>
        </is>
      </c>
      <c r="C5931" t="inlineStr">
        <is>
          <t>justice system you let ambition and bias</t>
        </is>
      </c>
      <c r="D5931">
        <f>HYPERLINK("https://www.youtube.com/watch?v=kJ1XgOPAYHM&amp;t=77s", "Go to time")</f>
        <v/>
      </c>
    </row>
    <row r="5932">
      <c r="A5932">
        <f>HYPERLINK("https://www.youtube.com/watch?v=eMZXkgaydeE", "Video")</f>
        <v/>
      </c>
      <c r="B5932" t="inlineStr">
        <is>
          <t>1:22</t>
        </is>
      </c>
      <c r="C5932" t="inlineStr">
        <is>
          <t>bits and barter where did he fit in all</t>
        </is>
      </c>
      <c r="D5932">
        <f>HYPERLINK("https://www.youtube.com/watch?v=eMZXkgaydeE&amp;t=82s", "Go to time")</f>
        <v/>
      </c>
    </row>
    <row r="5933">
      <c r="A5933">
        <f>HYPERLINK("https://www.youtube.com/watch?v=FMBr8mEawT4", "Video")</f>
        <v/>
      </c>
      <c r="B5933" t="inlineStr">
        <is>
          <t>0:37</t>
        </is>
      </c>
      <c r="C5933" t="inlineStr">
        <is>
          <t>trespassing bit of a reach don't you</t>
        </is>
      </c>
      <c r="D5933">
        <f>HYPERLINK("https://www.youtube.com/watch?v=FMBr8mEawT4&amp;t=37s", "Go to time")</f>
        <v/>
      </c>
    </row>
    <row r="5934">
      <c r="A5934">
        <f>HYPERLINK("https://www.youtube.com/watch?v=5U6TNVpKXn8", "Video")</f>
        <v/>
      </c>
      <c r="B5934" t="inlineStr">
        <is>
          <t>0:06</t>
        </is>
      </c>
      <c r="C5934" t="inlineStr">
        <is>
          <t>Bitterman just tell us where we can find</t>
        </is>
      </c>
      <c r="D5934">
        <f>HYPERLINK("https://www.youtube.com/watch?v=5U6TNVpKXn8&amp;t=6s", "Go to time")</f>
        <v/>
      </c>
    </row>
    <row r="5935">
      <c r="A5935">
        <f>HYPERLINK("https://www.youtube.com/watch?v=5U6TNVpKXn8", "Video")</f>
        <v/>
      </c>
      <c r="B5935" t="inlineStr">
        <is>
          <t>0:12</t>
        </is>
      </c>
      <c r="C5935" t="inlineStr">
        <is>
          <t>earth a I promise I get your bit so let</t>
        </is>
      </c>
      <c r="D5935">
        <f>HYPERLINK("https://www.youtube.com/watch?v=5U6TNVpKXn8&amp;t=12s", "Go to time")</f>
        <v/>
      </c>
    </row>
    <row r="5936">
      <c r="A5936">
        <f>HYPERLINK("https://www.youtube.com/watch?v=Ua4pj7Sxy-8", "Video")</f>
        <v/>
      </c>
      <c r="B5936" t="inlineStr">
        <is>
          <t>0:48</t>
        </is>
      </c>
      <c r="C5936" t="inlineStr">
        <is>
          <t>know I don't think a bit of any interest</t>
        </is>
      </c>
      <c r="D5936">
        <f>HYPERLINK("https://www.youtube.com/watch?v=Ua4pj7Sxy-8&amp;t=48s", "Go to time")</f>
        <v/>
      </c>
    </row>
    <row r="5937">
      <c r="A5937">
        <f>HYPERLINK("https://www.youtube.com/watch?v=RoBEUjxixPY", "Video")</f>
        <v/>
      </c>
      <c r="B5937" t="inlineStr">
        <is>
          <t>6:27</t>
        </is>
      </c>
      <c r="C5937" t="inlineStr">
        <is>
          <t>you must be exhausted a little bit come</t>
        </is>
      </c>
      <c r="D5937">
        <f>HYPERLINK("https://www.youtube.com/watch?v=RoBEUjxixPY&amp;t=387s", "Go to time")</f>
        <v/>
      </c>
    </row>
    <row r="5938">
      <c r="A5938">
        <f>HYPERLINK("https://www.youtube.com/watch?v=RoBEUjxixPY", "Video")</f>
        <v/>
      </c>
      <c r="B5938" t="inlineStr">
        <is>
          <t>7:23</t>
        </is>
      </c>
      <c r="C5938" t="inlineStr">
        <is>
          <t>director who's going through a bit of a</t>
        </is>
      </c>
      <c r="D5938">
        <f>HYPERLINK("https://www.youtube.com/watch?v=RoBEUjxixPY&amp;t=443s", "Go to time")</f>
        <v/>
      </c>
    </row>
    <row r="5939">
      <c r="A5939">
        <f>HYPERLINK("https://www.youtube.com/watch?v=RjQTyXovFwk", "Video")</f>
        <v/>
      </c>
      <c r="B5939" t="inlineStr">
        <is>
          <t>1:40</t>
        </is>
      </c>
      <c r="C5939" t="inlineStr">
        <is>
          <t>track a little bit more and i think you</t>
        </is>
      </c>
      <c r="D5939">
        <f>HYPERLINK("https://www.youtube.com/watch?v=RjQTyXovFwk&amp;t=100s", "Go to time")</f>
        <v/>
      </c>
    </row>
    <row r="5940">
      <c r="A5940">
        <f>HYPERLINK("https://www.youtube.com/watch?v=YzrAKRhAAvA", "Video")</f>
        <v/>
      </c>
      <c r="B5940" t="inlineStr">
        <is>
          <t>0:38</t>
        </is>
      </c>
      <c r="C5940" t="inlineStr">
        <is>
          <t>she's just a bit nervous what do you</t>
        </is>
      </c>
      <c r="D5940">
        <f>HYPERLINK("https://www.youtube.com/watch?v=YzrAKRhAAvA&amp;t=38s", "Go to time")</f>
        <v/>
      </c>
    </row>
    <row r="5941">
      <c r="A5941">
        <f>HYPERLINK("https://www.youtube.com/watch?v=5NiUZIvwkE4", "Video")</f>
        <v/>
      </c>
      <c r="B5941" t="inlineStr">
        <is>
          <t>5:11</t>
        </is>
      </c>
      <c r="C5941" t="inlineStr">
        <is>
          <t>up just a little bit</t>
        </is>
      </c>
      <c r="D5941">
        <f>HYPERLINK("https://www.youtube.com/watch?v=5NiUZIvwkE4&amp;t=311s", "Go to time")</f>
        <v/>
      </c>
    </row>
    <row r="5942">
      <c r="A5942">
        <f>HYPERLINK("https://www.youtube.com/watch?v=Z8145OHVx5A", "Video")</f>
        <v/>
      </c>
      <c r="B5942" t="inlineStr">
        <is>
          <t>1:55</t>
        </is>
      </c>
      <c r="C5942" t="inlineStr">
        <is>
          <t>ambition I'm sorry that she believes in</t>
        </is>
      </c>
      <c r="D5942">
        <f>HYPERLINK("https://www.youtube.com/watch?v=Z8145OHVx5A&amp;t=115s", "Go to time")</f>
        <v/>
      </c>
    </row>
    <row r="5943">
      <c r="A5943">
        <f>HYPERLINK("https://www.youtube.com/watch?v=8UP_G1et13E", "Video")</f>
        <v/>
      </c>
      <c r="B5943" t="inlineStr">
        <is>
          <t>1:38</t>
        </is>
      </c>
      <c r="C5943" t="inlineStr">
        <is>
          <t>to bite it off oh that was supposed to</t>
        </is>
      </c>
      <c r="D5943">
        <f>HYPERLINK("https://www.youtube.com/watch?v=8UP_G1et13E&amp;t=98s", "Go to time")</f>
        <v/>
      </c>
    </row>
    <row r="5944">
      <c r="A5944">
        <f>HYPERLINK("https://www.youtube.com/watch?v=T3EwdWQ_1-I", "Video")</f>
        <v/>
      </c>
      <c r="B5944" t="inlineStr">
        <is>
          <t>0:54</t>
        </is>
      </c>
      <c r="C5944" t="inlineStr">
        <is>
          <t>biting criminals don't exist</t>
        </is>
      </c>
      <c r="D5944">
        <f>HYPERLINK("https://www.youtube.com/watch?v=T3EwdWQ_1-I&amp;t=54s", "Go to time")</f>
        <v/>
      </c>
    </row>
    <row r="5945">
      <c r="A5945">
        <f>HYPERLINK("https://www.youtube.com/watch?v=rGNhHfEghA0", "Video")</f>
        <v/>
      </c>
      <c r="B5945" t="inlineStr">
        <is>
          <t>1:37</t>
        </is>
      </c>
      <c r="C5945" t="inlineStr">
        <is>
          <t>get a bite to eat the only Blue Plate</t>
        </is>
      </c>
      <c r="D5945">
        <f>HYPERLINK("https://www.youtube.com/watch?v=rGNhHfEghA0&amp;t=97s", "Go to time")</f>
        <v/>
      </c>
    </row>
    <row r="5946">
      <c r="A5946">
        <f>HYPERLINK("https://www.youtube.com/watch?v=rTmlOv7BCb0", "Video")</f>
        <v/>
      </c>
      <c r="B5946" t="inlineStr">
        <is>
          <t>0:48</t>
        </is>
      </c>
      <c r="C5946" t="inlineStr">
        <is>
          <t>bit of backlight</t>
        </is>
      </c>
      <c r="D5946">
        <f>HYPERLINK("https://www.youtube.com/watch?v=rTmlOv7BCb0&amp;t=48s", "Go to time")</f>
        <v/>
      </c>
    </row>
    <row r="5947">
      <c r="A5947">
        <f>HYPERLINK("https://www.youtube.com/watch?v=rTmlOv7BCb0", "Video")</f>
        <v/>
      </c>
      <c r="B5947" t="inlineStr">
        <is>
          <t>1:02</t>
        </is>
      </c>
      <c r="C5947" t="inlineStr">
        <is>
          <t>cut that bit out in three two I was</t>
        </is>
      </c>
      <c r="D5947">
        <f>HYPERLINK("https://www.youtube.com/watch?v=rTmlOv7BCb0&amp;t=62s", "Go to time")</f>
        <v/>
      </c>
    </row>
    <row r="5948">
      <c r="A5948">
        <f>HYPERLINK("https://www.youtube.com/watch?v=iDhQG0wtuiA", "Video")</f>
        <v/>
      </c>
      <c r="B5948" t="inlineStr">
        <is>
          <t>1:43</t>
        </is>
      </c>
      <c r="C5948" t="inlineStr">
        <is>
          <t>rabbit a very complex bunny</t>
        </is>
      </c>
      <c r="D5948">
        <f>HYPERLINK("https://www.youtube.com/watch?v=iDhQG0wtuiA&amp;t=103s", "Go to time")</f>
        <v/>
      </c>
    </row>
    <row r="5949">
      <c r="A5949">
        <f>HYPERLINK("https://www.youtube.com/watch?v=iDhQG0wtuiA", "Video")</f>
        <v/>
      </c>
      <c r="B5949" t="inlineStr">
        <is>
          <t>1:46</t>
        </is>
      </c>
      <c r="C5949" t="inlineStr">
        <is>
          <t>rabbit or a very rubenesque</t>
        </is>
      </c>
      <c r="D5949">
        <f>HYPERLINK("https://www.youtube.com/watch?v=iDhQG0wtuiA&amp;t=106s", "Go to time")</f>
        <v/>
      </c>
    </row>
    <row r="5950">
      <c r="A5950">
        <f>HYPERLINK("https://www.youtube.com/watch?v=L76JbCHo8-s", "Video")</f>
        <v/>
      </c>
      <c r="B5950" t="inlineStr">
        <is>
          <t>1:04</t>
        </is>
      </c>
      <c r="C5950" t="inlineStr">
        <is>
          <t>bite me you raggedy ah</t>
        </is>
      </c>
      <c r="D5950">
        <f>HYPERLINK("https://www.youtube.com/watch?v=L76JbCHo8-s&amp;t=64s", "Go to time")</f>
        <v/>
      </c>
    </row>
    <row r="5951">
      <c r="A5951">
        <f>HYPERLINK("https://www.youtube.com/watch?v=A1-PnYlDZGY", "Video")</f>
        <v/>
      </c>
      <c r="B5951" t="inlineStr">
        <is>
          <t>1:41</t>
        </is>
      </c>
      <c r="C5951" t="inlineStr">
        <is>
          <t>exhibited Behavior even remotely</t>
        </is>
      </c>
      <c r="D5951">
        <f>HYPERLINK("https://www.youtube.com/watch?v=A1-PnYlDZGY&amp;t=101s", "Go to time")</f>
        <v/>
      </c>
    </row>
    <row r="5952">
      <c r="A5952">
        <f>HYPERLINK("https://www.youtube.com/watch?v=qhfPdgfIPMc", "Video")</f>
        <v/>
      </c>
      <c r="B5952" t="inlineStr">
        <is>
          <t>34:08</t>
        </is>
      </c>
      <c r="C5952" t="inlineStr">
        <is>
          <t>different Peter Parker okay A little bit</t>
        </is>
      </c>
      <c r="D5952">
        <f>HYPERLINK("https://www.youtube.com/watch?v=qhfPdgfIPMc&amp;t=2048s", "Go to time")</f>
        <v/>
      </c>
    </row>
    <row r="5953">
      <c r="A5953">
        <f>HYPERLINK("https://www.youtube.com/watch?v=qhfPdgfIPMc", "Video")</f>
        <v/>
      </c>
      <c r="B5953" t="inlineStr">
        <is>
          <t>40:15</t>
        </is>
      </c>
      <c r="C5953" t="inlineStr">
        <is>
          <t>escaped and it bit</t>
        </is>
      </c>
      <c r="D5953">
        <f>HYPERLINK("https://www.youtube.com/watch?v=qhfPdgfIPMc&amp;t=2415s", "Go to time")</f>
        <v/>
      </c>
    </row>
    <row r="5954">
      <c r="A5954">
        <f>HYPERLINK("https://www.youtube.com/watch?v=qhfPdgfIPMc", "Video")</f>
        <v/>
      </c>
      <c r="B5954" t="inlineStr">
        <is>
          <t>41:53</t>
        </is>
      </c>
      <c r="C5954" t="inlineStr">
        <is>
          <t>Morales I was bitten by a radio this</t>
        </is>
      </c>
      <c r="D5954">
        <f>HYPERLINK("https://www.youtube.com/watch?v=qhfPdgfIPMc&amp;t=2513s", "Go to time")</f>
        <v/>
      </c>
    </row>
    <row r="5955">
      <c r="A5955">
        <f>HYPERLINK("https://www.youtube.com/watch?v=qhfPdgfIPMc", "Video")</f>
        <v/>
      </c>
      <c r="B5955" t="inlineStr">
        <is>
          <t>43:04</t>
        </is>
      </c>
      <c r="C5955" t="inlineStr">
        <is>
          <t>mistake if you hadn't been bit your</t>
        </is>
      </c>
      <c r="D5955">
        <f>HYPERLINK("https://www.youtube.com/watch?v=qhfPdgfIPMc&amp;t=2584s", "Go to time")</f>
        <v/>
      </c>
    </row>
    <row r="5956">
      <c r="A5956">
        <f>HYPERLINK("https://www.youtube.com/watch?v=93qTzU2bNh8", "Video")</f>
        <v/>
      </c>
      <c r="B5956" t="inlineStr">
        <is>
          <t>1:02</t>
        </is>
      </c>
      <c r="C5956" t="inlineStr">
        <is>
          <t>on his face he's gonna cry a bit but no</t>
        </is>
      </c>
      <c r="D5956">
        <f>HYPERLINK("https://www.youtube.com/watch?v=93qTzU2bNh8&amp;t=62s", "Go to time")</f>
        <v/>
      </c>
    </row>
    <row r="5957">
      <c r="A5957">
        <f>HYPERLINK("https://www.youtube.com/watch?v=406GSlhK72w", "Video")</f>
        <v/>
      </c>
      <c r="B5957" t="inlineStr">
        <is>
          <t>0:26</t>
        </is>
      </c>
      <c r="C5957" t="inlineStr">
        <is>
          <t>article lingerie as exhibit number one</t>
        </is>
      </c>
      <c r="D5957">
        <f>HYPERLINK("https://www.youtube.com/watch?v=406GSlhK72w&amp;t=26s", "Go to time")</f>
        <v/>
      </c>
    </row>
    <row r="5958">
      <c r="A5958">
        <f>HYPERLINK("https://www.youtube.com/watch?v=406GSlhK72w", "Video")</f>
        <v/>
      </c>
      <c r="B5958" t="inlineStr">
        <is>
          <t>0:48</t>
        </is>
      </c>
      <c r="C5958" t="inlineStr">
        <is>
          <t>objection the exhibit will be received</t>
        </is>
      </c>
      <c r="D5958">
        <f>HYPERLINK("https://www.youtube.com/watch?v=406GSlhK72w&amp;t=48s", "Go to time")</f>
        <v/>
      </c>
    </row>
    <row r="5959">
      <c r="A5959">
        <f>HYPERLINK("https://www.youtube.com/watch?v=8MO_dtnpiHc", "Video")</f>
        <v/>
      </c>
      <c r="B5959" t="inlineStr">
        <is>
          <t>1:38</t>
        </is>
      </c>
      <c r="C5959" t="inlineStr">
        <is>
          <t>Venom and you are mine you bit</t>
        </is>
      </c>
      <c r="D5959">
        <f>HYPERLINK("https://www.youtube.com/watch?v=8MO_dtnpiHc&amp;t=98s", "Go to time")</f>
        <v/>
      </c>
    </row>
    <row r="5960">
      <c r="A5960">
        <f>HYPERLINK("https://www.youtube.com/watch?v=8MO_dtnpiHc", "Video")</f>
        <v/>
      </c>
      <c r="B5960" t="inlineStr">
        <is>
          <t>11:36</t>
        </is>
      </c>
      <c r="C5960" t="inlineStr">
        <is>
          <t>little bit s oh don't be a big baby go</t>
        </is>
      </c>
      <c r="D5960">
        <f>HYPERLINK("https://www.youtube.com/watch?v=8MO_dtnpiHc&amp;t=696s", "Go to time")</f>
        <v/>
      </c>
    </row>
    <row r="5961">
      <c r="A5961">
        <f>HYPERLINK("https://www.youtube.com/watch?v=S1qXnwq2CSQ", "Video")</f>
        <v/>
      </c>
      <c r="B5961" t="inlineStr">
        <is>
          <t>16:44</t>
        </is>
      </c>
      <c r="C5961" t="inlineStr">
        <is>
          <t>know a ton but I know a little bit about</t>
        </is>
      </c>
      <c r="D5961">
        <f>HYPERLINK("https://www.youtube.com/watch?v=S1qXnwq2CSQ&amp;t=1004s", "Go to time")</f>
        <v/>
      </c>
    </row>
    <row r="5962">
      <c r="A5962">
        <f>HYPERLINK("https://www.youtube.com/watch?v=S1qXnwq2CSQ", "Video")</f>
        <v/>
      </c>
      <c r="B5962" t="inlineStr">
        <is>
          <t>47:15</t>
        </is>
      </c>
      <c r="C5962" t="inlineStr">
        <is>
          <t>little bit too high for me to believe a</t>
        </is>
      </c>
      <c r="D5962">
        <f>HYPERLINK("https://www.youtube.com/watch?v=S1qXnwq2CSQ&amp;t=2835s", "Go to time")</f>
        <v/>
      </c>
    </row>
    <row r="5963">
      <c r="A5963">
        <f>HYPERLINK("https://www.youtube.com/watch?v=xfF-ZL3xvxw", "Video")</f>
        <v/>
      </c>
      <c r="B5963" t="inlineStr">
        <is>
          <t>0:09</t>
        </is>
      </c>
      <c r="C5963" t="inlineStr">
        <is>
          <t>I'm hunting wabbits</t>
        </is>
      </c>
      <c r="D5963">
        <f>HYPERLINK("https://www.youtube.com/watch?v=xfF-ZL3xvxw&amp;t=9s", "Go to time")</f>
        <v/>
      </c>
    </row>
    <row r="5964">
      <c r="A5964">
        <f>HYPERLINK("https://www.youtube.com/watch?v=xfF-ZL3xvxw", "Video")</f>
        <v/>
      </c>
      <c r="B5964" t="inlineStr">
        <is>
          <t>1:08</t>
        </is>
      </c>
      <c r="C5964" t="inlineStr">
        <is>
          <t>overbites on you what's up doc hmm</t>
        </is>
      </c>
      <c r="D5964">
        <f>HYPERLINK("https://www.youtube.com/watch?v=xfF-ZL3xvxw&amp;t=68s", "Go to time")</f>
        <v/>
      </c>
    </row>
    <row r="5965">
      <c r="A5965">
        <f>HYPERLINK("https://www.youtube.com/watch?v=xfF-ZL3xvxw", "Video")</f>
        <v/>
      </c>
      <c r="B5965" t="inlineStr">
        <is>
          <t>2:11</t>
        </is>
      </c>
      <c r="C5965" t="inlineStr">
        <is>
          <t>I'm thrice the entertainer the rabbit is</t>
        </is>
      </c>
      <c r="D5965">
        <f>HYPERLINK("https://www.youtube.com/watch?v=xfF-ZL3xvxw&amp;t=131s", "Go to time")</f>
        <v/>
      </c>
    </row>
    <row r="5966">
      <c r="A5966">
        <f>HYPERLINK("https://www.youtube.com/watch?v=jwjCPSUGPXU", "Video")</f>
        <v/>
      </c>
      <c r="B5966" t="inlineStr">
        <is>
          <t>0:03</t>
        </is>
      </c>
      <c r="C5966" t="inlineStr">
        <is>
          <t>was like the only bit of jewelry that</t>
        </is>
      </c>
      <c r="D5966">
        <f>HYPERLINK("https://www.youtube.com/watch?v=jwjCPSUGPXU&amp;t=3s", "Go to time")</f>
        <v/>
      </c>
    </row>
    <row r="5967">
      <c r="A5967">
        <f>HYPERLINK("https://www.youtube.com/watch?v=zqp-9dI0yjo", "Video")</f>
        <v/>
      </c>
      <c r="B5967" t="inlineStr">
        <is>
          <t>0:43</t>
        </is>
      </c>
      <c r="C5967" t="inlineStr">
        <is>
          <t>I'll get a little bit self-conscious you</t>
        </is>
      </c>
      <c r="D5967">
        <f>HYPERLINK("https://www.youtube.com/watch?v=zqp-9dI0yjo&amp;t=43s", "Go to time")</f>
        <v/>
      </c>
    </row>
    <row r="5968">
      <c r="A5968">
        <f>HYPERLINK("https://www.youtube.com/watch?v=zqp-9dI0yjo", "Video")</f>
        <v/>
      </c>
      <c r="B5968" t="inlineStr">
        <is>
          <t>0:57</t>
        </is>
      </c>
      <c r="C5968" t="inlineStr">
        <is>
          <t>we get by right yeah we sele a bit in</t>
        </is>
      </c>
      <c r="D5968">
        <f>HYPERLINK("https://www.youtube.com/watch?v=zqp-9dI0yjo&amp;t=57s", "Go to time")</f>
        <v/>
      </c>
    </row>
    <row r="5969">
      <c r="A5969">
        <f>HYPERLINK("https://www.youtube.com/watch?v=zqp-9dI0yjo", "Video")</f>
        <v/>
      </c>
      <c r="B5969" t="inlineStr">
        <is>
          <t>0:59</t>
        </is>
      </c>
      <c r="C5969" t="inlineStr">
        <is>
          <t>marijuana drop a bit cider to the locals</t>
        </is>
      </c>
      <c r="D5969">
        <f>HYPERLINK("https://www.youtube.com/watch?v=zqp-9dI0yjo&amp;t=59s", "Go to time")</f>
        <v/>
      </c>
    </row>
    <row r="5970">
      <c r="A5970">
        <f>HYPERLINK("https://www.youtube.com/watch?v=pmep7Hs0hdw", "Video")</f>
        <v/>
      </c>
      <c r="B5970" t="inlineStr">
        <is>
          <t>0:47</t>
        </is>
      </c>
      <c r="C5970" t="inlineStr">
        <is>
          <t>okay this might be a little bit cold</t>
        </is>
      </c>
      <c r="D5970">
        <f>HYPERLINK("https://www.youtube.com/watch?v=pmep7Hs0hdw&amp;t=47s", "Go to time")</f>
        <v/>
      </c>
    </row>
    <row r="5971">
      <c r="A5971">
        <f>HYPERLINK("https://www.youtube.com/watch?v=6jyYRWvIlfo", "Video")</f>
        <v/>
      </c>
      <c r="B5971" t="inlineStr">
        <is>
          <t>0:53</t>
        </is>
      </c>
      <c r="C5971" t="inlineStr">
        <is>
          <t>doesn't bother you one bit and address</t>
        </is>
      </c>
      <c r="D5971">
        <f>HYPERLINK("https://www.youtube.com/watch?v=6jyYRWvIlfo&amp;t=53s", "Go to time")</f>
        <v/>
      </c>
    </row>
    <row r="5972">
      <c r="A5972">
        <f>HYPERLINK("https://www.youtube.com/watch?v=iEo7kqzKd0w", "Video")</f>
        <v/>
      </c>
      <c r="B5972" t="inlineStr">
        <is>
          <t>2:41</t>
        </is>
      </c>
      <c r="C5972" t="inlineStr">
        <is>
          <t>orbital Cannon 50% power incoming</t>
        </is>
      </c>
      <c r="D5972">
        <f>HYPERLINK("https://www.youtube.com/watch?v=iEo7kqzKd0w&amp;t=161s", "Go to time")</f>
        <v/>
      </c>
    </row>
    <row r="5973">
      <c r="A5973">
        <f>HYPERLINK("https://www.youtube.com/watch?v=br2rj_3KW1A", "Video")</f>
        <v/>
      </c>
      <c r="B5973" t="inlineStr">
        <is>
          <t>0:21</t>
        </is>
      </c>
      <c r="C5973" t="inlineStr">
        <is>
          <t>rabbit cat do any of you know captain</t>
        </is>
      </c>
      <c r="D5973">
        <f>HYPERLINK("https://www.youtube.com/watch?v=br2rj_3KW1A&amp;t=21s", "Go to time")</f>
        <v/>
      </c>
    </row>
    <row r="5974">
      <c r="A5974">
        <f>HYPERLINK("https://www.youtube.com/watch?v=Pno9lqCBDrA", "Video")</f>
        <v/>
      </c>
      <c r="B5974" t="inlineStr">
        <is>
          <t>1:09</t>
        </is>
      </c>
      <c r="C5974" t="inlineStr">
        <is>
          <t>a bit bloodier late but</t>
        </is>
      </c>
      <c r="D5974">
        <f>HYPERLINK("https://www.youtube.com/watch?v=Pno9lqCBDrA&amp;t=69s", "Go to time")</f>
        <v/>
      </c>
    </row>
    <row r="5975">
      <c r="A5975">
        <f>HYPERLINK("https://www.youtube.com/watch?v=XoI4C4ZhxUg", "Video")</f>
        <v/>
      </c>
      <c r="B5975" t="inlineStr">
        <is>
          <t>1:14</t>
        </is>
      </c>
      <c r="C5975" t="inlineStr">
        <is>
          <t>well this is a bit of a</t>
        </is>
      </c>
      <c r="D5975">
        <f>HYPERLINK("https://www.youtube.com/watch?v=XoI4C4ZhxUg&amp;t=74s", "Go to time")</f>
        <v/>
      </c>
    </row>
    <row r="5976">
      <c r="A5976">
        <f>HYPERLINK("https://www.youtube.com/watch?v=oNuGwa5Kd8E", "Video")</f>
        <v/>
      </c>
      <c r="B5976" t="inlineStr">
        <is>
          <t>1:31</t>
        </is>
      </c>
      <c r="C5976" t="inlineStr">
        <is>
          <t>little cartoon dog would bite you wish</t>
        </is>
      </c>
      <c r="D5976">
        <f>HYPERLINK("https://www.youtube.com/watch?v=oNuGwa5Kd8E&amp;t=91s", "Go to time")</f>
        <v/>
      </c>
    </row>
    <row r="5977">
      <c r="A5977">
        <f>HYPERLINK("https://www.youtube.com/watch?v=DrulyUCwDL8", "Video")</f>
        <v/>
      </c>
      <c r="B5977" t="inlineStr">
        <is>
          <t>3:11</t>
        </is>
      </c>
      <c r="C5977" t="inlineStr">
        <is>
          <t>is he talked to me a little bit about</t>
        </is>
      </c>
      <c r="D5977">
        <f>HYPERLINK("https://www.youtube.com/watch?v=DrulyUCwDL8&amp;t=191s", "Go to time")</f>
        <v/>
      </c>
    </row>
    <row r="5978">
      <c r="A5978">
        <f>HYPERLINK("https://www.youtube.com/watch?v=DrulyUCwDL8", "Video")</f>
        <v/>
      </c>
      <c r="B5978" t="inlineStr">
        <is>
          <t>13:52</t>
        </is>
      </c>
      <c r="C5978" t="inlineStr">
        <is>
          <t>done a little bit of music stuff this</t>
        </is>
      </c>
      <c r="D5978">
        <f>HYPERLINK("https://www.youtube.com/watch?v=DrulyUCwDL8&amp;t=832s", "Go to time")</f>
        <v/>
      </c>
    </row>
    <row r="5979">
      <c r="A5979">
        <f>HYPERLINK("https://www.youtube.com/watch?v=DrulyUCwDL8", "Video")</f>
        <v/>
      </c>
      <c r="B5979" t="inlineStr">
        <is>
          <t>19:31</t>
        </is>
      </c>
      <c r="C5979" t="inlineStr">
        <is>
          <t>get you to talk a little bit about that</t>
        </is>
      </c>
      <c r="D5979">
        <f>HYPERLINK("https://www.youtube.com/watch?v=DrulyUCwDL8&amp;t=1171s", "Go to time")</f>
        <v/>
      </c>
    </row>
    <row r="5980">
      <c r="A5980">
        <f>HYPERLINK("https://www.youtube.com/watch?v=Wtt6ZsbRWtQ", "Video")</f>
        <v/>
      </c>
      <c r="B5980" t="inlineStr">
        <is>
          <t>2:40</t>
        </is>
      </c>
      <c r="C5980" t="inlineStr">
        <is>
          <t>violence the reviews at first were a bit</t>
        </is>
      </c>
      <c r="D5980">
        <f>HYPERLINK("https://www.youtube.com/watch?v=Wtt6ZsbRWtQ&amp;t=160s", "Go to time")</f>
        <v/>
      </c>
    </row>
    <row r="5981">
      <c r="A5981">
        <f>HYPERLINK("https://www.youtube.com/watch?v=Wtt6ZsbRWtQ", "Video")</f>
        <v/>
      </c>
      <c r="B5981" t="inlineStr">
        <is>
          <t>8:26</t>
        </is>
      </c>
      <c r="C5981" t="inlineStr">
        <is>
          <t>new zealand in one of the most ambitious</t>
        </is>
      </c>
      <c r="D5981">
        <f>HYPERLINK("https://www.youtube.com/watch?v=Wtt6ZsbRWtQ&amp;t=506s", "Go to time")</f>
        <v/>
      </c>
    </row>
    <row r="5982">
      <c r="A5982">
        <f>HYPERLINK("https://www.youtube.com/watch?v=Wtt6ZsbRWtQ", "Video")</f>
        <v/>
      </c>
      <c r="B5982" t="inlineStr">
        <is>
          <t>8:36</t>
        </is>
      </c>
      <c r="C5982" t="inlineStr">
        <is>
          <t>earth with the films following a hobbit</t>
        </is>
      </c>
      <c r="D5982">
        <f>HYPERLINK("https://www.youtube.com/watch?v=Wtt6ZsbRWtQ&amp;t=516s", "Go to time")</f>
        <v/>
      </c>
    </row>
    <row r="5983">
      <c r="A5983">
        <f>HYPERLINK("https://www.youtube.com/watch?v=Wtt6ZsbRWtQ", "Video")</f>
        <v/>
      </c>
      <c r="B5983" t="inlineStr">
        <is>
          <t>19:34</t>
        </is>
      </c>
      <c r="C5983" t="inlineStr">
        <is>
          <t>the ending a little bit saying later</t>
        </is>
      </c>
      <c r="D5983">
        <f>HYPERLINK("https://www.youtube.com/watch?v=Wtt6ZsbRWtQ&amp;t=1174s", "Go to time")</f>
        <v/>
      </c>
    </row>
    <row r="5984">
      <c r="A5984">
        <f>HYPERLINK("https://www.youtube.com/watch?v=5991zsqlPxQ", "Video")</f>
        <v/>
      </c>
      <c r="B5984" t="inlineStr">
        <is>
          <t>2:53</t>
        </is>
      </c>
      <c r="C5984" t="inlineStr">
        <is>
          <t>sort of warp inhibitor we can't</t>
        </is>
      </c>
      <c r="D5984">
        <f>HYPERLINK("https://www.youtube.com/watch?v=5991zsqlPxQ&amp;t=173s", "Go to time")</f>
        <v/>
      </c>
    </row>
    <row r="5985">
      <c r="A5985">
        <f>HYPERLINK("https://www.youtube.com/watch?v=5991zsqlPxQ", "Video")</f>
        <v/>
      </c>
      <c r="B5985" t="inlineStr">
        <is>
          <t>3:12</t>
        </is>
      </c>
      <c r="C5985" t="inlineStr">
        <is>
          <t>warp inhibitor cirle all a Titan scans</t>
        </is>
      </c>
      <c r="D5985">
        <f>HYPERLINK("https://www.youtube.com/watch?v=5991zsqlPxQ&amp;t=192s", "Go to time")</f>
        <v/>
      </c>
    </row>
    <row r="5986">
      <c r="A5986">
        <f>HYPERLINK("https://www.youtube.com/watch?v=QNcNzUZNgLc", "Video")</f>
        <v/>
      </c>
      <c r="B5986" t="inlineStr">
        <is>
          <t>0:52</t>
        </is>
      </c>
      <c r="C5986" t="inlineStr">
        <is>
          <t>take a bite and I'll tell you I won't</t>
        </is>
      </c>
      <c r="D5986">
        <f>HYPERLINK("https://www.youtube.com/watch?v=QNcNzUZNgLc&amp;t=52s", "Go to time")</f>
        <v/>
      </c>
    </row>
    <row r="5987">
      <c r="A5987">
        <f>HYPERLINK("https://www.youtube.com/watch?v=ceO7I3PTWts", "Video")</f>
        <v/>
      </c>
      <c r="B5987" t="inlineStr">
        <is>
          <t>0:18</t>
        </is>
      </c>
      <c r="C5987" t="inlineStr">
        <is>
          <t>going to bite you evacuate</t>
        </is>
      </c>
      <c r="D5987">
        <f>HYPERLINK("https://www.youtube.com/watch?v=ceO7I3PTWts&amp;t=18s", "Go to time")</f>
        <v/>
      </c>
    </row>
    <row r="5988">
      <c r="A5988">
        <f>HYPERLINK("https://www.youtube.com/watch?v=GxxuynByngk", "Video")</f>
        <v/>
      </c>
      <c r="B5988" t="inlineStr">
        <is>
          <t>1:41</t>
        </is>
      </c>
      <c r="C5988" t="inlineStr">
        <is>
          <t>playing are a little bit less or is that</t>
        </is>
      </c>
      <c r="D5988">
        <f>HYPERLINK("https://www.youtube.com/watch?v=GxxuynByngk&amp;t=101s", "Go to time")</f>
        <v/>
      </c>
    </row>
    <row r="5989">
      <c r="A5989">
        <f>HYPERLINK("https://www.youtube.com/watch?v=GxxuynByngk", "Video")</f>
        <v/>
      </c>
      <c r="B5989" t="inlineStr">
        <is>
          <t>3:52</t>
        </is>
      </c>
      <c r="C5989" t="inlineStr">
        <is>
          <t>family um who is in a bit dysfunctional</t>
        </is>
      </c>
      <c r="D5989">
        <f>HYPERLINK("https://www.youtube.com/watch?v=GxxuynByngk&amp;t=232s", "Go to time")</f>
        <v/>
      </c>
    </row>
    <row r="5990">
      <c r="A5990">
        <f>HYPERLINK("https://www.youtube.com/watch?v=GxxuynByngk", "Video")</f>
        <v/>
      </c>
      <c r="B5990" t="inlineStr">
        <is>
          <t>4:47</t>
        </is>
      </c>
      <c r="C5990" t="inlineStr">
        <is>
          <t>for a long time it was a bit of a long</t>
        </is>
      </c>
      <c r="D5990">
        <f>HYPERLINK("https://www.youtube.com/watch?v=GxxuynByngk&amp;t=287s", "Go to time")</f>
        <v/>
      </c>
    </row>
    <row r="5991">
      <c r="A5991">
        <f>HYPERLINK("https://www.youtube.com/watch?v=GxxuynByngk", "Video")</f>
        <v/>
      </c>
      <c r="B5991" t="inlineStr">
        <is>
          <t>8:58</t>
        </is>
      </c>
      <c r="C5991" t="inlineStr">
        <is>
          <t>a little bit about by that day first of</t>
        </is>
      </c>
      <c r="D5991">
        <f>HYPERLINK("https://www.youtube.com/watch?v=GxxuynByngk&amp;t=538s", "Go to time")</f>
        <v/>
      </c>
    </row>
    <row r="5992">
      <c r="A5992">
        <f>HYPERLINK("https://www.youtube.com/watch?v=GxxuynByngk", "Video")</f>
        <v/>
      </c>
      <c r="B5992" t="inlineStr">
        <is>
          <t>13:01</t>
        </is>
      </c>
      <c r="C5992" t="inlineStr">
        <is>
          <t>a little bit more honest and everybody's</t>
        </is>
      </c>
      <c r="D5992">
        <f>HYPERLINK("https://www.youtube.com/watch?v=GxxuynByngk&amp;t=781s", "Go to time")</f>
        <v/>
      </c>
    </row>
    <row r="5993">
      <c r="A5993">
        <f>HYPERLINK("https://www.youtube.com/watch?v=GxxuynByngk", "Video")</f>
        <v/>
      </c>
      <c r="B5993" t="inlineStr">
        <is>
          <t>14:48</t>
        </is>
      </c>
      <c r="C5993" t="inlineStr">
        <is>
          <t>bit like scared has there ever been a</t>
        </is>
      </c>
      <c r="D5993">
        <f>HYPERLINK("https://www.youtube.com/watch?v=GxxuynByngk&amp;t=888s", "Go to time")</f>
        <v/>
      </c>
    </row>
    <row r="5994">
      <c r="A5994">
        <f>HYPERLINK("https://www.youtube.com/watch?v=GxxuynByngk", "Video")</f>
        <v/>
      </c>
      <c r="B5994" t="inlineStr">
        <is>
          <t>23:13</t>
        </is>
      </c>
      <c r="C5994" t="inlineStr">
        <is>
          <t>box a little bit there are steps</t>
        </is>
      </c>
      <c r="D5994">
        <f>HYPERLINK("https://www.youtube.com/watch?v=GxxuynByngk&amp;t=1393s", "Go to time")</f>
        <v/>
      </c>
    </row>
    <row r="5995">
      <c r="A5995">
        <f>HYPERLINK("https://www.youtube.com/watch?v=GxxuynByngk", "Video")</f>
        <v/>
      </c>
      <c r="B5995" t="inlineStr">
        <is>
          <t>28:24</t>
        </is>
      </c>
      <c r="C5995" t="inlineStr">
        <is>
          <t>my note which is just like a bit that we</t>
        </is>
      </c>
      <c r="D5995">
        <f>HYPERLINK("https://www.youtube.com/watch?v=GxxuynByngk&amp;t=1704s", "Go to time")</f>
        <v/>
      </c>
    </row>
    <row r="5996">
      <c r="A5996">
        <f>HYPERLINK("https://www.youtube.com/watch?v=Xz1OTiTezQA", "Video")</f>
        <v/>
      </c>
      <c r="B5996" t="inlineStr">
        <is>
          <t>1:13</t>
        </is>
      </c>
      <c r="C5996" t="inlineStr">
        <is>
          <t>think things are just a little bit</t>
        </is>
      </c>
      <c r="D5996">
        <f>HYPERLINK("https://www.youtube.com/watch?v=Xz1OTiTezQA&amp;t=73s", "Go to time")</f>
        <v/>
      </c>
    </row>
    <row r="5997">
      <c r="A5997">
        <f>HYPERLINK("https://www.youtube.com/watch?v=_StftzGTnPw", "Video")</f>
        <v/>
      </c>
      <c r="B5997" t="inlineStr">
        <is>
          <t>3:11</t>
        </is>
      </c>
      <c r="C5997" t="inlineStr">
        <is>
          <t>you're coming across as This Bitter</t>
        </is>
      </c>
      <c r="D5997">
        <f>HYPERLINK("https://www.youtube.com/watch?v=_StftzGTnPw&amp;t=191s", "Go to time")</f>
        <v/>
      </c>
    </row>
    <row r="5998">
      <c r="A5998">
        <f>HYPERLINK("https://www.youtube.com/watch?v=hdUbP7sH3HI", "Video")</f>
        <v/>
      </c>
      <c r="B5998" t="inlineStr">
        <is>
          <t>1:13</t>
        </is>
      </c>
      <c r="C5998" t="inlineStr">
        <is>
          <t>let me catch my breath a little bit you</t>
        </is>
      </c>
      <c r="D5998">
        <f>HYPERLINK("https://www.youtube.com/watch?v=hdUbP7sH3HI&amp;t=73s", "Go to time")</f>
        <v/>
      </c>
    </row>
    <row r="5999">
      <c r="A5999">
        <f>HYPERLINK("https://www.youtube.com/watch?v=Vo8GeIYq-FY", "Video")</f>
        <v/>
      </c>
      <c r="B5999" t="inlineStr">
        <is>
          <t>10:19</t>
        </is>
      </c>
      <c r="C5999" t="inlineStr">
        <is>
          <t>biddles it's like KES and bits but</t>
        </is>
      </c>
      <c r="D5999">
        <f>HYPERLINK("https://www.youtube.com/watch?v=Vo8GeIYq-FY&amp;t=619s", "Go to time")</f>
        <v/>
      </c>
    </row>
    <row r="6000">
      <c r="A6000">
        <f>HYPERLINK("https://www.youtube.com/watch?v=2UxTGH7cR5Y", "Video")</f>
        <v/>
      </c>
      <c r="B6000" t="inlineStr">
        <is>
          <t>0:25</t>
        </is>
      </c>
      <c r="C6000" t="inlineStr">
        <is>
          <t>bloody ambitious huh sunday morning</t>
        </is>
      </c>
      <c r="D6000">
        <f>HYPERLINK("https://www.youtube.com/watch?v=2UxTGH7cR5Y&amp;t=25s", "Go to time")</f>
        <v/>
      </c>
    </row>
    <row r="6001">
      <c r="A6001">
        <f>HYPERLINK("https://www.youtube.com/watch?v=EoMmb1M9N9w", "Video")</f>
        <v/>
      </c>
      <c r="B6001" t="inlineStr">
        <is>
          <t>0:21</t>
        </is>
      </c>
      <c r="C6001" t="inlineStr">
        <is>
          <t>a bit of a ghoul problem</t>
        </is>
      </c>
      <c r="D6001">
        <f>HYPERLINK("https://www.youtube.com/watch?v=EoMmb1M9N9w&amp;t=21s", "Go to time")</f>
        <v/>
      </c>
    </row>
    <row r="6002">
      <c r="A6002">
        <f>HYPERLINK("https://www.youtube.com/watch?v=PjhxQXt663U", "Video")</f>
        <v/>
      </c>
      <c r="B6002" t="inlineStr">
        <is>
          <t>5:09</t>
        </is>
      </c>
      <c r="C6002" t="inlineStr">
        <is>
          <t>graduation day in a little bit uh can</t>
        </is>
      </c>
      <c r="D6002">
        <f>HYPERLINK("https://www.youtube.com/watch?v=PjhxQXt663U&amp;t=309s", "Go to time")</f>
        <v/>
      </c>
    </row>
    <row r="6003">
      <c r="A6003">
        <f>HYPERLINK("https://www.youtube.com/watch?v=PjhxQXt663U", "Video")</f>
        <v/>
      </c>
      <c r="B6003" t="inlineStr">
        <is>
          <t>6:20</t>
        </is>
      </c>
      <c r="C6003" t="inlineStr">
        <is>
          <t>it's been a bit like a extended episode</t>
        </is>
      </c>
      <c r="D6003">
        <f>HYPERLINK("https://www.youtube.com/watch?v=PjhxQXt663U&amp;t=380s", "Go to time")</f>
        <v/>
      </c>
    </row>
    <row r="6004">
      <c r="A6004">
        <f>HYPERLINK("https://www.youtube.com/watch?v=PjhxQXt663U", "Video")</f>
        <v/>
      </c>
      <c r="B6004" t="inlineStr">
        <is>
          <t>6:40</t>
        </is>
      </c>
      <c r="C6004" t="inlineStr">
        <is>
          <t>thing like you were a little bit you</t>
        </is>
      </c>
      <c r="D6004">
        <f>HYPERLINK("https://www.youtube.com/watch?v=PjhxQXt663U&amp;t=400s", "Go to time")</f>
        <v/>
      </c>
    </row>
    <row r="6005">
      <c r="A6005">
        <f>HYPERLINK("https://www.youtube.com/watch?v=PjhxQXt663U", "Video")</f>
        <v/>
      </c>
      <c r="B6005" t="inlineStr">
        <is>
          <t>6:42</t>
        </is>
      </c>
      <c r="C6005" t="inlineStr">
        <is>
          <t>were a bit of a naysayer maybe on your</t>
        </is>
      </c>
      <c r="D6005">
        <f>HYPERLINK("https://www.youtube.com/watch?v=PjhxQXt663U&amp;t=402s", "Go to time")</f>
        <v/>
      </c>
    </row>
    <row r="6006">
      <c r="A6006">
        <f>HYPERLINK("https://www.youtube.com/watch?v=PjhxQXt663U", "Video")</f>
        <v/>
      </c>
      <c r="B6006" t="inlineStr">
        <is>
          <t>7:10</t>
        </is>
      </c>
      <c r="C6006" t="inlineStr">
        <is>
          <t>who had a little bit more to do would</t>
        </is>
      </c>
      <c r="D6006">
        <f>HYPERLINK("https://www.youtube.com/watch?v=PjhxQXt663U&amp;t=430s", "Go to time")</f>
        <v/>
      </c>
    </row>
    <row r="6007">
      <c r="A6007">
        <f>HYPERLINK("https://www.youtube.com/watch?v=PjhxQXt663U", "Video")</f>
        <v/>
      </c>
      <c r="B6007" t="inlineStr">
        <is>
          <t>9:00</t>
        </is>
      </c>
      <c r="C6007" t="inlineStr">
        <is>
          <t>about uh let's talk a little bit about</t>
        </is>
      </c>
      <c r="D6007">
        <f>HYPERLINK("https://www.youtube.com/watch?v=PjhxQXt663U&amp;t=540s", "Go to time")</f>
        <v/>
      </c>
    </row>
    <row r="6008">
      <c r="A6008">
        <f>HYPERLINK("https://www.youtube.com/watch?v=PjhxQXt663U", "Video")</f>
        <v/>
      </c>
      <c r="B6008" t="inlineStr">
        <is>
          <t>12:20</t>
        </is>
      </c>
      <c r="C6008" t="inlineStr">
        <is>
          <t>also a little bit of controversy about</t>
        </is>
      </c>
      <c r="D6008">
        <f>HYPERLINK("https://www.youtube.com/watch?v=PjhxQXt663U&amp;t=740s", "Go to time")</f>
        <v/>
      </c>
    </row>
    <row r="6009">
      <c r="A6009">
        <f>HYPERLINK("https://www.youtube.com/watch?v=PjhxQXt663U", "Video")</f>
        <v/>
      </c>
      <c r="B6009" t="inlineStr">
        <is>
          <t>14:44</t>
        </is>
      </c>
      <c r="C6009" t="inlineStr">
        <is>
          <t>little bit oh I'm thinking of Sterling</t>
        </is>
      </c>
      <c r="D6009">
        <f>HYPERLINK("https://www.youtube.com/watch?v=PjhxQXt663U&amp;t=884s", "Go to time")</f>
        <v/>
      </c>
    </row>
    <row r="6010">
      <c r="A6010">
        <f>HYPERLINK("https://www.youtube.com/watch?v=Ronwt1z9gbc", "Video")</f>
        <v/>
      </c>
      <c r="B6010" t="inlineStr">
        <is>
          <t>0:08</t>
        </is>
      </c>
      <c r="C6010" t="inlineStr">
        <is>
          <t>down Spock you haven't changed a bit</t>
        </is>
      </c>
      <c r="D6010">
        <f>HYPERLINK("https://www.youtube.com/watch?v=Ronwt1z9gbc&amp;t=8s", "Go to time")</f>
        <v/>
      </c>
    </row>
    <row r="6011">
      <c r="A6011">
        <f>HYPERLINK("https://www.youtube.com/watch?v=2oToxz_HKIo", "Video")</f>
        <v/>
      </c>
      <c r="B6011" t="inlineStr">
        <is>
          <t>0:27</t>
        </is>
      </c>
      <c r="C6011" t="inlineStr">
        <is>
          <t>me oh come on I won't bite</t>
        </is>
      </c>
      <c r="D6011">
        <f>HYPERLINK("https://www.youtube.com/watch?v=2oToxz_HKIo&amp;t=27s", "Go to time")</f>
        <v/>
      </c>
    </row>
    <row r="6012">
      <c r="A6012">
        <f>HYPERLINK("https://www.youtube.com/watch?v=2oToxz_HKIo", "Video")</f>
        <v/>
      </c>
      <c r="B6012" t="inlineStr">
        <is>
          <t>0:42</t>
        </is>
      </c>
      <c r="C6012" t="inlineStr">
        <is>
          <t>biting iing out whatever I've been with</t>
        </is>
      </c>
      <c r="D6012">
        <f>HYPERLINK("https://www.youtube.com/watch?v=2oToxz_HKIo&amp;t=42s", "Go to time")</f>
        <v/>
      </c>
    </row>
    <row r="6013">
      <c r="A6013">
        <f>HYPERLINK("https://www.youtube.com/watch?v=TvLsOEXbMQQ", "Video")</f>
        <v/>
      </c>
      <c r="B6013" t="inlineStr">
        <is>
          <t>0:48</t>
        </is>
      </c>
      <c r="C6013" t="inlineStr">
        <is>
          <t>echidnas have a habit of showing up</t>
        </is>
      </c>
      <c r="D6013">
        <f>HYPERLINK("https://www.youtube.com/watch?v=TvLsOEXbMQQ&amp;t=48s", "Go to time")</f>
        <v/>
      </c>
    </row>
    <row r="6014">
      <c r="A6014">
        <f>HYPERLINK("https://www.youtube.com/watch?v=IbY2kX6mvDc", "Video")</f>
        <v/>
      </c>
      <c r="B6014" t="inlineStr">
        <is>
          <t>1:33</t>
        </is>
      </c>
      <c r="C6014" t="inlineStr">
        <is>
          <t>to get a tad bit louder than white</t>
        </is>
      </c>
      <c r="D6014">
        <f>HYPERLINK("https://www.youtube.com/watch?v=IbY2kX6mvDc&amp;t=93s", "Go to time")</f>
        <v/>
      </c>
    </row>
    <row r="6015">
      <c r="A6015">
        <f>HYPERLINK("https://www.youtube.com/watch?v=IbY2kX6mvDc", "Video")</f>
        <v/>
      </c>
      <c r="B6015" t="inlineStr">
        <is>
          <t>2:41</t>
        </is>
      </c>
      <c r="C6015" t="inlineStr">
        <is>
          <t>bit later girl</t>
        </is>
      </c>
      <c r="D6015">
        <f>HYPERLINK("https://www.youtube.com/watch?v=IbY2kX6mvDc&amp;t=161s", "Go to time")</f>
        <v/>
      </c>
    </row>
    <row r="6016">
      <c r="A6016">
        <f>HYPERLINK("https://www.youtube.com/watch?v=VAkat9xKDiM", "Video")</f>
        <v/>
      </c>
      <c r="B6016" t="inlineStr">
        <is>
          <t>0:00</t>
        </is>
      </c>
      <c r="C6016" t="inlineStr">
        <is>
          <t>do I see a pair of rabbit ears oh</t>
        </is>
      </c>
      <c r="D6016">
        <f>HYPERLINK("https://www.youtube.com/watch?v=VAkat9xKDiM&amp;t=0s", "Go to time")</f>
        <v/>
      </c>
    </row>
    <row r="6017">
      <c r="A6017">
        <f>HYPERLINK("https://www.youtube.com/watch?v=-_UbuHeX3vI", "Video")</f>
        <v/>
      </c>
      <c r="B6017" t="inlineStr">
        <is>
          <t>0:34</t>
        </is>
      </c>
      <c r="C6017" t="inlineStr">
        <is>
          <t>little bit sketchy because you worked at</t>
        </is>
      </c>
      <c r="D6017">
        <f>HYPERLINK("https://www.youtube.com/watch?v=-_UbuHeX3vI&amp;t=34s", "Go to time")</f>
        <v/>
      </c>
    </row>
    <row r="6018">
      <c r="A6018">
        <f>HYPERLINK("https://www.youtube.com/watch?v=YsFvdaOMFSw", "Video")</f>
        <v/>
      </c>
      <c r="B6018" t="inlineStr">
        <is>
          <t>0:01</t>
        </is>
      </c>
      <c r="C6018" t="inlineStr">
        <is>
          <t>uh Lauren you remember Dave tbit oh of</t>
        </is>
      </c>
      <c r="D6018">
        <f>HYPERLINK("https://www.youtube.com/watch?v=YsFvdaOMFSw&amp;t=1s", "Go to time")</f>
        <v/>
      </c>
    </row>
    <row r="6019">
      <c r="A6019">
        <f>HYPERLINK("https://www.youtube.com/watch?v=ggj4SJZdYm8", "Video")</f>
        <v/>
      </c>
      <c r="B6019" t="inlineStr">
        <is>
          <t>0:15</t>
        </is>
      </c>
      <c r="C6019" t="inlineStr">
        <is>
          <t>ambitious oh that's a ridiculous thing</t>
        </is>
      </c>
      <c r="D6019">
        <f>HYPERLINK("https://www.youtube.com/watch?v=ggj4SJZdYm8&amp;t=15s", "Go to time")</f>
        <v/>
      </c>
    </row>
    <row r="6020">
      <c r="A6020">
        <f>HYPERLINK("https://www.youtube.com/watch?v=M16l8dqWTuI", "Video")</f>
        <v/>
      </c>
      <c r="B6020" t="inlineStr">
        <is>
          <t>0:21</t>
        </is>
      </c>
      <c r="C6020" t="inlineStr">
        <is>
          <t>Reggie we're gonna miss the bit of the</t>
        </is>
      </c>
      <c r="D6020">
        <f>HYPERLINK("https://www.youtube.com/watch?v=M16l8dqWTuI&amp;t=21s", "Go to time")</f>
        <v/>
      </c>
    </row>
    <row r="6021">
      <c r="A6021">
        <f>HYPERLINK("https://www.youtube.com/watch?v=8eeJFUPy20s", "Video")</f>
        <v/>
      </c>
      <c r="B6021" t="inlineStr">
        <is>
          <t>6:39</t>
        </is>
      </c>
      <c r="C6021" t="inlineStr">
        <is>
          <t>we've managed to fulfill the ambition of</t>
        </is>
      </c>
      <c r="D6021">
        <f>HYPERLINK("https://www.youtube.com/watch?v=8eeJFUPy20s&amp;t=399s", "Go to time")</f>
        <v/>
      </c>
    </row>
    <row r="6022">
      <c r="A6022">
        <f>HYPERLINK("https://www.youtube.com/watch?v=8eeJFUPy20s", "Video")</f>
        <v/>
      </c>
      <c r="B6022" t="inlineStr">
        <is>
          <t>7:28</t>
        </is>
      </c>
      <c r="C6022" t="inlineStr">
        <is>
          <t>feel like little bits of your filmmaking</t>
        </is>
      </c>
      <c r="D6022">
        <f>HYPERLINK("https://www.youtube.com/watch?v=8eeJFUPy20s&amp;t=448s", "Go to time")</f>
        <v/>
      </c>
    </row>
    <row r="6023">
      <c r="A6023">
        <f>HYPERLINK("https://www.youtube.com/watch?v=8eeJFUPy20s", "Video")</f>
        <v/>
      </c>
      <c r="B6023" t="inlineStr">
        <is>
          <t>12:17</t>
        </is>
      </c>
      <c r="C6023" t="inlineStr">
        <is>
          <t>little bit with Kate well I mean Hilder</t>
        </is>
      </c>
      <c r="D6023">
        <f>HYPERLINK("https://www.youtube.com/watch?v=8eeJFUPy20s&amp;t=737s", "Go to time")</f>
        <v/>
      </c>
    </row>
    <row r="6024">
      <c r="A6024">
        <f>HYPERLINK("https://www.youtube.com/watch?v=8eeJFUPy20s", "Video")</f>
        <v/>
      </c>
      <c r="B6024" t="inlineStr">
        <is>
          <t>14:54</t>
        </is>
      </c>
      <c r="C6024" t="inlineStr">
        <is>
          <t>like a bit of an evolving conversation</t>
        </is>
      </c>
      <c r="D6024">
        <f>HYPERLINK("https://www.youtube.com/watch?v=8eeJFUPy20s&amp;t=894s", "Go to time")</f>
        <v/>
      </c>
    </row>
    <row r="6025">
      <c r="A6025">
        <f>HYPERLINK("https://www.youtube.com/watch?v=xK7SK7lfaes", "Video")</f>
        <v/>
      </c>
      <c r="B6025" t="inlineStr">
        <is>
          <t>0:18</t>
        </is>
      </c>
      <c r="C6025" t="inlineStr">
        <is>
          <t>someplace for a little bit</t>
        </is>
      </c>
      <c r="D6025">
        <f>HYPERLINK("https://www.youtube.com/watch?v=xK7SK7lfaes&amp;t=18s", "Go to time")</f>
        <v/>
      </c>
    </row>
    <row r="6026">
      <c r="A6026">
        <f>HYPERLINK("https://www.youtube.com/watch?v=DBfYDQ1yRVc", "Video")</f>
        <v/>
      </c>
      <c r="B6026" t="inlineStr">
        <is>
          <t>2:42</t>
        </is>
      </c>
      <c r="C6026" t="inlineStr">
        <is>
          <t>me I find the world a bitter and</t>
        </is>
      </c>
      <c r="D6026">
        <f>HYPERLINK("https://www.youtube.com/watch?v=DBfYDQ1yRVc&amp;t=162s", "Go to time")</f>
        <v/>
      </c>
    </row>
    <row r="6027">
      <c r="A6027">
        <f>HYPERLINK("https://www.youtube.com/watch?v=qLFrdv2R8ng", "Video")</f>
        <v/>
      </c>
      <c r="B6027" t="inlineStr">
        <is>
          <t>0:13</t>
        </is>
      </c>
      <c r="C6027" t="inlineStr">
        <is>
          <t>doing that bitch's house today know what</t>
        </is>
      </c>
      <c r="D6027">
        <f>HYPERLINK("https://www.youtube.com/watch?v=qLFrdv2R8ng&amp;t=13s", "Go to time")</f>
        <v/>
      </c>
    </row>
    <row r="6028">
      <c r="A6028">
        <f>HYPERLINK("https://www.youtube.com/watch?v=yXD2qhRNTts", "Video")</f>
        <v/>
      </c>
      <c r="B6028" t="inlineStr">
        <is>
          <t>0:01</t>
        </is>
      </c>
      <c r="C6028" t="inlineStr">
        <is>
          <t>after every bite of food a lady dabs her</t>
        </is>
      </c>
      <c r="D6028">
        <f>HYPERLINK("https://www.youtube.com/watch?v=yXD2qhRNTts&amp;t=1s", "Go to time")</f>
        <v/>
      </c>
    </row>
    <row r="6029">
      <c r="A6029">
        <f>HYPERLINK("https://www.youtube.com/watch?v=VvC45NqwCkU", "Video")</f>
        <v/>
      </c>
      <c r="B6029" t="inlineStr">
        <is>
          <t>1:17</t>
        </is>
      </c>
      <c r="C6029" t="inlineStr">
        <is>
          <t>enunciate that last word a little bit I</t>
        </is>
      </c>
      <c r="D6029">
        <f>HYPERLINK("https://www.youtube.com/watch?v=VvC45NqwCkU&amp;t=77s", "Go to time")</f>
        <v/>
      </c>
    </row>
    <row r="6030">
      <c r="A6030">
        <f>HYPERLINK("https://www.youtube.com/watch?v=VvC45NqwCkU", "Video")</f>
        <v/>
      </c>
      <c r="B6030" t="inlineStr">
        <is>
          <t>2:10</t>
        </is>
      </c>
      <c r="C6030" t="inlineStr">
        <is>
          <t>thinking maybe it's a little bit more</t>
        </is>
      </c>
      <c r="D6030">
        <f>HYPERLINK("https://www.youtube.com/watch?v=VvC45NqwCkU&amp;t=130s", "Go to time")</f>
        <v/>
      </c>
    </row>
    <row r="6031">
      <c r="A6031">
        <f>HYPERLINK("https://www.youtube.com/watch?v=VvC45NqwCkU", "Video")</f>
        <v/>
      </c>
      <c r="B6031" t="inlineStr">
        <is>
          <t>2:12</t>
        </is>
      </c>
      <c r="C6031" t="inlineStr">
        <is>
          <t>subtle like a little bit just more</t>
        </is>
      </c>
      <c r="D6031">
        <f>HYPERLINK("https://www.youtube.com/watch?v=VvC45NqwCkU&amp;t=132s", "Go to time")</f>
        <v/>
      </c>
    </row>
    <row r="6032">
      <c r="A6032">
        <f>HYPERLINK("https://www.youtube.com/watch?v=nf4Bdn5gLFQ", "Video")</f>
        <v/>
      </c>
      <c r="B6032" t="inlineStr">
        <is>
          <t>1:44</t>
        </is>
      </c>
      <c r="C6032" t="inlineStr">
        <is>
          <t>responding until a little bit of</t>
        </is>
      </c>
      <c r="D6032">
        <f>HYPERLINK("https://www.youtube.com/watch?v=nf4Bdn5gLFQ&amp;t=104s", "Go to time")</f>
        <v/>
      </c>
    </row>
    <row r="6033">
      <c r="A6033">
        <f>HYPERLINK("https://www.youtube.com/watch?v=00-P-YEXADw", "Video")</f>
        <v/>
      </c>
      <c r="B6033" t="inlineStr">
        <is>
          <t>8:47</t>
        </is>
      </c>
      <c r="C6033" t="inlineStr">
        <is>
          <t>little bit privately but his public</t>
        </is>
      </c>
      <c r="D6033">
        <f>HYPERLINK("https://www.youtube.com/watch?v=00-P-YEXADw&amp;t=527s", "Go to time")</f>
        <v/>
      </c>
    </row>
    <row r="6034">
      <c r="A6034">
        <f>HYPERLINK("https://www.youtube.com/watch?v=00-P-YEXADw", "Video")</f>
        <v/>
      </c>
      <c r="B6034" t="inlineStr">
        <is>
          <t>10:48</t>
        </is>
      </c>
      <c r="C6034" t="inlineStr">
        <is>
          <t>learn them and um there was one bit</t>
        </is>
      </c>
      <c r="D6034">
        <f>HYPERLINK("https://www.youtube.com/watch?v=00-P-YEXADw&amp;t=648s", "Go to time")</f>
        <v/>
      </c>
    </row>
    <row r="6035">
      <c r="A6035">
        <f>HYPERLINK("https://www.youtube.com/watch?v=00-P-YEXADw", "Video")</f>
        <v/>
      </c>
      <c r="B6035" t="inlineStr">
        <is>
          <t>11:52</t>
        </is>
      </c>
      <c r="C6035" t="inlineStr">
        <is>
          <t>Bob kind of he spoke a little bit</t>
        </is>
      </c>
      <c r="D6035">
        <f>HYPERLINK("https://www.youtube.com/watch?v=00-P-YEXADw&amp;t=712s", "Go to time")</f>
        <v/>
      </c>
    </row>
    <row r="6036">
      <c r="A6036">
        <f>HYPERLINK("https://www.youtube.com/watch?v=00-P-YEXADw", "Video")</f>
        <v/>
      </c>
      <c r="B6036" t="inlineStr">
        <is>
          <t>11:54</t>
        </is>
      </c>
      <c r="C6036" t="inlineStr">
        <is>
          <t>country and then he spoke a little bit</t>
        </is>
      </c>
      <c r="D6036">
        <f>HYPERLINK("https://www.youtube.com/watch?v=00-P-YEXADw&amp;t=714s", "Go to time")</f>
        <v/>
      </c>
    </row>
    <row r="6037">
      <c r="A6037">
        <f>HYPERLINK("https://www.youtube.com/watch?v=00-P-YEXADw", "Video")</f>
        <v/>
      </c>
      <c r="B6037" t="inlineStr">
        <is>
          <t>21:27</t>
        </is>
      </c>
      <c r="C6037" t="inlineStr">
        <is>
          <t>little bit back to Bob Marley and</t>
        </is>
      </c>
      <c r="D6037">
        <f>HYPERLINK("https://www.youtube.com/watch?v=00-P-YEXADw&amp;t=1287s", "Go to time")</f>
        <v/>
      </c>
    </row>
    <row r="6038">
      <c r="A6038">
        <f>HYPERLINK("https://www.youtube.com/watch?v=SVMOWNRE1HQ", "Video")</f>
        <v/>
      </c>
      <c r="B6038" t="inlineStr">
        <is>
          <t>0:19</t>
        </is>
      </c>
      <c r="C6038" t="inlineStr">
        <is>
          <t>arbitrary</t>
        </is>
      </c>
      <c r="D6038">
        <f>HYPERLINK("https://www.youtube.com/watch?v=SVMOWNRE1HQ&amp;t=19s", "Go to time")</f>
        <v/>
      </c>
    </row>
    <row r="6039">
      <c r="A6039">
        <f>HYPERLINK("https://www.youtube.com/watch?v=pVc0mOTVwT4", "Video")</f>
        <v/>
      </c>
      <c r="B6039" t="inlineStr">
        <is>
          <t>0:02</t>
        </is>
      </c>
      <c r="C6039" t="inlineStr">
        <is>
          <t>santa's explained that money's a bit</t>
        </is>
      </c>
      <c r="D6039">
        <f>HYPERLINK("https://www.youtube.com/watch?v=pVc0mOTVwT4&amp;t=2s", "Go to time")</f>
        <v/>
      </c>
    </row>
    <row r="6040">
      <c r="A6040">
        <f>HYPERLINK("https://www.youtube.com/watch?v=pVc0mOTVwT4", "Video")</f>
        <v/>
      </c>
      <c r="B6040" t="inlineStr">
        <is>
          <t>1:32</t>
        </is>
      </c>
      <c r="C6040" t="inlineStr">
        <is>
          <t>for a wee bit too and everybody was</t>
        </is>
      </c>
      <c r="D6040">
        <f>HYPERLINK("https://www.youtube.com/watch?v=pVc0mOTVwT4&amp;t=92s", "Go to time")</f>
        <v/>
      </c>
    </row>
    <row r="6041">
      <c r="A6041">
        <f>HYPERLINK("https://www.youtube.com/watch?v=45cBsW7gZ8I", "Video")</f>
        <v/>
      </c>
      <c r="B6041" t="inlineStr">
        <is>
          <t>2:18</t>
        </is>
      </c>
      <c r="C6041" t="inlineStr">
        <is>
          <t>if you volunteered that tidbit a little</t>
        </is>
      </c>
      <c r="D6041">
        <f>HYPERLINK("https://www.youtube.com/watch?v=45cBsW7gZ8I&amp;t=138s", "Go to time")</f>
        <v/>
      </c>
    </row>
    <row r="6042">
      <c r="A6042">
        <f>HYPERLINK("https://www.youtube.com/watch?v=cTVKQJmbKyw", "Video")</f>
        <v/>
      </c>
      <c r="B6042" t="inlineStr">
        <is>
          <t>2:15</t>
        </is>
      </c>
      <c r="C6042" t="inlineStr">
        <is>
          <t>Lincoln exhibit you get all of it you</t>
        </is>
      </c>
      <c r="D6042">
        <f>HYPERLINK("https://www.youtube.com/watch?v=cTVKQJmbKyw&amp;t=135s", "Go to time")</f>
        <v/>
      </c>
    </row>
    <row r="6043">
      <c r="A6043">
        <f>HYPERLINK("https://www.youtube.com/watch?v=I9J7CC04oVA", "Video")</f>
        <v/>
      </c>
      <c r="B6043" t="inlineStr">
        <is>
          <t>0:16</t>
        </is>
      </c>
      <c r="C6043" t="inlineStr">
        <is>
          <t>my brain daddy Bruce Junior Bit Me No</t>
        </is>
      </c>
      <c r="D6043">
        <f>HYPERLINK("https://www.youtube.com/watch?v=I9J7CC04oVA&amp;t=16s", "Go to time")</f>
        <v/>
      </c>
    </row>
    <row r="6044">
      <c r="A6044">
        <f>HYPERLINK("https://www.youtube.com/watch?v=I9J7CC04oVA", "Video")</f>
        <v/>
      </c>
      <c r="B6044" t="inlineStr">
        <is>
          <t>0:18</t>
        </is>
      </c>
      <c r="C6044" t="inlineStr">
        <is>
          <t>Biting Daddy I don't see how any</t>
        </is>
      </c>
      <c r="D6044">
        <f>HYPERLINK("https://www.youtube.com/watch?v=I9J7CC04oVA&amp;t=18s", "Go to time")</f>
        <v/>
      </c>
    </row>
    <row r="6045">
      <c r="A6045">
        <f>HYPERLINK("https://www.youtube.com/watch?v=Kw7Ji_M7zeo", "Video")</f>
        <v/>
      </c>
      <c r="B6045" t="inlineStr">
        <is>
          <t>2:22</t>
        </is>
      </c>
      <c r="C6045" t="inlineStr">
        <is>
          <t>I was just gonna come up with some bit</t>
        </is>
      </c>
      <c r="D6045">
        <f>HYPERLINK("https://www.youtube.com/watch?v=Kw7Ji_M7zeo&amp;t=142s", "Go to time")</f>
        <v/>
      </c>
    </row>
    <row r="6046">
      <c r="A6046">
        <f>HYPERLINK("https://www.youtube.com/watch?v=RrCXY5Tpq9o", "Video")</f>
        <v/>
      </c>
      <c r="B6046" t="inlineStr">
        <is>
          <t>1:47</t>
        </is>
      </c>
      <c r="C6046" t="inlineStr">
        <is>
          <t>Terry multiplying like rabbits and</t>
        </is>
      </c>
      <c r="D6046">
        <f>HYPERLINK("https://www.youtube.com/watch?v=RrCXY5Tpq9o&amp;t=107s", "Go to time")</f>
        <v/>
      </c>
    </row>
    <row r="6047">
      <c r="A6047">
        <f>HYPERLINK("https://www.youtube.com/watch?v=PrBVgtAeNhE", "Video")</f>
        <v/>
      </c>
      <c r="B6047" t="inlineStr">
        <is>
          <t>1:18</t>
        </is>
      </c>
      <c r="C6047" t="inlineStr">
        <is>
          <t>human brain what about your flea-bitten</t>
        </is>
      </c>
      <c r="D6047">
        <f>HYPERLINK("https://www.youtube.com/watch?v=PrBVgtAeNhE&amp;t=78s", "Go to time")</f>
        <v/>
      </c>
    </row>
    <row r="6048">
      <c r="A6048">
        <f>HYPERLINK("https://www.youtube.com/watch?v=mROlwLlOEHA", "Video")</f>
        <v/>
      </c>
      <c r="B6048" t="inlineStr">
        <is>
          <t>3:20</t>
        </is>
      </c>
      <c r="C6048" t="inlineStr">
        <is>
          <t>the Americans and the Bitcoin bubble I</t>
        </is>
      </c>
      <c r="D6048">
        <f>HYPERLINK("https://www.youtube.com/watch?v=mROlwLlOEHA&amp;t=200s", "Go to time")</f>
        <v/>
      </c>
    </row>
    <row r="6049">
      <c r="A6049">
        <f>HYPERLINK("https://www.youtube.com/watch?v=hJR6ypPmzHs", "Video")</f>
        <v/>
      </c>
      <c r="B6049" t="inlineStr">
        <is>
          <t>1:22</t>
        </is>
      </c>
      <c r="C6049" t="inlineStr">
        <is>
          <t>the Itsy Bitsy Spider came down the</t>
        </is>
      </c>
      <c r="D6049">
        <f>HYPERLINK("https://www.youtube.com/watch?v=hJR6ypPmzHs&amp;t=82s", "Go to time")</f>
        <v/>
      </c>
    </row>
    <row r="6050">
      <c r="A6050">
        <f>HYPERLINK("https://www.youtube.com/watch?v=Nz27kBa8qNc", "Video")</f>
        <v/>
      </c>
      <c r="B6050" t="inlineStr">
        <is>
          <t>0:17</t>
        </is>
      </c>
      <c r="C6050" t="inlineStr">
        <is>
          <t>milia would you like to have e to bite</t>
        </is>
      </c>
      <c r="D6050">
        <f>HYPERLINK("https://www.youtube.com/watch?v=Nz27kBa8qNc&amp;t=17s", "Go to time")</f>
        <v/>
      </c>
    </row>
    <row r="6051">
      <c r="A6051">
        <f>HYPERLINK("https://www.youtube.com/watch?v=2zmqXRyMvnw", "Video")</f>
        <v/>
      </c>
      <c r="B6051" t="inlineStr">
        <is>
          <t>24:17</t>
        </is>
      </c>
      <c r="C6051" t="inlineStr">
        <is>
          <t>kind of freaking out a little bit you've</t>
        </is>
      </c>
      <c r="D6051">
        <f>HYPERLINK("https://www.youtube.com/watch?v=2zmqXRyMvnw&amp;t=1457s", "Go to time")</f>
        <v/>
      </c>
    </row>
    <row r="6052">
      <c r="A6052">
        <f>HYPERLINK("https://www.youtube.com/watch?v=Et0Dhmdpa9M", "Video")</f>
        <v/>
      </c>
      <c r="B6052" t="inlineStr">
        <is>
          <t>6:33</t>
        </is>
      </c>
      <c r="C6052" t="inlineStr">
        <is>
          <t>marmalade habit we love Paddington and</t>
        </is>
      </c>
      <c r="D6052">
        <f>HYPERLINK("https://www.youtube.com/watch?v=Et0Dhmdpa9M&amp;t=393s", "Go to time")</f>
        <v/>
      </c>
    </row>
    <row r="6053">
      <c r="A6053">
        <f>HYPERLINK("https://www.youtube.com/watch?v=nAP4vaHuRjw", "Video")</f>
        <v/>
      </c>
      <c r="B6053" t="inlineStr">
        <is>
          <t>0:14</t>
        </is>
      </c>
      <c r="C6053" t="inlineStr">
        <is>
          <t>little harsh bite size Bonnie wants his</t>
        </is>
      </c>
      <c r="D6053">
        <f>HYPERLINK("https://www.youtube.com/watch?v=nAP4vaHuRjw&amp;t=14s", "Go to time")</f>
        <v/>
      </c>
    </row>
    <row r="6054">
      <c r="A6054">
        <f>HYPERLINK("https://www.youtube.com/watch?v=ST7NFAQ2eN0", "Video")</f>
        <v/>
      </c>
      <c r="B6054" t="inlineStr">
        <is>
          <t>3:26</t>
        </is>
      </c>
      <c r="C6054" t="inlineStr">
        <is>
          <t>got to take a little bit of sunshine</t>
        </is>
      </c>
      <c r="D6054">
        <f>HYPERLINK("https://www.youtube.com/watch?v=ST7NFAQ2eN0&amp;t=206s", "Go to time")</f>
        <v/>
      </c>
    </row>
    <row r="6055">
      <c r="A6055">
        <f>HYPERLINK("https://www.youtube.com/watch?v=ojihFR8PZEc", "Video")</f>
        <v/>
      </c>
      <c r="B6055" t="inlineStr">
        <is>
          <t>1:19</t>
        </is>
      </c>
      <c r="C6055" t="inlineStr">
        <is>
          <t>bit</t>
        </is>
      </c>
      <c r="D6055">
        <f>HYPERLINK("https://www.youtube.com/watch?v=ojihFR8PZEc&amp;t=79s", "Go to time")</f>
        <v/>
      </c>
    </row>
    <row r="6056">
      <c r="A6056">
        <f>HYPERLINK("https://www.youtube.com/watch?v=LYFxfqhjWzI", "Video")</f>
        <v/>
      </c>
      <c r="B6056" t="inlineStr">
        <is>
          <t>2:43</t>
        </is>
      </c>
      <c r="C6056" t="inlineStr">
        <is>
          <t>a sensitive Soul this is all a bit much</t>
        </is>
      </c>
      <c r="D6056">
        <f>HYPERLINK("https://www.youtube.com/watch?v=LYFxfqhjWzI&amp;t=163s", "Go to time")</f>
        <v/>
      </c>
    </row>
    <row r="6057">
      <c r="A6057">
        <f>HYPERLINK("https://www.youtube.com/watch?v=tGQHn2uJ4cg", "Video")</f>
        <v/>
      </c>
      <c r="B6057" t="inlineStr">
        <is>
          <t>1:58</t>
        </is>
      </c>
      <c r="C6057" t="inlineStr">
        <is>
          <t>now oh bit too soon to gloat Spider-Man</t>
        </is>
      </c>
      <c r="D6057">
        <f>HYPERLINK("https://www.youtube.com/watch?v=tGQHn2uJ4cg&amp;t=118s", "Go to time")</f>
        <v/>
      </c>
    </row>
    <row r="6058">
      <c r="A6058">
        <f>HYPERLINK("https://www.youtube.com/watch?v=BtfFgfG6KIw", "Video")</f>
        <v/>
      </c>
      <c r="B6058" t="inlineStr">
        <is>
          <t>0:50</t>
        </is>
      </c>
      <c r="C6058" t="inlineStr">
        <is>
          <t>i've been seeing quite a bit of buddy oh</t>
        </is>
      </c>
      <c r="D6058">
        <f>HYPERLINK("https://www.youtube.com/watch?v=BtfFgfG6KIw&amp;t=50s", "Go to time")</f>
        <v/>
      </c>
    </row>
    <row r="6059">
      <c r="A6059">
        <f>HYPERLINK("https://www.youtube.com/watch?v=jewKfcLBr-4", "Video")</f>
        <v/>
      </c>
      <c r="B6059" t="inlineStr">
        <is>
          <t>0:59</t>
        </is>
      </c>
      <c r="C6059" t="inlineStr">
        <is>
          <t>shine a light on them with a little bit</t>
        </is>
      </c>
      <c r="D6059">
        <f>HYPERLINK("https://www.youtube.com/watch?v=jewKfcLBr-4&amp;t=59s", "Go to time")</f>
        <v/>
      </c>
    </row>
    <row r="6060">
      <c r="A6060">
        <f>HYPERLINK("https://www.youtube.com/watch?v=XejQy-ak-oc", "Video")</f>
        <v/>
      </c>
      <c r="B6060" t="inlineStr">
        <is>
          <t>1:24</t>
        </is>
      </c>
      <c r="C6060" t="inlineStr">
        <is>
          <t>bit of a d</t>
        </is>
      </c>
      <c r="D6060">
        <f>HYPERLINK("https://www.youtube.com/watch?v=XejQy-ak-oc&amp;t=84s", "Go to time")</f>
        <v/>
      </c>
    </row>
    <row r="6061">
      <c r="A6061">
        <f>HYPERLINK("https://www.youtube.com/watch?v=7TL4gVPDZzA", "Video")</f>
        <v/>
      </c>
      <c r="B6061" t="inlineStr">
        <is>
          <t>1:04</t>
        </is>
      </c>
      <c r="C6061" t="inlineStr">
        <is>
          <t>to firm up a little bit before you go</t>
        </is>
      </c>
      <c r="D6061">
        <f>HYPERLINK("https://www.youtube.com/watch?v=7TL4gVPDZzA&amp;t=64s", "Go to time")</f>
        <v/>
      </c>
    </row>
    <row r="6062">
      <c r="A6062">
        <f>HYPERLINK("https://www.youtube.com/watch?v=Z8Oz7qYS29g", "Video")</f>
        <v/>
      </c>
      <c r="B6062" t="inlineStr">
        <is>
          <t>0:59</t>
        </is>
      </c>
      <c r="C6062" t="inlineStr">
        <is>
          <t>cake bites</t>
        </is>
      </c>
      <c r="D6062">
        <f>HYPERLINK("https://www.youtube.com/watch?v=Z8Oz7qYS29g&amp;t=59s", "Go to time")</f>
        <v/>
      </c>
    </row>
    <row r="6063">
      <c r="A6063">
        <f>HYPERLINK("https://www.youtube.com/watch?v=Z8Oz7qYS29g", "Video")</f>
        <v/>
      </c>
      <c r="B6063" t="inlineStr">
        <is>
          <t>1:01</t>
        </is>
      </c>
      <c r="C6063" t="inlineStr">
        <is>
          <t>we found our mini cake bites what oh I</t>
        </is>
      </c>
      <c r="D6063">
        <f>HYPERLINK("https://www.youtube.com/watch?v=Z8Oz7qYS29g&amp;t=61s", "Go to time")</f>
        <v/>
      </c>
    </row>
    <row r="6064">
      <c r="A6064">
        <f>HYPERLINK("https://www.youtube.com/watch?v=tmlKIOL19gM", "Video")</f>
        <v/>
      </c>
      <c r="B6064" t="inlineStr">
        <is>
          <t>2:48</t>
        </is>
      </c>
      <c r="C6064" t="inlineStr">
        <is>
          <t>he's got rabbit</t>
        </is>
      </c>
      <c r="D6064">
        <f>HYPERLINK("https://www.youtube.com/watch?v=tmlKIOL19gM&amp;t=168s", "Go to time")</f>
        <v/>
      </c>
    </row>
    <row r="6065">
      <c r="A6065">
        <f>HYPERLINK("https://www.youtube.com/watch?v=AAJf0X03SX4", "Video")</f>
        <v/>
      </c>
      <c r="B6065" t="inlineStr">
        <is>
          <t>1:39</t>
        </is>
      </c>
      <c r="C6065" t="inlineStr">
        <is>
          <t>he's become a bit of a recluse but is</t>
        </is>
      </c>
      <c r="D6065">
        <f>HYPERLINK("https://www.youtube.com/watch?v=AAJf0X03SX4&amp;t=99s", "Go to time")</f>
        <v/>
      </c>
    </row>
    <row r="6066">
      <c r="A6066">
        <f>HYPERLINK("https://www.youtube.com/watch?v=AAJf0X03SX4", "Video")</f>
        <v/>
      </c>
      <c r="B6066" t="inlineStr">
        <is>
          <t>10:28</t>
        </is>
      </c>
      <c r="C6066" t="inlineStr">
        <is>
          <t>is a bit of a troublemaker</t>
        </is>
      </c>
      <c r="D6066">
        <f>HYPERLINK("https://www.youtube.com/watch?v=AAJf0X03SX4&amp;t=628s", "Go to time")</f>
        <v/>
      </c>
    </row>
    <row r="6067">
      <c r="A6067">
        <f>HYPERLINK("https://www.youtube.com/watch?v=AAJf0X03SX4", "Video")</f>
        <v/>
      </c>
      <c r="B6067" t="inlineStr">
        <is>
          <t>11:29</t>
        </is>
      </c>
      <c r="C6067" t="inlineStr">
        <is>
          <t>giving bernini a little bit of a</t>
        </is>
      </c>
      <c r="D6067">
        <f>HYPERLINK("https://www.youtube.com/watch?v=AAJf0X03SX4&amp;t=689s", "Go to time")</f>
        <v/>
      </c>
    </row>
    <row r="6068">
      <c r="A6068">
        <f>HYPERLINK("https://www.youtube.com/watch?v=ofzIdn6PeSc", "Video")</f>
        <v/>
      </c>
      <c r="B6068" t="inlineStr">
        <is>
          <t>0:16</t>
        </is>
      </c>
      <c r="C6068" t="inlineStr">
        <is>
          <t>a bit of a weight problem so do</t>
        </is>
      </c>
      <c r="D6068">
        <f>HYPERLINK("https://www.youtube.com/watch?v=ofzIdn6PeSc&amp;t=16s", "Go to time")</f>
        <v/>
      </c>
    </row>
    <row r="6069">
      <c r="A6069">
        <f>HYPERLINK("https://www.youtube.com/watch?v=ofzIdn6PeSc", "Video")</f>
        <v/>
      </c>
      <c r="B6069" t="inlineStr">
        <is>
          <t>1:50</t>
        </is>
      </c>
      <c r="C6069" t="inlineStr">
        <is>
          <t>yourself spinach is for rabbits people</t>
        </is>
      </c>
      <c r="D6069">
        <f>HYPERLINK("https://www.youtube.com/watch?v=ofzIdn6PeSc&amp;t=110s", "Go to time")</f>
        <v/>
      </c>
    </row>
    <row r="6070">
      <c r="A6070">
        <f>HYPERLINK("https://www.youtube.com/watch?v=CLOJ-V3QK3I", "Video")</f>
        <v/>
      </c>
      <c r="B6070" t="inlineStr">
        <is>
          <t>0:14</t>
        </is>
      </c>
      <c r="C6070" t="inlineStr">
        <is>
          <t>rabbit fur blue Georgian the legendary</t>
        </is>
      </c>
      <c r="D6070">
        <f>HYPERLINK("https://www.youtube.com/watch?v=CLOJ-V3QK3I&amp;t=14s", "Go to time")</f>
        <v/>
      </c>
    </row>
    <row r="6071">
      <c r="A6071">
        <f>HYPERLINK("https://www.youtube.com/watch?v=KjgojvXKgqY", "Video")</f>
        <v/>
      </c>
      <c r="B6071" t="inlineStr">
        <is>
          <t>1:08</t>
        </is>
      </c>
      <c r="C6071" t="inlineStr">
        <is>
          <t>out got into some real bad habits</t>
        </is>
      </c>
      <c r="D6071">
        <f>HYPERLINK("https://www.youtube.com/watch?v=KjgojvXKgqY&amp;t=68s", "Go to time")</f>
        <v/>
      </c>
    </row>
    <row r="6072">
      <c r="A6072">
        <f>HYPERLINK("https://www.youtube.com/watch?v=KjgojvXKgqY", "Video")</f>
        <v/>
      </c>
      <c r="B6072" t="inlineStr">
        <is>
          <t>1:44</t>
        </is>
      </c>
      <c r="C6072" t="inlineStr">
        <is>
          <t>driven and ambitious like the rest of my</t>
        </is>
      </c>
      <c r="D6072">
        <f>HYPERLINK("https://www.youtube.com/watch?v=KjgojvXKgqY&amp;t=104s", "Go to time")</f>
        <v/>
      </c>
    </row>
    <row r="6073">
      <c r="A6073">
        <f>HYPERLINK("https://www.youtube.com/watch?v=rxixH40LdC4", "Video")</f>
        <v/>
      </c>
      <c r="B6073" t="inlineStr">
        <is>
          <t>5:34</t>
        </is>
      </c>
      <c r="C6073" t="inlineStr">
        <is>
          <t>female cast and biting satire of Teenage</t>
        </is>
      </c>
      <c r="D6073">
        <f>HYPERLINK("https://www.youtube.com/watch?v=rxixH40LdC4&amp;t=334s", "Go to time")</f>
        <v/>
      </c>
    </row>
    <row r="6074">
      <c r="A6074">
        <f>HYPERLINK("https://www.youtube.com/watch?v=rxixH40LdC4", "Video")</f>
        <v/>
      </c>
      <c r="B6074" t="inlineStr">
        <is>
          <t>16:56</t>
        </is>
      </c>
      <c r="C6074" t="inlineStr">
        <is>
          <t>underground Predators inhabit the</t>
        </is>
      </c>
      <c r="D6074">
        <f>HYPERLINK("https://www.youtube.com/watch?v=rxixH40LdC4&amp;t=1016s", "Go to time")</f>
        <v/>
      </c>
    </row>
    <row r="6075">
      <c r="A6075">
        <f>HYPERLINK("https://www.youtube.com/watch?v=pxBsFVWQQVw", "Video")</f>
        <v/>
      </c>
      <c r="B6075" t="inlineStr">
        <is>
          <t>0:18</t>
        </is>
      </c>
      <c r="C6075" t="inlineStr">
        <is>
          <t>feel last episode I shaded you a bit for</t>
        </is>
      </c>
      <c r="D6075">
        <f>HYPERLINK("https://www.youtube.com/watch?v=pxBsFVWQQVw&amp;t=18s", "Go to time")</f>
        <v/>
      </c>
    </row>
    <row r="6076">
      <c r="A6076">
        <f>HYPERLINK("https://www.youtube.com/watch?v=pxBsFVWQQVw", "Video")</f>
        <v/>
      </c>
      <c r="B6076" t="inlineStr">
        <is>
          <t>3:57</t>
        </is>
      </c>
      <c r="C6076" t="inlineStr">
        <is>
          <t>the mood a little bit exactly you're</t>
        </is>
      </c>
      <c r="D6076">
        <f>HYPERLINK("https://www.youtube.com/watch?v=pxBsFVWQQVw&amp;t=237s", "Go to time")</f>
        <v/>
      </c>
    </row>
    <row r="6077">
      <c r="A6077">
        <f>HYPERLINK("https://www.youtube.com/watch?v=pxBsFVWQQVw", "Video")</f>
        <v/>
      </c>
      <c r="B6077" t="inlineStr">
        <is>
          <t>5:20</t>
        </is>
      </c>
      <c r="C6077" t="inlineStr">
        <is>
          <t>a little bit of power oh my God that</t>
        </is>
      </c>
      <c r="D6077">
        <f>HYPERLINK("https://www.youtube.com/watch?v=pxBsFVWQQVw&amp;t=320s", "Go to time")</f>
        <v/>
      </c>
    </row>
    <row r="6078">
      <c r="A6078">
        <f>HYPERLINK("https://www.youtube.com/watch?v=pxBsFVWQQVw", "Video")</f>
        <v/>
      </c>
      <c r="B6078" t="inlineStr">
        <is>
          <t>7:07</t>
        </is>
      </c>
      <c r="C6078" t="inlineStr">
        <is>
          <t>a little bit of good news yeah it always</t>
        </is>
      </c>
      <c r="D6078">
        <f>HYPERLINK("https://www.youtube.com/watch?v=pxBsFVWQQVw&amp;t=427s", "Go to time")</f>
        <v/>
      </c>
    </row>
    <row r="6079">
      <c r="A6079">
        <f>HYPERLINK("https://www.youtube.com/watch?v=pxBsFVWQQVw", "Video")</f>
        <v/>
      </c>
      <c r="B6079" t="inlineStr">
        <is>
          <t>7:23</t>
        </is>
      </c>
      <c r="C6079" t="inlineStr">
        <is>
          <t>California tattoo uh a weed habit and</t>
        </is>
      </c>
      <c r="D6079">
        <f>HYPERLINK("https://www.youtube.com/watch?v=pxBsFVWQQVw&amp;t=443s", "Go to time")</f>
        <v/>
      </c>
    </row>
    <row r="6080">
      <c r="A6080">
        <f>HYPERLINK("https://www.youtube.com/watch?v=pxBsFVWQQVw", "Video")</f>
        <v/>
      </c>
      <c r="B6080" t="inlineStr">
        <is>
          <t>8:10</t>
        </is>
      </c>
      <c r="C6080" t="inlineStr">
        <is>
          <t>bit like rest the bit it's scary I'm not</t>
        </is>
      </c>
      <c r="D6080">
        <f>HYPERLINK("https://www.youtube.com/watch?v=pxBsFVWQQVw&amp;t=490s", "Go to time")</f>
        <v/>
      </c>
    </row>
    <row r="6081">
      <c r="A6081">
        <f>HYPERLINK("https://www.youtube.com/watch?v=pxBsFVWQQVw", "Video")</f>
        <v/>
      </c>
      <c r="B6081" t="inlineStr">
        <is>
          <t>11:26</t>
        </is>
      </c>
      <c r="C6081" t="inlineStr">
        <is>
          <t>is just a little bit slightly better I</t>
        </is>
      </c>
      <c r="D6081">
        <f>HYPERLINK("https://www.youtube.com/watch?v=pxBsFVWQQVw&amp;t=686s", "Go to time")</f>
        <v/>
      </c>
    </row>
    <row r="6082">
      <c r="A6082">
        <f>HYPERLINK("https://www.youtube.com/watch?v=pxBsFVWQQVw", "Video")</f>
        <v/>
      </c>
      <c r="B6082" t="inlineStr">
        <is>
          <t>19:35</t>
        </is>
      </c>
      <c r="C6082" t="inlineStr">
        <is>
          <t>habit is part of the thing out because</t>
        </is>
      </c>
      <c r="D6082">
        <f>HYPERLINK("https://www.youtube.com/watch?v=pxBsFVWQQVw&amp;t=1175s", "Go to time")</f>
        <v/>
      </c>
    </row>
    <row r="6083">
      <c r="A6083">
        <f>HYPERLINK("https://www.youtube.com/watch?v=pxBsFVWQQVw", "Video")</f>
        <v/>
      </c>
      <c r="B6083" t="inlineStr">
        <is>
          <t>26:34</t>
        </is>
      </c>
      <c r="C6083" t="inlineStr">
        <is>
          <t>a little bit of the get out before get</t>
        </is>
      </c>
      <c r="D6083">
        <f>HYPERLINK("https://www.youtube.com/watch?v=pxBsFVWQQVw&amp;t=1594s", "Go to time")</f>
        <v/>
      </c>
    </row>
    <row r="6084">
      <c r="A6084">
        <f>HYPERLINK("https://www.youtube.com/watch?v=pxBsFVWQQVw", "Video")</f>
        <v/>
      </c>
      <c r="B6084" t="inlineStr">
        <is>
          <t>29:42</t>
        </is>
      </c>
      <c r="C6084" t="inlineStr">
        <is>
          <t>something a little bit better but but</t>
        </is>
      </c>
      <c r="D6084">
        <f>HYPERLINK("https://www.youtube.com/watch?v=pxBsFVWQQVw&amp;t=1782s", "Go to time")</f>
        <v/>
      </c>
    </row>
    <row r="6085">
      <c r="A6085">
        <f>HYPERLINK("https://www.youtube.com/watch?v=pxBsFVWQQVw", "Video")</f>
        <v/>
      </c>
      <c r="B6085" t="inlineStr">
        <is>
          <t>33:14</t>
        </is>
      </c>
      <c r="C6085" t="inlineStr">
        <is>
          <t>synct cut yes let's talk a little bit</t>
        </is>
      </c>
      <c r="D6085">
        <f>HYPERLINK("https://www.youtube.com/watch?v=pxBsFVWQQVw&amp;t=1994s", "Go to time")</f>
        <v/>
      </c>
    </row>
    <row r="6086">
      <c r="A6086">
        <f>HYPERLINK("https://www.youtube.com/watch?v=yEh1nl4wZkg", "Video")</f>
        <v/>
      </c>
      <c r="B6086" t="inlineStr">
        <is>
          <t>1:03</t>
        </is>
      </c>
      <c r="C6086" t="inlineStr">
        <is>
          <t>so what's dark and bitter here other</t>
        </is>
      </c>
      <c r="D6086">
        <f>HYPERLINK("https://www.youtube.com/watch?v=yEh1nl4wZkg&amp;t=63s", "Go to time")</f>
        <v/>
      </c>
    </row>
    <row r="6087">
      <c r="A6087">
        <f>HYPERLINK("https://www.youtube.com/watch?v=yEh1nl4wZkg", "Video")</f>
        <v/>
      </c>
      <c r="B6087" t="inlineStr">
        <is>
          <t>1:18</t>
        </is>
      </c>
      <c r="C6087" t="inlineStr">
        <is>
          <t>you know I'm looking for something a bit</t>
        </is>
      </c>
      <c r="D6087">
        <f>HYPERLINK("https://www.youtube.com/watch?v=yEh1nl4wZkg&amp;t=78s", "Go to time")</f>
        <v/>
      </c>
    </row>
    <row r="6088">
      <c r="A6088">
        <f>HYPERLINK("https://www.youtube.com/watch?v=isiiaY7qRSE", "Video")</f>
        <v/>
      </c>
      <c r="B6088" t="inlineStr">
        <is>
          <t>0:50</t>
        </is>
      </c>
      <c r="C6088" t="inlineStr">
        <is>
          <t>well don't make it a habit or i'll have</t>
        </is>
      </c>
      <c r="D6088">
        <f>HYPERLINK("https://www.youtube.com/watch?v=isiiaY7qRSE&amp;t=50s", "Go to time")</f>
        <v/>
      </c>
    </row>
    <row r="6089">
      <c r="A6089">
        <f>HYPERLINK("https://www.youtube.com/watch?v=63ZA328bi3k", "Video")</f>
        <v/>
      </c>
      <c r="B6089" t="inlineStr">
        <is>
          <t>1:08</t>
        </is>
      </c>
      <c r="C6089" t="inlineStr">
        <is>
          <t>ambition like you're like do you want to</t>
        </is>
      </c>
      <c r="D6089">
        <f>HYPERLINK("https://www.youtube.com/watch?v=63ZA328bi3k&amp;t=68s", "Go to time")</f>
        <v/>
      </c>
    </row>
    <row r="6090">
      <c r="A6090">
        <f>HYPERLINK("https://www.youtube.com/watch?v=63ZA328bi3k", "Video")</f>
        <v/>
      </c>
      <c r="B6090" t="inlineStr">
        <is>
          <t>9:54</t>
        </is>
      </c>
      <c r="C6090" t="inlineStr">
        <is>
          <t>being on the soundtrack get a little bit</t>
        </is>
      </c>
      <c r="D6090">
        <f>HYPERLINK("https://www.youtube.com/watch?v=63ZA328bi3k&amp;t=594s", "Go to time")</f>
        <v/>
      </c>
    </row>
    <row r="6091">
      <c r="A6091">
        <f>HYPERLINK("https://www.youtube.com/watch?v=63ZA328bi3k", "Video")</f>
        <v/>
      </c>
      <c r="B6091" t="inlineStr">
        <is>
          <t>11:21</t>
        </is>
      </c>
      <c r="C6091" t="inlineStr">
        <is>
          <t>little bit of Natural Born Killers</t>
        </is>
      </c>
      <c r="D6091">
        <f>HYPERLINK("https://www.youtube.com/watch?v=63ZA328bi3k&amp;t=681s", "Go to time")</f>
        <v/>
      </c>
    </row>
    <row r="6092">
      <c r="A6092">
        <f>HYPERLINK("https://www.youtube.com/watch?v=63ZA328bi3k", "Video")</f>
        <v/>
      </c>
      <c r="B6092" t="inlineStr">
        <is>
          <t>47:17</t>
        </is>
      </c>
      <c r="C6092" t="inlineStr">
        <is>
          <t>Bites guy yeah I'm gonna make a</t>
        </is>
      </c>
      <c r="D6092">
        <f>HYPERLINK("https://www.youtube.com/watch?v=63ZA328bi3k&amp;t=2837s", "Go to time")</f>
        <v/>
      </c>
    </row>
    <row r="6093">
      <c r="A6093">
        <f>HYPERLINK("https://www.youtube.com/watch?v=cs4MFWAdjwk", "Video")</f>
        <v/>
      </c>
      <c r="B6093" t="inlineStr">
        <is>
          <t>1:20</t>
        </is>
      </c>
      <c r="C6093" t="inlineStr">
        <is>
          <t>to calm down a little bit here oh gee</t>
        </is>
      </c>
      <c r="D6093">
        <f>HYPERLINK("https://www.youtube.com/watch?v=cs4MFWAdjwk&amp;t=80s", "Go to time")</f>
        <v/>
      </c>
    </row>
    <row r="6094">
      <c r="A6094">
        <f>HYPERLINK("https://www.youtube.com/watch?v=EYvn7xDKKtA", "Video")</f>
        <v/>
      </c>
      <c r="B6094" t="inlineStr">
        <is>
          <t>1:51</t>
        </is>
      </c>
      <c r="C6094" t="inlineStr">
        <is>
          <t>I'll need some bite tell morning do you</t>
        </is>
      </c>
      <c r="D6094">
        <f>HYPERLINK("https://www.youtube.com/watch?v=EYvn7xDKKtA&amp;t=111s", "Go to time")</f>
        <v/>
      </c>
    </row>
    <row r="6095">
      <c r="A6095">
        <f>HYPERLINK("https://www.youtube.com/watch?v=BnhpZ0P5iu8", "Video")</f>
        <v/>
      </c>
      <c r="B6095" t="inlineStr">
        <is>
          <t>16:36</t>
        </is>
      </c>
      <c r="C6095" t="inlineStr">
        <is>
          <t>rabbits no no go rob medicine medicine</t>
        </is>
      </c>
      <c r="D6095">
        <f>HYPERLINK("https://www.youtube.com/watch?v=BnhpZ0P5iu8&amp;t=996s", "Go to time")</f>
        <v/>
      </c>
    </row>
    <row r="6096">
      <c r="A6096">
        <f>HYPERLINK("https://www.youtube.com/watch?v=WR4WaUuz8xs", "Video")</f>
        <v/>
      </c>
      <c r="B6096" t="inlineStr">
        <is>
          <t>0:15</t>
        </is>
      </c>
      <c r="C6096" t="inlineStr">
        <is>
          <t>bit that way yeah that's it</t>
        </is>
      </c>
      <c r="D6096">
        <f>HYPERLINK("https://www.youtube.com/watch?v=WR4WaUuz8xs&amp;t=15s", "Go to time")</f>
        <v/>
      </c>
    </row>
    <row r="6097">
      <c r="A6097">
        <f>HYPERLINK("https://www.youtube.com/watch?v=WR4WaUuz8xs", "Video")</f>
        <v/>
      </c>
      <c r="B6097" t="inlineStr">
        <is>
          <t>0:28</t>
        </is>
      </c>
      <c r="C6097" t="inlineStr">
        <is>
          <t>I wasn't expecting you to bite me out</t>
        </is>
      </c>
      <c r="D6097">
        <f>HYPERLINK("https://www.youtube.com/watch?v=WR4WaUuz8xs&amp;t=28s", "Go to time")</f>
        <v/>
      </c>
    </row>
    <row r="6098">
      <c r="A6098">
        <f>HYPERLINK("https://www.youtube.com/watch?v=01GfDtSMG4s", "Video")</f>
        <v/>
      </c>
      <c r="B6098" t="inlineStr">
        <is>
          <t>0:09</t>
        </is>
      </c>
      <c r="C6098" t="inlineStr">
        <is>
          <t>rabbits aren't vicious they're all cute</t>
        </is>
      </c>
      <c r="D6098">
        <f>HYPERLINK("https://www.youtube.com/watch?v=01GfDtSMG4s&amp;t=9s", "Go to time")</f>
        <v/>
      </c>
    </row>
    <row r="6099">
      <c r="A6099">
        <f>HYPERLINK("https://www.youtube.com/watch?v=01GfDtSMG4s", "Video")</f>
        <v/>
      </c>
      <c r="B6099" t="inlineStr">
        <is>
          <t>0:11</t>
        </is>
      </c>
      <c r="C6099" t="inlineStr">
        <is>
          <t>and cuddly so rabid not rabbit oh okay</t>
        </is>
      </c>
      <c r="D6099">
        <f>HYPERLINK("https://www.youtube.com/watch?v=01GfDtSMG4s&amp;t=11s", "Go to time")</f>
        <v/>
      </c>
    </row>
    <row r="6100">
      <c r="A6100">
        <f>HYPERLINK("https://www.youtube.com/watch?v=9zH10MkVHt0", "Video")</f>
        <v/>
      </c>
      <c r="B6100" t="inlineStr">
        <is>
          <t>0:03</t>
        </is>
      </c>
      <c r="C6100" t="inlineStr">
        <is>
          <t>their home planet into habitats they</t>
        </is>
      </c>
      <c r="D6100">
        <f>HYPERLINK("https://www.youtube.com/watch?v=9zH10MkVHt0&amp;t=3s", "Go to time")</f>
        <v/>
      </c>
    </row>
    <row r="6101">
      <c r="A6101">
        <f>HYPERLINK("https://www.youtube.com/watch?v=rsrok5sw2yo", "Video")</f>
        <v/>
      </c>
      <c r="B6101" t="inlineStr">
        <is>
          <t>1:57</t>
        </is>
      </c>
      <c r="C6101" t="inlineStr">
        <is>
          <t>this one Stars Steve Martin as a bit of</t>
        </is>
      </c>
      <c r="D6101">
        <f>HYPERLINK("https://www.youtube.com/watch?v=rsrok5sw2yo&amp;t=117s", "Go to time")</f>
        <v/>
      </c>
    </row>
    <row r="6102">
      <c r="A6102">
        <f>HYPERLINK("https://www.youtube.com/watch?v=rsrok5sw2yo", "Video")</f>
        <v/>
      </c>
      <c r="B6102" t="inlineStr">
        <is>
          <t>14:16</t>
        </is>
      </c>
      <c r="C6102" t="inlineStr">
        <is>
          <t>States it was a bitterly cold day and</t>
        </is>
      </c>
      <c r="D6102">
        <f>HYPERLINK("https://www.youtube.com/watch?v=rsrok5sw2yo&amp;t=856s", "Go to time")</f>
        <v/>
      </c>
    </row>
    <row r="6103">
      <c r="A6103">
        <f>HYPERLINK("https://www.youtube.com/watch?v=0w2kpInvquk", "Video")</f>
        <v/>
      </c>
      <c r="B6103" t="inlineStr">
        <is>
          <t>1:03</t>
        </is>
      </c>
      <c r="C6103" t="inlineStr">
        <is>
          <t>slap him around a little bit for you</t>
        </is>
      </c>
      <c r="D6103">
        <f>HYPERLINK("https://www.youtube.com/watch?v=0w2kpInvquk&amp;t=63s", "Go to time")</f>
        <v/>
      </c>
    </row>
    <row r="6104">
      <c r="A6104">
        <f>HYPERLINK("https://www.youtube.com/watch?v=Hq8G6r3GyGw", "Video")</f>
        <v/>
      </c>
      <c r="B6104" t="inlineStr">
        <is>
          <t>11:48</t>
        </is>
      </c>
      <c r="C6104" t="inlineStr">
        <is>
          <t>ended up biting cage multiple times</t>
        </is>
      </c>
      <c r="D6104">
        <f>HYPERLINK("https://www.youtube.com/watch?v=Hq8G6r3GyGw&amp;t=708s", "Go to time")</f>
        <v/>
      </c>
    </row>
    <row r="6105">
      <c r="A6105">
        <f>HYPERLINK("https://www.youtube.com/watch?v=Hq8G6r3GyGw", "Video")</f>
        <v/>
      </c>
      <c r="B6105" t="inlineStr">
        <is>
          <t>11:52</t>
        </is>
      </c>
      <c r="C6105" t="inlineStr">
        <is>
          <t>bite even feel like</t>
        </is>
      </c>
      <c r="D6105">
        <f>HYPERLINK("https://www.youtube.com/watch?v=Hq8G6r3GyGw&amp;t=712s", "Go to time")</f>
        <v/>
      </c>
    </row>
    <row r="6106">
      <c r="A6106">
        <f>HYPERLINK("https://www.youtube.com/watch?v=Hq8G6r3GyGw", "Video")</f>
        <v/>
      </c>
      <c r="B6106" t="inlineStr">
        <is>
          <t>12:26</t>
        </is>
      </c>
      <c r="C6106" t="inlineStr">
        <is>
          <t>Nicholas Cage movies which is a bit</t>
        </is>
      </c>
      <c r="D6106">
        <f>HYPERLINK("https://www.youtube.com/watch?v=Hq8G6r3GyGw&amp;t=746s", "Go to time")</f>
        <v/>
      </c>
    </row>
    <row r="6107">
      <c r="A6107">
        <f>HYPERLINK("https://www.youtube.com/watch?v=sAThp_11-Ek", "Video")</f>
        <v/>
      </c>
      <c r="B6107" t="inlineStr">
        <is>
          <t>0:24</t>
        </is>
      </c>
      <c r="C6107" t="inlineStr">
        <is>
          <t>you sing a little bit of La Bamba for me</t>
        </is>
      </c>
      <c r="D6107">
        <f>HYPERLINK("https://www.youtube.com/watch?v=sAThp_11-Ek&amp;t=24s", "Go to time")</f>
        <v/>
      </c>
    </row>
    <row r="6108">
      <c r="A6108">
        <f>HYPERLINK("https://www.youtube.com/watch?v=Umoi8O4Lrko", "Video")</f>
        <v/>
      </c>
      <c r="B6108" t="inlineStr">
        <is>
          <t>1:09</t>
        </is>
      </c>
      <c r="C6108" t="inlineStr">
        <is>
          <t>take a bite so moist</t>
        </is>
      </c>
      <c r="D6108">
        <f>HYPERLINK("https://www.youtube.com/watch?v=Umoi8O4Lrko&amp;t=69s", "Go to time")</f>
        <v/>
      </c>
    </row>
    <row r="6109">
      <c r="A6109">
        <f>HYPERLINK("https://www.youtube.com/watch?v=hVmF7m5Lb00", "Video")</f>
        <v/>
      </c>
      <c r="B6109" t="inlineStr">
        <is>
          <t>0:51</t>
        </is>
      </c>
      <c r="C6109" t="inlineStr">
        <is>
          <t>you isn't Bane usually a bit more</t>
        </is>
      </c>
      <c r="D6109">
        <f>HYPERLINK("https://www.youtube.com/watch?v=hVmF7m5Lb00&amp;t=51s", "Go to time")</f>
        <v/>
      </c>
    </row>
    <row r="6110">
      <c r="A6110">
        <f>HYPERLINK("https://www.youtube.com/watch?v=ZiMzF2GIRk4", "Video")</f>
        <v/>
      </c>
      <c r="B6110" t="inlineStr">
        <is>
          <t>1:38</t>
        </is>
      </c>
      <c r="C6110" t="inlineStr">
        <is>
          <t>sorry son the dog was rabbit had to put</t>
        </is>
      </c>
      <c r="D6110">
        <f>HYPERLINK("https://www.youtube.com/watch?v=ZiMzF2GIRk4&amp;t=98s", "Go to time")</f>
        <v/>
      </c>
    </row>
    <row r="6111">
      <c r="A6111">
        <f>HYPERLINK("https://www.youtube.com/watch?v=4au4VATZfK4", "Video")</f>
        <v/>
      </c>
      <c r="B6111" t="inlineStr">
        <is>
          <t>0:06</t>
        </is>
      </c>
      <c r="C6111" t="inlineStr">
        <is>
          <t>doing hang on go Ste in a little bit</t>
        </is>
      </c>
      <c r="D6111">
        <f>HYPERLINK("https://www.youtube.com/watch?v=4au4VATZfK4&amp;t=6s", "Go to time")</f>
        <v/>
      </c>
    </row>
    <row r="6112">
      <c r="A6112">
        <f>HYPERLINK("https://www.youtube.com/watch?v=4au4VATZfK4", "Video")</f>
        <v/>
      </c>
      <c r="B6112" t="inlineStr">
        <is>
          <t>1:05</t>
        </is>
      </c>
      <c r="C6112" t="inlineStr">
        <is>
          <t>started writing bits for it left and</t>
        </is>
      </c>
      <c r="D6112">
        <f>HYPERLINK("https://www.youtube.com/watch?v=4au4VATZfK4&amp;t=65s", "Go to time")</f>
        <v/>
      </c>
    </row>
    <row r="6113">
      <c r="A6113">
        <f>HYPERLINK("https://www.youtube.com/watch?v=RE9FX2YWRJQ", "Video")</f>
        <v/>
      </c>
      <c r="B6113" t="inlineStr">
        <is>
          <t>1:51</t>
        </is>
      </c>
      <c r="C6113" t="inlineStr">
        <is>
          <t>time to teach lenny about the rabbits</t>
        </is>
      </c>
      <c r="D6113">
        <f>HYPERLINK("https://www.youtube.com/watch?v=RE9FX2YWRJQ&amp;t=111s", "Go to time")</f>
        <v/>
      </c>
    </row>
    <row r="6114">
      <c r="A6114">
        <f>HYPERLINK("https://www.youtube.com/watch?v=uvXfY3bgXQA", "Video")</f>
        <v/>
      </c>
      <c r="B6114" t="inlineStr">
        <is>
          <t>4:02</t>
        </is>
      </c>
      <c r="C6114" t="inlineStr">
        <is>
          <t>what was that and and it's a bit so</t>
        </is>
      </c>
      <c r="D6114">
        <f>HYPERLINK("https://www.youtube.com/watch?v=uvXfY3bgXQA&amp;t=242s", "Go to time")</f>
        <v/>
      </c>
    </row>
    <row r="6115">
      <c r="A6115">
        <f>HYPERLINK("https://www.youtube.com/watch?v=uvXfY3bgXQA", "Video")</f>
        <v/>
      </c>
      <c r="B6115" t="inlineStr">
        <is>
          <t>7:14</t>
        </is>
      </c>
      <c r="C6115" t="inlineStr">
        <is>
          <t>looks a little bit less cool as they're</t>
        </is>
      </c>
      <c r="D6115">
        <f>HYPERLINK("https://www.youtube.com/watch?v=uvXfY3bgXQA&amp;t=434s", "Go to time")</f>
        <v/>
      </c>
    </row>
    <row r="6116">
      <c r="A6116">
        <f>HYPERLINK("https://www.youtube.com/watch?v=uvXfY3bgXQA", "Video")</f>
        <v/>
      </c>
      <c r="B6116" t="inlineStr">
        <is>
          <t>11:11</t>
        </is>
      </c>
      <c r="C6116" t="inlineStr">
        <is>
          <t>bit it wasn't it it peaked in like 82 to</t>
        </is>
      </c>
      <c r="D6116">
        <f>HYPERLINK("https://www.youtube.com/watch?v=uvXfY3bgXQA&amp;t=671s", "Go to time")</f>
        <v/>
      </c>
    </row>
    <row r="6117">
      <c r="A6117">
        <f>HYPERLINK("https://www.youtube.com/watch?v=uvXfY3bgXQA", "Video")</f>
        <v/>
      </c>
      <c r="B6117" t="inlineStr">
        <is>
          <t>22:38</t>
        </is>
      </c>
      <c r="C6117" t="inlineStr">
        <is>
          <t>I literally was like the ambition</t>
        </is>
      </c>
      <c r="D6117">
        <f>HYPERLINK("https://www.youtube.com/watch?v=uvXfY3bgXQA&amp;t=1358s", "Go to time")</f>
        <v/>
      </c>
    </row>
    <row r="6118">
      <c r="A6118">
        <f>HYPERLINK("https://www.youtube.com/watch?v=uvXfY3bgXQA", "Video")</f>
        <v/>
      </c>
      <c r="B6118" t="inlineStr">
        <is>
          <t>28:10</t>
        </is>
      </c>
      <c r="C6118" t="inlineStr">
        <is>
          <t>little bit on the lore itself I mean not</t>
        </is>
      </c>
      <c r="D6118">
        <f>HYPERLINK("https://www.youtube.com/watch?v=uvXfY3bgXQA&amp;t=1690s", "Go to time")</f>
        <v/>
      </c>
    </row>
    <row r="6119">
      <c r="A6119">
        <f>HYPERLINK("https://www.youtube.com/watch?v=uvXfY3bgXQA", "Video")</f>
        <v/>
      </c>
      <c r="B6119" t="inlineStr">
        <is>
          <t>33:54</t>
        </is>
      </c>
      <c r="C6119" t="inlineStr">
        <is>
          <t>bit of investment from there I guess if</t>
        </is>
      </c>
      <c r="D6119">
        <f>HYPERLINK("https://www.youtube.com/watch?v=uvXfY3bgXQA&amp;t=2034s", "Go to time")</f>
        <v/>
      </c>
    </row>
    <row r="6120">
      <c r="A6120">
        <f>HYPERLINK("https://www.youtube.com/watch?v=uvXfY3bgXQA", "Video")</f>
        <v/>
      </c>
      <c r="B6120" t="inlineStr">
        <is>
          <t>34:43</t>
        </is>
      </c>
      <c r="C6120" t="inlineStr">
        <is>
          <t>show me Beast Man biting someone's face</t>
        </is>
      </c>
      <c r="D6120">
        <f>HYPERLINK("https://www.youtube.com/watch?v=uvXfY3bgXQA&amp;t=2083s", "Go to time")</f>
        <v/>
      </c>
    </row>
    <row r="6121">
      <c r="A6121">
        <f>HYPERLINK("https://www.youtube.com/watch?v=uvXfY3bgXQA", "Video")</f>
        <v/>
      </c>
      <c r="B6121" t="inlineStr">
        <is>
          <t>43:36</t>
        </is>
      </c>
      <c r="C6121" t="inlineStr">
        <is>
          <t>um who we worked on it for a bit</t>
        </is>
      </c>
      <c r="D6121">
        <f>HYPERLINK("https://www.youtube.com/watch?v=uvXfY3bgXQA&amp;t=2616s", "Go to time")</f>
        <v/>
      </c>
    </row>
    <row r="6122">
      <c r="A6122">
        <f>HYPERLINK("https://www.youtube.com/watch?v=dwVJmlA6DTc", "Video")</f>
        <v/>
      </c>
      <c r="B6122" t="inlineStr">
        <is>
          <t>2:18</t>
        </is>
      </c>
      <c r="C6122" t="inlineStr">
        <is>
          <t>bitly and i'll work our way from south</t>
        </is>
      </c>
      <c r="D6122">
        <f>HYPERLINK("https://www.youtube.com/watch?v=dwVJmlA6DTc&amp;t=138s", "Go to time")</f>
        <v/>
      </c>
    </row>
    <row r="6123">
      <c r="A6123">
        <f>HYPERLINK("https://www.youtube.com/watch?v=XL6HMWkljm8", "Video")</f>
        <v/>
      </c>
      <c r="B6123" t="inlineStr">
        <is>
          <t>0:56</t>
        </is>
      </c>
      <c r="C6123" t="inlineStr">
        <is>
          <t>rabbit</t>
        </is>
      </c>
      <c r="D6123">
        <f>HYPERLINK("https://www.youtube.com/watch?v=XL6HMWkljm8&amp;t=56s", "Go to time")</f>
        <v/>
      </c>
    </row>
    <row r="6124">
      <c r="A6124">
        <f>HYPERLINK("https://www.youtube.com/watch?v=XL6HMWkljm8", "Video")</f>
        <v/>
      </c>
      <c r="B6124" t="inlineStr">
        <is>
          <t>1:02</t>
        </is>
      </c>
      <c r="C6124" t="inlineStr">
        <is>
          <t>did you rabbit have an a just rabbit</t>
        </is>
      </c>
      <c r="D6124">
        <f>HYPERLINK("https://www.youtube.com/watch?v=XL6HMWkljm8&amp;t=62s", "Go to time")</f>
        <v/>
      </c>
    </row>
    <row r="6125">
      <c r="A6125">
        <f>HYPERLINK("https://www.youtube.com/watch?v=XL6HMWkljm8", "Video")</f>
        <v/>
      </c>
      <c r="B6125" t="inlineStr">
        <is>
          <t>1:08</t>
        </is>
      </c>
      <c r="C6125" t="inlineStr">
        <is>
          <t>it was old rabbit</t>
        </is>
      </c>
      <c r="D6125">
        <f>HYPERLINK("https://www.youtube.com/watch?v=XL6HMWkljm8&amp;t=68s", "Go to time")</f>
        <v/>
      </c>
    </row>
    <row r="6126">
      <c r="A6126">
        <f>HYPERLINK("https://www.youtube.com/watch?v=XL6HMWkljm8", "Video")</f>
        <v/>
      </c>
      <c r="B6126" t="inlineStr">
        <is>
          <t>1:15</t>
        </is>
      </c>
      <c r="C6126" t="inlineStr">
        <is>
          <t>and who gave you old rabbit my mom she</t>
        </is>
      </c>
      <c r="D6126">
        <f>HYPERLINK("https://www.youtube.com/watch?v=XL6HMWkljm8&amp;t=75s", "Go to time")</f>
        <v/>
      </c>
    </row>
    <row r="6127">
      <c r="A6127">
        <f>HYPERLINK("https://www.youtube.com/watch?v=XL6HMWkljm8", "Video")</f>
        <v/>
      </c>
      <c r="B6127" t="inlineStr">
        <is>
          <t>3:02</t>
        </is>
      </c>
      <c r="C6127" t="inlineStr">
        <is>
          <t>I'd like to meet old rabbit</t>
        </is>
      </c>
      <c r="D6127">
        <f>HYPERLINK("https://www.youtube.com/watch?v=XL6HMWkljm8&amp;t=182s", "Go to time")</f>
        <v/>
      </c>
    </row>
    <row r="6128">
      <c r="A6128">
        <f>HYPERLINK("https://www.youtube.com/watch?v=XL6HMWkljm8", "Video")</f>
        <v/>
      </c>
      <c r="B6128" t="inlineStr">
        <is>
          <t>3:10</t>
        </is>
      </c>
      <c r="C6128" t="inlineStr">
        <is>
          <t>I don't want to talk about old rabbit</t>
        </is>
      </c>
      <c r="D6128">
        <f>HYPERLINK("https://www.youtube.com/watch?v=XL6HMWkljm8&amp;t=190s", "Go to time")</f>
        <v/>
      </c>
    </row>
    <row r="6129">
      <c r="A6129">
        <f>HYPERLINK("https://www.youtube.com/watch?v=rWZPmUnh1vw", "Video")</f>
        <v/>
      </c>
      <c r="B6129" t="inlineStr">
        <is>
          <t>1:30</t>
        </is>
      </c>
      <c r="C6129" t="inlineStr">
        <is>
          <t>that shows you a bit of attention is</t>
        </is>
      </c>
      <c r="D6129">
        <f>HYPERLINK("https://www.youtube.com/watch?v=rWZPmUnh1vw&amp;t=90s", "Go to time")</f>
        <v/>
      </c>
    </row>
    <row r="6130">
      <c r="A6130">
        <f>HYPERLINK("https://www.youtube.com/watch?v=oRJ-omhr2Bw", "Video")</f>
        <v/>
      </c>
      <c r="B6130" t="inlineStr">
        <is>
          <t>1:08</t>
        </is>
      </c>
      <c r="C6130" t="inlineStr">
        <is>
          <t>on some Dirty Bit disciples looking for</t>
        </is>
      </c>
      <c r="D6130">
        <f>HYPERLINK("https://www.youtube.com/watch?v=oRJ-omhr2Bw&amp;t=68s", "Go to time")</f>
        <v/>
      </c>
    </row>
    <row r="6131">
      <c r="A6131">
        <f>HYPERLINK("https://www.youtube.com/watch?v=J_C_zO9UI84", "Video")</f>
        <v/>
      </c>
      <c r="B6131" t="inlineStr">
        <is>
          <t>9:50</t>
        </is>
      </c>
      <c r="C6131" t="inlineStr">
        <is>
          <t>bit tender these days that's</t>
        </is>
      </c>
      <c r="D6131">
        <f>HYPERLINK("https://www.youtube.com/watch?v=J_C_zO9UI84&amp;t=590s", "Go to time")</f>
        <v/>
      </c>
    </row>
    <row r="6132">
      <c r="A6132">
        <f>HYPERLINK("https://www.youtube.com/watch?v=b0D0XJEpATQ", "Video")</f>
        <v/>
      </c>
      <c r="B6132" t="inlineStr">
        <is>
          <t>1:43</t>
        </is>
      </c>
      <c r="C6132" t="inlineStr">
        <is>
          <t>if she were a wee bit more stupid like</t>
        </is>
      </c>
      <c r="D6132">
        <f>HYPERLINK("https://www.youtube.com/watch?v=b0D0XJEpATQ&amp;t=103s", "Go to time")</f>
        <v/>
      </c>
    </row>
    <row r="6133">
      <c r="A6133">
        <f>HYPERLINK("https://www.youtube.com/watch?v=Y0K_B1cy9N0", "Video")</f>
        <v/>
      </c>
      <c r="B6133" t="inlineStr">
        <is>
          <t>7:09</t>
        </is>
      </c>
      <c r="C6133" t="inlineStr">
        <is>
          <t>to she's a little bit nervous uh maybe I</t>
        </is>
      </c>
      <c r="D6133">
        <f>HYPERLINK("https://www.youtube.com/watch?v=Y0K_B1cy9N0&amp;t=429s", "Go to time")</f>
        <v/>
      </c>
    </row>
    <row r="6134">
      <c r="A6134">
        <f>HYPERLINK("https://www.youtube.com/watch?v=rv-bb9iKZY0", "Video")</f>
        <v/>
      </c>
      <c r="B6134" t="inlineStr">
        <is>
          <t>20:59</t>
        </is>
      </c>
      <c r="C6134" t="inlineStr">
        <is>
          <t>uh Mrs Nesbitt uh Mr Nesbitt I have a</t>
        </is>
      </c>
      <c r="D6134">
        <f>HYPERLINK("https://www.youtube.com/watch?v=rv-bb9iKZY0&amp;t=1259s", "Go to time")</f>
        <v/>
      </c>
    </row>
    <row r="6135">
      <c r="A6135">
        <f>HYPERLINK("https://www.youtube.com/watch?v=pYQLesrKif8", "Video")</f>
        <v/>
      </c>
      <c r="B6135" t="inlineStr">
        <is>
          <t>9:39</t>
        </is>
      </c>
      <c r="C6135" t="inlineStr">
        <is>
          <t>gargantuan ambitions</t>
        </is>
      </c>
      <c r="D6135">
        <f>HYPERLINK("https://www.youtube.com/watch?v=pYQLesrKif8&amp;t=579s", "Go to time")</f>
        <v/>
      </c>
    </row>
    <row r="6136">
      <c r="A6136">
        <f>HYPERLINK("https://www.youtube.com/watch?v=pYQLesrKif8", "Video")</f>
        <v/>
      </c>
      <c r="B6136" t="inlineStr">
        <is>
          <t>13:29</t>
        </is>
      </c>
      <c r="C6136" t="inlineStr">
        <is>
          <t>energy and ambition course through the</t>
        </is>
      </c>
      <c r="D6136">
        <f>HYPERLINK("https://www.youtube.com/watch?v=pYQLesrKif8&amp;t=809s", "Go to time")</f>
        <v/>
      </c>
    </row>
    <row r="6137">
      <c r="A6137">
        <f>HYPERLINK("https://www.youtube.com/watch?v=pYQLesrKif8", "Video")</f>
        <v/>
      </c>
      <c r="B6137" t="inlineStr">
        <is>
          <t>17:07</t>
        </is>
      </c>
      <c r="C6137" t="inlineStr">
        <is>
          <t>ambitious cornet player Levy who has an</t>
        </is>
      </c>
      <c r="D6137">
        <f>HYPERLINK("https://www.youtube.com/watch?v=pYQLesrKif8&amp;t=1027s", "Go to time")</f>
        <v/>
      </c>
    </row>
    <row r="6138">
      <c r="A6138">
        <f>HYPERLINK("https://www.youtube.com/watch?v=J06nPBIbmf4", "Video")</f>
        <v/>
      </c>
      <c r="B6138" t="inlineStr">
        <is>
          <t>0:49</t>
        </is>
      </c>
      <c r="C6138" t="inlineStr">
        <is>
          <t>bit startling it's sometimes difficult</t>
        </is>
      </c>
      <c r="D6138">
        <f>HYPERLINK("https://www.youtube.com/watch?v=J06nPBIbmf4&amp;t=49s", "Go to time")</f>
        <v/>
      </c>
    </row>
    <row r="6139">
      <c r="A6139">
        <f>HYPERLINK("https://www.youtube.com/watch?v=0r6-MxZRvaA", "Video")</f>
        <v/>
      </c>
      <c r="B6139" t="inlineStr">
        <is>
          <t>0:42</t>
        </is>
      </c>
      <c r="C6139" t="inlineStr">
        <is>
          <t>Brian I was bitten by her man and for</t>
        </is>
      </c>
      <c r="D6139">
        <f>HYPERLINK("https://www.youtube.com/watch?v=0r6-MxZRvaA&amp;t=42s", "Go to time")</f>
        <v/>
      </c>
    </row>
    <row r="6140">
      <c r="A6140">
        <f>HYPERLINK("https://www.youtube.com/watch?v=gYHQUzkbnnI", "Video")</f>
        <v/>
      </c>
      <c r="B6140" t="inlineStr">
        <is>
          <t>0:20</t>
        </is>
      </c>
      <c r="C6140" t="inlineStr">
        <is>
          <t>people over and things got a little bit</t>
        </is>
      </c>
      <c r="D6140">
        <f>HYPERLINK("https://www.youtube.com/watch?v=gYHQUzkbnnI&amp;t=20s", "Go to time")</f>
        <v/>
      </c>
    </row>
    <row r="6141">
      <c r="A6141">
        <f>HYPERLINK("https://www.youtube.com/watch?v=i03qS6zeXRE", "Video")</f>
        <v/>
      </c>
      <c r="B6141" t="inlineStr">
        <is>
          <t>0:00</t>
        </is>
      </c>
      <c r="C6141" t="inlineStr">
        <is>
          <t>Loretta Devine well a bit of a clash</t>
        </is>
      </c>
      <c r="D6141">
        <f>HYPERLINK("https://www.youtube.com/watch?v=i03qS6zeXRE&amp;t=0s", "Go to time")</f>
        <v/>
      </c>
    </row>
    <row r="6142">
      <c r="A6142">
        <f>HYPERLINK("https://www.youtube.com/watch?v=TS40sMuK-MQ", "Video")</f>
        <v/>
      </c>
      <c r="B6142" t="inlineStr">
        <is>
          <t>0:12</t>
        </is>
      </c>
      <c r="C6142" t="inlineStr">
        <is>
          <t>where they're going to layer it a bit</t>
        </is>
      </c>
      <c r="D6142">
        <f>HYPERLINK("https://www.youtube.com/watch?v=TS40sMuK-MQ&amp;t=12s", "Go to time")</f>
        <v/>
      </c>
    </row>
    <row r="6143">
      <c r="A6143">
        <f>HYPERLINK("https://www.youtube.com/watch?v=TS40sMuK-MQ", "Video")</f>
        <v/>
      </c>
      <c r="B6143" t="inlineStr">
        <is>
          <t>5:02</t>
        </is>
      </c>
      <c r="C6143" t="inlineStr">
        <is>
          <t>bit of a hot</t>
        </is>
      </c>
      <c r="D6143">
        <f>HYPERLINK("https://www.youtube.com/watch?v=TS40sMuK-MQ&amp;t=302s", "Go to time")</f>
        <v/>
      </c>
    </row>
    <row r="6144">
      <c r="A6144">
        <f>HYPERLINK("https://www.youtube.com/watch?v=TS40sMuK-MQ", "Video")</f>
        <v/>
      </c>
      <c r="B6144" t="inlineStr">
        <is>
          <t>5:15</t>
        </is>
      </c>
      <c r="C6144" t="inlineStr">
        <is>
          <t>but a bit of a hot mess in search of</t>
        </is>
      </c>
      <c r="D6144">
        <f>HYPERLINK("https://www.youtube.com/watch?v=TS40sMuK-MQ&amp;t=315s", "Go to time")</f>
        <v/>
      </c>
    </row>
    <row r="6145">
      <c r="A6145">
        <f>HYPERLINK("https://www.youtube.com/watch?v=TS40sMuK-MQ", "Video")</f>
        <v/>
      </c>
      <c r="B6145" t="inlineStr">
        <is>
          <t>11:06</t>
        </is>
      </c>
      <c r="C6145" t="inlineStr">
        <is>
          <t>Pier have like a little bit more of a</t>
        </is>
      </c>
      <c r="D6145">
        <f>HYPERLINK("https://www.youtube.com/watch?v=TS40sMuK-MQ&amp;t=666s", "Go to time")</f>
        <v/>
      </c>
    </row>
    <row r="6146">
      <c r="A6146">
        <f>HYPERLINK("https://www.youtube.com/watch?v=TS40sMuK-MQ", "Video")</f>
        <v/>
      </c>
      <c r="B6146" t="inlineStr">
        <is>
          <t>14:15</t>
        </is>
      </c>
      <c r="C6146" t="inlineStr">
        <is>
          <t>little bit cuz I was like they got</t>
        </is>
      </c>
      <c r="D6146">
        <f>HYPERLINK("https://www.youtube.com/watch?v=TS40sMuK-MQ&amp;t=855s", "Go to time")</f>
        <v/>
      </c>
    </row>
    <row r="6147">
      <c r="A6147">
        <f>HYPERLINK("https://www.youtube.com/watch?v=TS40sMuK-MQ", "Video")</f>
        <v/>
      </c>
      <c r="B6147" t="inlineStr">
        <is>
          <t>14:41</t>
        </is>
      </c>
      <c r="C6147" t="inlineStr">
        <is>
          <t>right so then you go down the rabbit</t>
        </is>
      </c>
      <c r="D6147">
        <f>HYPERLINK("https://www.youtube.com/watch?v=TS40sMuK-MQ&amp;t=881s", "Go to time")</f>
        <v/>
      </c>
    </row>
    <row r="6148">
      <c r="A6148">
        <f>HYPERLINK("https://www.youtube.com/watch?v=TS40sMuK-MQ", "Video")</f>
        <v/>
      </c>
      <c r="B6148" t="inlineStr">
        <is>
          <t>16:37</t>
        </is>
      </c>
      <c r="C6148" t="inlineStr">
        <is>
          <t>going to layer it a bit really look</t>
        </is>
      </c>
      <c r="D6148">
        <f>HYPERLINK("https://www.youtube.com/watch?v=TS40sMuK-MQ&amp;t=997s", "Go to time")</f>
        <v/>
      </c>
    </row>
    <row r="6149">
      <c r="A6149">
        <f>HYPERLINK("https://www.youtube.com/watch?v=TS40sMuK-MQ", "Video")</f>
        <v/>
      </c>
      <c r="B6149" t="inlineStr">
        <is>
          <t>18:18</t>
        </is>
      </c>
      <c r="C6149" t="inlineStr">
        <is>
          <t>got to come back a little bit later um</t>
        </is>
      </c>
      <c r="D6149">
        <f>HYPERLINK("https://www.youtube.com/watch?v=TS40sMuK-MQ&amp;t=1098s", "Go to time")</f>
        <v/>
      </c>
    </row>
    <row r="6150">
      <c r="A6150">
        <f>HYPERLINK("https://www.youtube.com/watch?v=RhtMNr6yTkk", "Video")</f>
        <v/>
      </c>
      <c r="B6150" t="inlineStr">
        <is>
          <t>0:30</t>
        </is>
      </c>
      <c r="C6150" t="inlineStr">
        <is>
          <t>taste bitter it's a defense mechanism</t>
        </is>
      </c>
      <c r="D6150">
        <f>HYPERLINK("https://www.youtube.com/watch?v=RhtMNr6yTkk&amp;t=30s", "Go to time")</f>
        <v/>
      </c>
    </row>
    <row r="6151">
      <c r="A6151">
        <f>HYPERLINK("https://www.youtube.com/watch?v=RhtMNr6yTkk", "Video")</f>
        <v/>
      </c>
      <c r="B6151" t="inlineStr">
        <is>
          <t>0:57</t>
        </is>
      </c>
      <c r="C6151" t="inlineStr">
        <is>
          <t>yep today's bad definitely bitter I got</t>
        </is>
      </c>
      <c r="D6151">
        <f>HYPERLINK("https://www.youtube.com/watch?v=RhtMNr6yTkk&amp;t=57s", "Go to time")</f>
        <v/>
      </c>
    </row>
    <row r="6152">
      <c r="A6152">
        <f>HYPERLINK("https://www.youtube.com/watch?v=AsMm7DE-oms", "Video")</f>
        <v/>
      </c>
      <c r="B6152" t="inlineStr">
        <is>
          <t>0:49</t>
        </is>
      </c>
      <c r="C6152" t="inlineStr">
        <is>
          <t>this wedding deserves a little bit more</t>
        </is>
      </c>
      <c r="D6152">
        <f>HYPERLINK("https://www.youtube.com/watch?v=AsMm7DE-oms&amp;t=49s", "Go to time")</f>
        <v/>
      </c>
    </row>
    <row r="6153">
      <c r="A6153">
        <f>HYPERLINK("https://www.youtube.com/watch?v=hpufhGrb7uM", "Video")</f>
        <v/>
      </c>
      <c r="B6153" t="inlineStr">
        <is>
          <t>1:18</t>
        </is>
      </c>
      <c r="C6153" t="inlineStr">
        <is>
          <t>bit.</t>
        </is>
      </c>
      <c r="D6153">
        <f>HYPERLINK("https://www.youtube.com/watch?v=hpufhGrb7uM&amp;t=78s", "Go to time")</f>
        <v/>
      </c>
    </row>
    <row r="6154">
      <c r="A6154">
        <f>HYPERLINK("https://www.youtube.com/watch?v=_uofQRV1-2s", "Video")</f>
        <v/>
      </c>
      <c r="B6154" t="inlineStr">
        <is>
          <t>1:14</t>
        </is>
      </c>
      <c r="C6154" t="inlineStr">
        <is>
          <t>doag bucket I got big dog habits see I'm</t>
        </is>
      </c>
      <c r="D6154">
        <f>HYPERLINK("https://www.youtube.com/watch?v=_uofQRV1-2s&amp;t=74s", "Go to time")</f>
        <v/>
      </c>
    </row>
    <row r="6155">
      <c r="A6155">
        <f>HYPERLINK("https://www.youtube.com/watch?v=_uofQRV1-2s", "Video")</f>
        <v/>
      </c>
      <c r="B6155" t="inlineStr">
        <is>
          <t>3:16</t>
        </is>
      </c>
      <c r="C6155" t="inlineStr">
        <is>
          <t>to be off leash for a bit right yeah</t>
        </is>
      </c>
      <c r="D6155">
        <f>HYPERLINK("https://www.youtube.com/watch?v=_uofQRV1-2s&amp;t=196s", "Go to time")</f>
        <v/>
      </c>
    </row>
    <row r="6156">
      <c r="A6156">
        <f>HYPERLINK("https://www.youtube.com/watch?v=F4ciZtuuKI0", "Video")</f>
        <v/>
      </c>
      <c r="B6156" t="inlineStr">
        <is>
          <t>6:39</t>
        </is>
      </c>
      <c r="C6156" t="inlineStr">
        <is>
          <t>little bit more which we'll talk about</t>
        </is>
      </c>
      <c r="D6156">
        <f>HYPERLINK("https://www.youtube.com/watch?v=F4ciZtuuKI0&amp;t=399s", "Go to time")</f>
        <v/>
      </c>
    </row>
    <row r="6157">
      <c r="A6157">
        <f>HYPERLINK("https://www.youtube.com/watch?v=F4ciZtuuKI0", "Video")</f>
        <v/>
      </c>
      <c r="B6157" t="inlineStr">
        <is>
          <t>10:08</t>
        </is>
      </c>
      <c r="C6157" t="inlineStr">
        <is>
          <t>ambitious but lofty Ambitions do not</t>
        </is>
      </c>
      <c r="D6157">
        <f>HYPERLINK("https://www.youtube.com/watch?v=F4ciZtuuKI0&amp;t=608s", "Go to time")</f>
        <v/>
      </c>
    </row>
    <row r="6158">
      <c r="A6158">
        <f>HYPERLINK("https://www.youtube.com/watch?v=F4ciZtuuKI0", "Video")</f>
        <v/>
      </c>
      <c r="B6158" t="inlineStr">
        <is>
          <t>10:54</t>
        </is>
      </c>
      <c r="C6158" t="inlineStr">
        <is>
          <t>ambition and Dopey sincerity is always</t>
        </is>
      </c>
      <c r="D6158">
        <f>HYPERLINK("https://www.youtube.com/watch?v=F4ciZtuuKI0&amp;t=654s", "Go to time")</f>
        <v/>
      </c>
    </row>
    <row r="6159">
      <c r="A6159">
        <f>HYPERLINK("https://www.youtube.com/watch?v=F4ciZtuuKI0", "Video")</f>
        <v/>
      </c>
      <c r="B6159" t="inlineStr">
        <is>
          <t>19:22</t>
        </is>
      </c>
      <c r="C6159" t="inlineStr">
        <is>
          <t>castle and I'm just bitching about how</t>
        </is>
      </c>
      <c r="D6159">
        <f>HYPERLINK("https://www.youtube.com/watch?v=F4ciZtuuKI0&amp;t=1162s", "Go to time")</f>
        <v/>
      </c>
    </row>
    <row r="6160">
      <c r="A6160">
        <f>HYPERLINK("https://www.youtube.com/watch?v=F4ciZtuuKI0", "Video")</f>
        <v/>
      </c>
      <c r="B6160" t="inlineStr">
        <is>
          <t>30:29</t>
        </is>
      </c>
      <c r="C6160" t="inlineStr">
        <is>
          <t>wanted to get that whole bit over and</t>
        </is>
      </c>
      <c r="D6160">
        <f>HYPERLINK("https://www.youtube.com/watch?v=F4ciZtuuKI0&amp;t=1829s", "Go to time")</f>
        <v/>
      </c>
    </row>
    <row r="6161">
      <c r="A6161">
        <f>HYPERLINK("https://www.youtube.com/watch?v=F4ciZtuuKI0", "Video")</f>
        <v/>
      </c>
      <c r="B6161" t="inlineStr">
        <is>
          <t>32:39</t>
        </is>
      </c>
      <c r="C6161" t="inlineStr">
        <is>
          <t>to be a little bit in the clouds um I</t>
        </is>
      </c>
      <c r="D6161">
        <f>HYPERLINK("https://www.youtube.com/watch?v=F4ciZtuuKI0&amp;t=1959s", "Go to time")</f>
        <v/>
      </c>
    </row>
    <row r="6162">
      <c r="A6162">
        <f>HYPERLINK("https://www.youtube.com/watch?v=F4ciZtuuKI0", "Video")</f>
        <v/>
      </c>
      <c r="B6162" t="inlineStr">
        <is>
          <t>33:44</t>
        </is>
      </c>
      <c r="C6162" t="inlineStr">
        <is>
          <t>know brought a bit more depth she just</t>
        </is>
      </c>
      <c r="D6162">
        <f>HYPERLINK("https://www.youtube.com/watch?v=F4ciZtuuKI0&amp;t=2024s", "Go to time")</f>
        <v/>
      </c>
    </row>
    <row r="6163">
      <c r="A6163">
        <f>HYPERLINK("https://www.youtube.com/watch?v=F4ciZtuuKI0", "Video")</f>
        <v/>
      </c>
      <c r="B6163" t="inlineStr">
        <is>
          <t>33:46</t>
        </is>
      </c>
      <c r="C6163" t="inlineStr">
        <is>
          <t>seems a bit cardboard chanon Tatum's</t>
        </is>
      </c>
      <c r="D6163">
        <f>HYPERLINK("https://www.youtube.com/watch?v=F4ciZtuuKI0&amp;t=2026s", "Go to time")</f>
        <v/>
      </c>
    </row>
    <row r="6164">
      <c r="A6164">
        <f>HYPERLINK("https://www.youtube.com/watch?v=F4ciZtuuKI0", "Video")</f>
        <v/>
      </c>
      <c r="B6164" t="inlineStr">
        <is>
          <t>33:59</t>
        </is>
      </c>
      <c r="C6164" t="inlineStr">
        <is>
          <t>inhibited his ability to speak and so it</t>
        </is>
      </c>
      <c r="D6164">
        <f>HYPERLINK("https://www.youtube.com/watch?v=F4ciZtuuKI0&amp;t=2039s", "Go to time")</f>
        <v/>
      </c>
    </row>
    <row r="6165">
      <c r="A6165">
        <f>HYPERLINK("https://www.youtube.com/watch?v=F4ciZtuuKI0", "Video")</f>
        <v/>
      </c>
      <c r="B6165" t="inlineStr">
        <is>
          <t>34:03</t>
        </is>
      </c>
      <c r="C6165" t="inlineStr">
        <is>
          <t>fun Sho is that bit even worth it</t>
        </is>
      </c>
      <c r="D6165">
        <f>HYPERLINK("https://www.youtube.com/watch?v=F4ciZtuuKI0&amp;t=2043s", "Go to time")</f>
        <v/>
      </c>
    </row>
    <row r="6166">
      <c r="A6166">
        <f>HYPERLINK("https://www.youtube.com/watch?v=F4ciZtuuKI0", "Video")</f>
        <v/>
      </c>
      <c r="B6166" t="inlineStr">
        <is>
          <t>41:11</t>
        </is>
      </c>
      <c r="C6166" t="inlineStr">
        <is>
          <t>and can get a little bit of Buzz maybe</t>
        </is>
      </c>
      <c r="D6166">
        <f>HYPERLINK("https://www.youtube.com/watch?v=F4ciZtuuKI0&amp;t=2471s", "Go to time")</f>
        <v/>
      </c>
    </row>
    <row r="6167">
      <c r="A6167">
        <f>HYPERLINK("https://www.youtube.com/watch?v=F4ciZtuuKI0", "Video")</f>
        <v/>
      </c>
      <c r="B6167" t="inlineStr">
        <is>
          <t>43:57</t>
        </is>
      </c>
      <c r="C6167" t="inlineStr">
        <is>
          <t>ambitious Space Opera that will take you</t>
        </is>
      </c>
      <c r="D6167">
        <f>HYPERLINK("https://www.youtube.com/watch?v=F4ciZtuuKI0&amp;t=2637s", "Go to time")</f>
        <v/>
      </c>
    </row>
    <row r="6168">
      <c r="A6168">
        <f>HYPERLINK("https://www.youtube.com/watch?v=F4ciZtuuKI0", "Video")</f>
        <v/>
      </c>
      <c r="B6168" t="inlineStr">
        <is>
          <t>48:06</t>
        </is>
      </c>
      <c r="C6168" t="inlineStr">
        <is>
          <t>great bit you know Angela Basset G an</t>
        </is>
      </c>
      <c r="D6168">
        <f>HYPERLINK("https://www.youtube.com/watch?v=F4ciZtuuKI0&amp;t=2886s", "Go to time")</f>
        <v/>
      </c>
    </row>
    <row r="6169">
      <c r="A6169">
        <f>HYPERLINK("https://www.youtube.com/watch?v=DZlM8Wm7OKY", "Video")</f>
        <v/>
      </c>
      <c r="B6169" t="inlineStr">
        <is>
          <t>0:43</t>
        </is>
      </c>
      <c r="C6169" t="inlineStr">
        <is>
          <t>a little bit you see we sure report that</t>
        </is>
      </c>
      <c r="D6169">
        <f>HYPERLINK("https://www.youtube.com/watch?v=DZlM8Wm7OKY&amp;t=43s", "Go to time")</f>
        <v/>
      </c>
    </row>
    <row r="6170">
      <c r="A6170">
        <f>HYPERLINK("https://www.youtube.com/watch?v=DZlM8Wm7OKY", "Video")</f>
        <v/>
      </c>
      <c r="B6170" t="inlineStr">
        <is>
          <t>1:21</t>
        </is>
      </c>
      <c r="C6170" t="inlineStr">
        <is>
          <t>want to improve on just a little bit</t>
        </is>
      </c>
      <c r="D6170">
        <f>HYPERLINK("https://www.youtube.com/watch?v=DZlM8Wm7OKY&amp;t=81s", "Go to time")</f>
        <v/>
      </c>
    </row>
    <row r="6171">
      <c r="A6171">
        <f>HYPERLINK("https://www.youtube.com/watch?v=8ZrXfnlkPqQ", "Video")</f>
        <v/>
      </c>
      <c r="B6171" t="inlineStr">
        <is>
          <t>1:10</t>
        </is>
      </c>
      <c r="C6171" t="inlineStr">
        <is>
          <t>looks a bit constricting</t>
        </is>
      </c>
      <c r="D6171">
        <f>HYPERLINK("https://www.youtube.com/watch?v=8ZrXfnlkPqQ&amp;t=70s", "Go to time")</f>
        <v/>
      </c>
    </row>
    <row r="6172">
      <c r="A6172">
        <f>HYPERLINK("https://www.youtube.com/watch?v=kZIVwMJnCOo", "Video")</f>
        <v/>
      </c>
      <c r="B6172" t="inlineStr">
        <is>
          <t>4:18</t>
        </is>
      </c>
      <c r="C6172" t="inlineStr">
        <is>
          <t>florida along with a little bit in</t>
        </is>
      </c>
      <c r="D6172">
        <f>HYPERLINK("https://www.youtube.com/watch?v=kZIVwMJnCOo&amp;t=258s", "Go to time")</f>
        <v/>
      </c>
    </row>
    <row r="6173">
      <c r="A6173">
        <f>HYPERLINK("https://www.youtube.com/watch?v=kZIVwMJnCOo", "Video")</f>
        <v/>
      </c>
      <c r="B6173" t="inlineStr">
        <is>
          <t>9:32</t>
        </is>
      </c>
      <c r="C6173" t="inlineStr">
        <is>
          <t>particular co-stars a little bit more</t>
        </is>
      </c>
      <c r="D6173">
        <f>HYPERLINK("https://www.youtube.com/watch?v=kZIVwMJnCOo&amp;t=572s", "Go to time")</f>
        <v/>
      </c>
    </row>
    <row r="6174">
      <c r="A6174">
        <f>HYPERLINK("https://www.youtube.com/watch?v=kZIVwMJnCOo", "Video")</f>
        <v/>
      </c>
      <c r="B6174" t="inlineStr">
        <is>
          <t>9:35</t>
        </is>
      </c>
      <c r="C6174" t="inlineStr">
        <is>
          <t>admitting to feeling a little bit of</t>
        </is>
      </c>
      <c r="D6174">
        <f>HYPERLINK("https://www.youtube.com/watch?v=kZIVwMJnCOo&amp;t=575s", "Go to time")</f>
        <v/>
      </c>
    </row>
    <row r="6175">
      <c r="A6175">
        <f>HYPERLINK("https://www.youtube.com/watch?v=9R7LBlpl4xk", "Video")</f>
        <v/>
      </c>
      <c r="B6175" t="inlineStr">
        <is>
          <t>1:18</t>
        </is>
      </c>
      <c r="C6175" t="inlineStr">
        <is>
          <t>pleasure of a tournament with bits of</t>
        </is>
      </c>
      <c r="D6175">
        <f>HYPERLINK("https://www.youtube.com/watch?v=9R7LBlpl4xk&amp;t=78s", "Go to time")</f>
        <v/>
      </c>
    </row>
    <row r="6176">
      <c r="A6176">
        <f>HYPERLINK("https://www.youtube.com/watch?v=_lXU3tA-Yys", "Video")</f>
        <v/>
      </c>
      <c r="B6176" t="inlineStr">
        <is>
          <t>19:28</t>
        </is>
      </c>
      <c r="C6176" t="inlineStr">
        <is>
          <t>embarrassment it took ten nail-biting</t>
        </is>
      </c>
      <c r="D6176">
        <f>HYPERLINK("https://www.youtube.com/watch?v=_lXU3tA-Yys&amp;t=1168s", "Go to time")</f>
        <v/>
      </c>
    </row>
    <row r="6177">
      <c r="A6177">
        <f>HYPERLINK("https://www.youtube.com/watch?v=VQPTMZGHEb0", "Video")</f>
        <v/>
      </c>
      <c r="B6177" t="inlineStr">
        <is>
          <t>1:01</t>
        </is>
      </c>
      <c r="C6177" t="inlineStr">
        <is>
          <t>I can do better than you in a four bit</t>
        </is>
      </c>
      <c r="D6177">
        <f>HYPERLINK("https://www.youtube.com/watch?v=VQPTMZGHEb0&amp;t=61s", "Go to time")</f>
        <v/>
      </c>
    </row>
    <row r="6178">
      <c r="A6178">
        <f>HYPERLINK("https://www.youtube.com/watch?v=sBIrCvCzCiQ", "Video")</f>
        <v/>
      </c>
      <c r="B6178" t="inlineStr">
        <is>
          <t>1:03</t>
        </is>
      </c>
      <c r="C6178" t="inlineStr">
        <is>
          <t>I'm going to date myself a little bit</t>
        </is>
      </c>
      <c r="D6178">
        <f>HYPERLINK("https://www.youtube.com/watch?v=sBIrCvCzCiQ&amp;t=63s", "Go to time")</f>
        <v/>
      </c>
    </row>
    <row r="6179">
      <c r="A6179">
        <f>HYPERLINK("https://www.youtube.com/watch?v=sBIrCvCzCiQ", "Video")</f>
        <v/>
      </c>
      <c r="B6179" t="inlineStr">
        <is>
          <t>3:52</t>
        </is>
      </c>
      <c r="C6179" t="inlineStr">
        <is>
          <t>bit of control because your next project</t>
        </is>
      </c>
      <c r="D6179">
        <f>HYPERLINK("https://www.youtube.com/watch?v=sBIrCvCzCiQ&amp;t=232s", "Go to time")</f>
        <v/>
      </c>
    </row>
    <row r="6180">
      <c r="A6180">
        <f>HYPERLINK("https://www.youtube.com/watch?v=sBIrCvCzCiQ", "Video")</f>
        <v/>
      </c>
      <c r="B6180" t="inlineStr">
        <is>
          <t>3:58</t>
        </is>
      </c>
      <c r="C6180" t="inlineStr">
        <is>
          <t>you to talk a little bit about that and</t>
        </is>
      </c>
      <c r="D6180">
        <f>HYPERLINK("https://www.youtube.com/watch?v=sBIrCvCzCiQ&amp;t=238s", "Go to time")</f>
        <v/>
      </c>
    </row>
    <row r="6181">
      <c r="A6181">
        <f>HYPERLINK("https://www.youtube.com/watch?v=HsbyYVufJ6U", "Video")</f>
        <v/>
      </c>
      <c r="B6181" t="inlineStr">
        <is>
          <t>2:43</t>
        </is>
      </c>
      <c r="C6181" t="inlineStr">
        <is>
          <t>ornate masaki kobayashi's ambitious</t>
        </is>
      </c>
      <c r="D6181">
        <f>HYPERLINK("https://www.youtube.com/watch?v=HsbyYVufJ6U&amp;t=163s", "Go to time")</f>
        <v/>
      </c>
    </row>
    <row r="6182">
      <c r="A6182">
        <f>HYPERLINK("https://www.youtube.com/watch?v=1Quc4FFOwBM", "Video")</f>
        <v/>
      </c>
      <c r="B6182" t="inlineStr">
        <is>
          <t>0:49</t>
        </is>
      </c>
      <c r="C6182" t="inlineStr">
        <is>
          <t>it was a bit tight on the shoulder and</t>
        </is>
      </c>
      <c r="D6182">
        <f>HYPERLINK("https://www.youtube.com/watch?v=1Quc4FFOwBM&amp;t=49s", "Go to time")</f>
        <v/>
      </c>
    </row>
    <row r="6183">
      <c r="A6183">
        <f>HYPERLINK("https://www.youtube.com/watch?v=cs-qVBCa24w", "Video")</f>
        <v/>
      </c>
      <c r="B6183" t="inlineStr">
        <is>
          <t>0:26</t>
        </is>
      </c>
      <c r="C6183" t="inlineStr">
        <is>
          <t>can't hurt you their inhibition</t>
        </is>
      </c>
      <c r="D6183">
        <f>HYPERLINK("https://www.youtube.com/watch?v=cs-qVBCa24w&amp;t=26s", "Go to time")</f>
        <v/>
      </c>
    </row>
    <row r="6184">
      <c r="A6184">
        <f>HYPERLINK("https://www.youtube.com/watch?v=tQPOJ5aEdjA", "Video")</f>
        <v/>
      </c>
      <c r="B6184" t="inlineStr">
        <is>
          <t>4:39</t>
        </is>
      </c>
      <c r="C6184" t="inlineStr">
        <is>
          <t>bit delayed but good horror comes to</t>
        </is>
      </c>
      <c r="D6184">
        <f>HYPERLINK("https://www.youtube.com/watch?v=tQPOJ5aEdjA&amp;t=279s", "Go to time")</f>
        <v/>
      </c>
    </row>
    <row r="6185">
      <c r="A6185">
        <f>HYPERLINK("https://www.youtube.com/watch?v=Fk3QQvCbqo0", "Video")</f>
        <v/>
      </c>
      <c r="B6185" t="inlineStr">
        <is>
          <t>2:49</t>
        </is>
      </c>
      <c r="C6185" t="inlineStr">
        <is>
          <t>freaking out a little bit you've got a</t>
        </is>
      </c>
      <c r="D6185">
        <f>HYPERLINK("https://www.youtube.com/watch?v=Fk3QQvCbqo0&amp;t=169s", "Go to time")</f>
        <v/>
      </c>
    </row>
    <row r="6186">
      <c r="A6186">
        <f>HYPERLINK("https://www.youtube.com/watch?v=Eej8yh8O-uU", "Video")</f>
        <v/>
      </c>
      <c r="B6186" t="inlineStr">
        <is>
          <t>2:00</t>
        </is>
      </c>
      <c r="C6186" t="inlineStr">
        <is>
          <t>office and has picked up a bit of a</t>
        </is>
      </c>
      <c r="D6186">
        <f>HYPERLINK("https://www.youtube.com/watch?v=Eej8yh8O-uU&amp;t=120s", "Go to time")</f>
        <v/>
      </c>
    </row>
    <row r="6187">
      <c r="A6187">
        <f>HYPERLINK("https://www.youtube.com/watch?v=yWwED8lnVaw", "Video")</f>
        <v/>
      </c>
      <c r="B6187" t="inlineStr">
        <is>
          <t>0:45</t>
        </is>
      </c>
      <c r="C6187" t="inlineStr">
        <is>
          <t>a little bit why because i'm black</t>
        </is>
      </c>
      <c r="D6187">
        <f>HYPERLINK("https://www.youtube.com/watch?v=yWwED8lnVaw&amp;t=45s", "Go to time")</f>
        <v/>
      </c>
    </row>
    <row r="6188">
      <c r="A6188">
        <f>HYPERLINK("https://www.youtube.com/watch?v=2rOtDC_OAsc", "Video")</f>
        <v/>
      </c>
      <c r="B6188" t="inlineStr">
        <is>
          <t>0:37</t>
        </is>
      </c>
      <c r="C6188" t="inlineStr">
        <is>
          <t>feels like a bit of a time capsule back</t>
        </is>
      </c>
      <c r="D6188">
        <f>HYPERLINK("https://www.youtube.com/watch?v=2rOtDC_OAsc&amp;t=37s", "Go to time")</f>
        <v/>
      </c>
    </row>
    <row r="6189">
      <c r="A6189">
        <f>HYPERLINK("https://www.youtube.com/watch?v=2rOtDC_OAsc", "Video")</f>
        <v/>
      </c>
      <c r="B6189" t="inlineStr">
        <is>
          <t>1:43</t>
        </is>
      </c>
      <c r="C6189" t="inlineStr">
        <is>
          <t>children so talk a little bit about how</t>
        </is>
      </c>
      <c r="D6189">
        <f>HYPERLINK("https://www.youtube.com/watch?v=2rOtDC_OAsc&amp;t=103s", "Go to time")</f>
        <v/>
      </c>
    </row>
    <row r="6190">
      <c r="A6190">
        <f>HYPERLINK("https://www.youtube.com/watch?v=2rOtDC_OAsc", "Video")</f>
        <v/>
      </c>
      <c r="B6190" t="inlineStr">
        <is>
          <t>1:47</t>
        </is>
      </c>
      <c r="C6190" t="inlineStr">
        <is>
          <t>bit yeah when I was reading this script</t>
        </is>
      </c>
      <c r="D6190">
        <f>HYPERLINK("https://www.youtube.com/watch?v=2rOtDC_OAsc&amp;t=107s", "Go to time")</f>
        <v/>
      </c>
    </row>
    <row r="6191">
      <c r="A6191">
        <f>HYPERLINK("https://www.youtube.com/watch?v=FVb3t-8D8Lk", "Video")</f>
        <v/>
      </c>
      <c r="B6191" t="inlineStr">
        <is>
          <t>3:33</t>
        </is>
      </c>
      <c r="C6191" t="inlineStr">
        <is>
          <t>ready for the first bit and then over</t>
        </is>
      </c>
      <c r="D6191">
        <f>HYPERLINK("https://www.youtube.com/watch?v=FVb3t-8D8Lk&amp;t=213s", "Go to time")</f>
        <v/>
      </c>
    </row>
    <row r="6192">
      <c r="A6192">
        <f>HYPERLINK("https://www.youtube.com/watch?v=FVb3t-8D8Lk", "Video")</f>
        <v/>
      </c>
      <c r="B6192" t="inlineStr">
        <is>
          <t>3:47</t>
        </is>
      </c>
      <c r="C6192" t="inlineStr">
        <is>
          <t>like to do something so ambitious</t>
        </is>
      </c>
      <c r="D6192">
        <f>HYPERLINK("https://www.youtube.com/watch?v=FVb3t-8D8Lk&amp;t=227s", "Go to time")</f>
        <v/>
      </c>
    </row>
    <row r="6193">
      <c r="A6193">
        <f>HYPERLINK("https://www.youtube.com/watch?v=oSmSbOvl4UU", "Video")</f>
        <v/>
      </c>
      <c r="B6193" t="inlineStr">
        <is>
          <t>2:05</t>
        </is>
      </c>
      <c r="C6193" t="inlineStr">
        <is>
          <t>are you all right to wait a little bit</t>
        </is>
      </c>
      <c r="D6193">
        <f>HYPERLINK("https://www.youtube.com/watch?v=oSmSbOvl4UU&amp;t=125s", "Go to time")</f>
        <v/>
      </c>
    </row>
    <row r="6194">
      <c r="A6194">
        <f>HYPERLINK("https://www.youtube.com/watch?v=HRTCrjp1ScY", "Video")</f>
        <v/>
      </c>
      <c r="B6194" t="inlineStr">
        <is>
          <t>14:27</t>
        </is>
      </c>
      <c r="C6194" t="inlineStr">
        <is>
          <t>cornfield best ComEd bit in the that</t>
        </is>
      </c>
      <c r="D6194">
        <f>HYPERLINK("https://www.youtube.com/watch?v=HRTCrjp1ScY&amp;t=867s", "Go to time")</f>
        <v/>
      </c>
    </row>
    <row r="6195">
      <c r="A6195">
        <f>HYPERLINK("https://www.youtube.com/watch?v=HRTCrjp1ScY", "Video")</f>
        <v/>
      </c>
      <c r="B6195" t="inlineStr">
        <is>
          <t>19:25</t>
        </is>
      </c>
      <c r="C6195" t="inlineStr">
        <is>
          <t>bite her like come on like this is this</t>
        </is>
      </c>
      <c r="D6195">
        <f>HYPERLINK("https://www.youtube.com/watch?v=HRTCrjp1ScY&amp;t=1165s", "Go to time")</f>
        <v/>
      </c>
    </row>
    <row r="6196">
      <c r="A6196">
        <f>HYPERLINK("https://www.youtube.com/watch?v=HRTCrjp1ScY", "Video")</f>
        <v/>
      </c>
      <c r="B6196" t="inlineStr">
        <is>
          <t>24:29</t>
        </is>
      </c>
      <c r="C6196" t="inlineStr">
        <is>
          <t>just a little bit on the other side</t>
        </is>
      </c>
      <c r="D6196">
        <f>HYPERLINK("https://www.youtube.com/watch?v=HRTCrjp1ScY&amp;t=1469s", "Go to time")</f>
        <v/>
      </c>
    </row>
    <row r="6197">
      <c r="A6197">
        <f>HYPERLINK("https://www.youtube.com/watch?v=HRTCrjp1ScY", "Video")</f>
        <v/>
      </c>
      <c r="B6197" t="inlineStr">
        <is>
          <t>27:07</t>
        </is>
      </c>
      <c r="C6197" t="inlineStr">
        <is>
          <t>fudged it a little bit um and there's a</t>
        </is>
      </c>
      <c r="D6197">
        <f>HYPERLINK("https://www.youtube.com/watch?v=HRTCrjp1ScY&amp;t=1627s", "Go to time")</f>
        <v/>
      </c>
    </row>
    <row r="6198">
      <c r="A6198">
        <f>HYPERLINK("https://www.youtube.com/watch?v=HRTCrjp1ScY", "Video")</f>
        <v/>
      </c>
      <c r="B6198" t="inlineStr">
        <is>
          <t>30:30</t>
        </is>
      </c>
      <c r="C6198" t="inlineStr">
        <is>
          <t>little bit older that was not well</t>
        </is>
      </c>
      <c r="D6198">
        <f>HYPERLINK("https://www.youtube.com/watch?v=HRTCrjp1ScY&amp;t=1830s", "Go to time")</f>
        <v/>
      </c>
    </row>
    <row r="6199">
      <c r="A6199">
        <f>HYPERLINK("https://www.youtube.com/watch?v=HRTCrjp1ScY", "Video")</f>
        <v/>
      </c>
      <c r="B6199" t="inlineStr">
        <is>
          <t>45:59</t>
        </is>
      </c>
      <c r="C6199" t="inlineStr">
        <is>
          <t>bit of like hey guys let's get this</t>
        </is>
      </c>
      <c r="D6199">
        <f>HYPERLINK("https://www.youtube.com/watch?v=HRTCrjp1ScY&amp;t=2759s", "Go to time")</f>
        <v/>
      </c>
    </row>
    <row r="6200">
      <c r="A6200">
        <f>HYPERLINK("https://www.youtube.com/watch?v=HRTCrjp1ScY", "Video")</f>
        <v/>
      </c>
      <c r="B6200" t="inlineStr">
        <is>
          <t>54:35</t>
        </is>
      </c>
      <c r="C6200" t="inlineStr">
        <is>
          <t>laughing a little bit you know jacine</t>
        </is>
      </c>
      <c r="D6200">
        <f>HYPERLINK("https://www.youtube.com/watch?v=HRTCrjp1ScY&amp;t=3275s", "Go to time")</f>
        <v/>
      </c>
    </row>
    <row r="6201">
      <c r="A6201">
        <f>HYPERLINK("https://www.youtube.com/watch?v=HRTCrjp1ScY", "Video")</f>
        <v/>
      </c>
      <c r="B6201" t="inlineStr">
        <is>
          <t>59:56</t>
        </is>
      </c>
      <c r="C6201" t="inlineStr">
        <is>
          <t>63% got a little bit audience score is a</t>
        </is>
      </c>
      <c r="D6201">
        <f>HYPERLINK("https://www.youtube.com/watch?v=HRTCrjp1ScY&amp;t=3596s", "Go to time")</f>
        <v/>
      </c>
    </row>
    <row r="6202">
      <c r="A6202">
        <f>HYPERLINK("https://www.youtube.com/watch?v=HRTCrjp1ScY", "Video")</f>
        <v/>
      </c>
      <c r="B6202" t="inlineStr">
        <is>
          <t>59:59</t>
        </is>
      </c>
      <c r="C6202" t="inlineStr">
        <is>
          <t>little bit but I just just don't dig</t>
        </is>
      </c>
      <c r="D6202">
        <f>HYPERLINK("https://www.youtube.com/watch?v=HRTCrjp1ScY&amp;t=3599s", "Go to time")</f>
        <v/>
      </c>
    </row>
    <row r="6203">
      <c r="A6203">
        <f>HYPERLINK("https://www.youtube.com/watch?v=9wCiCJ7KDs8", "Video")</f>
        <v/>
      </c>
      <c r="B6203" t="inlineStr">
        <is>
          <t>0:09</t>
        </is>
      </c>
      <c r="C6203" t="inlineStr">
        <is>
          <t>a little bit closer to Drago tonight</t>
        </is>
      </c>
      <c r="D6203">
        <f>HYPERLINK("https://www.youtube.com/watch?v=9wCiCJ7KDs8&amp;t=9s", "Go to time")</f>
        <v/>
      </c>
    </row>
    <row r="6204">
      <c r="A6204">
        <f>HYPERLINK("https://www.youtube.com/watch?v=9wCiCJ7KDs8", "Video")</f>
        <v/>
      </c>
      <c r="B6204" t="inlineStr">
        <is>
          <t>1:26</t>
        </is>
      </c>
      <c r="C6204" t="inlineStr">
        <is>
          <t>the first bite</t>
        </is>
      </c>
      <c r="D6204">
        <f>HYPERLINK("https://www.youtube.com/watch?v=9wCiCJ7KDs8&amp;t=86s", "Go to time")</f>
        <v/>
      </c>
    </row>
    <row r="6205">
      <c r="A6205">
        <f>HYPERLINK("https://www.youtube.com/watch?v=wb2G2yEjtQM", "Video")</f>
        <v/>
      </c>
      <c r="B6205" t="inlineStr">
        <is>
          <t>0:53</t>
        </is>
      </c>
      <c r="C6205" t="inlineStr">
        <is>
          <t>bit pale costa all right i need you to</t>
        </is>
      </c>
      <c r="D6205">
        <f>HYPERLINK("https://www.youtube.com/watch?v=wb2G2yEjtQM&amp;t=53s", "Go to time")</f>
        <v/>
      </c>
    </row>
    <row r="6206">
      <c r="A6206">
        <f>HYPERLINK("https://www.youtube.com/watch?v=r0OVKAZf65U", "Video")</f>
        <v/>
      </c>
      <c r="B6206" t="inlineStr">
        <is>
          <t>0:20</t>
        </is>
      </c>
      <c r="C6206" t="inlineStr">
        <is>
          <t>a little bit closer</t>
        </is>
      </c>
      <c r="D6206">
        <f>HYPERLINK("https://www.youtube.com/watch?v=r0OVKAZf65U&amp;t=20s", "Go to time")</f>
        <v/>
      </c>
    </row>
    <row r="6207">
      <c r="A6207">
        <f>HYPERLINK("https://www.youtube.com/watch?v=r0OVKAZf65U", "Video")</f>
        <v/>
      </c>
      <c r="B6207" t="inlineStr">
        <is>
          <t>3:03</t>
        </is>
      </c>
      <c r="C6207" t="inlineStr">
        <is>
          <t>yeah they're a bit eccentric but when</t>
        </is>
      </c>
      <c r="D6207">
        <f>HYPERLINK("https://www.youtube.com/watch?v=r0OVKAZf65U&amp;t=183s", "Go to time")</f>
        <v/>
      </c>
    </row>
    <row r="6208">
      <c r="A6208">
        <f>HYPERLINK("https://www.youtube.com/watch?v=2Q7wnttjQgw", "Video")</f>
        <v/>
      </c>
      <c r="B6208" t="inlineStr">
        <is>
          <t>1:54</t>
        </is>
      </c>
      <c r="C6208" t="inlineStr">
        <is>
          <t>old habits die hard say bye-bye Roxie</t>
        </is>
      </c>
      <c r="D6208">
        <f>HYPERLINK("https://www.youtube.com/watch?v=2Q7wnttjQgw&amp;t=114s", "Go to time")</f>
        <v/>
      </c>
    </row>
    <row r="6209">
      <c r="A6209">
        <f>HYPERLINK("https://www.youtube.com/watch?v=hUFbU2fRf_4", "Video")</f>
        <v/>
      </c>
      <c r="B6209" t="inlineStr">
        <is>
          <t>25:41</t>
        </is>
      </c>
      <c r="C6209" t="inlineStr">
        <is>
          <t>slap perhaps a bit of Lun cuz I'm</t>
        </is>
      </c>
      <c r="D6209">
        <f>HYPERLINK("https://www.youtube.com/watch?v=hUFbU2fRf_4&amp;t=1541s", "Go to time")</f>
        <v/>
      </c>
    </row>
    <row r="6210">
      <c r="A6210">
        <f>HYPERLINK("https://www.youtube.com/watch?v=-8P_pmKKanM", "Video")</f>
        <v/>
      </c>
      <c r="B6210" t="inlineStr">
        <is>
          <t>3:14</t>
        </is>
      </c>
      <c r="C6210" t="inlineStr">
        <is>
          <t>station C to paying a bit</t>
        </is>
      </c>
      <c r="D6210">
        <f>HYPERLINK("https://www.youtube.com/watch?v=-8P_pmKKanM&amp;t=194s", "Go to time")</f>
        <v/>
      </c>
    </row>
    <row r="6211">
      <c r="A6211">
        <f>HYPERLINK("https://www.youtube.com/watch?v=CC48HudGqVk", "Video")</f>
        <v/>
      </c>
      <c r="B6211" t="inlineStr">
        <is>
          <t>9:35</t>
        </is>
      </c>
      <c r="C6211" t="inlineStr">
        <is>
          <t>shifted uh a little bit and so but</t>
        </is>
      </c>
      <c r="D6211">
        <f>HYPERLINK("https://www.youtube.com/watch?v=CC48HudGqVk&amp;t=575s", "Go to time")</f>
        <v/>
      </c>
    </row>
    <row r="6212">
      <c r="A6212">
        <f>HYPERLINK("https://www.youtube.com/watch?v=CC48HudGqVk", "Video")</f>
        <v/>
      </c>
      <c r="B6212" t="inlineStr">
        <is>
          <t>19:47</t>
        </is>
      </c>
      <c r="C6212" t="inlineStr">
        <is>
          <t>little bit I mean I like yes 100 like</t>
        </is>
      </c>
      <c r="D6212">
        <f>HYPERLINK("https://www.youtube.com/watch?v=CC48HudGqVk&amp;t=1187s", "Go to time")</f>
        <v/>
      </c>
    </row>
    <row r="6213">
      <c r="A6213">
        <f>HYPERLINK("https://www.youtube.com/watch?v=CC48HudGqVk", "Video")</f>
        <v/>
      </c>
      <c r="B6213" t="inlineStr">
        <is>
          <t>20:47</t>
        </is>
      </c>
      <c r="C6213" t="inlineStr">
        <is>
          <t>robots was a little bit off given that</t>
        </is>
      </c>
      <c r="D6213">
        <f>HYPERLINK("https://www.youtube.com/watch?v=CC48HudGqVk&amp;t=1247s", "Go to time")</f>
        <v/>
      </c>
    </row>
    <row r="6214">
      <c r="A6214">
        <f>HYPERLINK("https://www.youtube.com/watch?v=CC48HudGqVk", "Video")</f>
        <v/>
      </c>
      <c r="B6214" t="inlineStr">
        <is>
          <t>25:06</t>
        </is>
      </c>
      <c r="C6214" t="inlineStr">
        <is>
          <t>hurts it a little bit</t>
        </is>
      </c>
      <c r="D6214">
        <f>HYPERLINK("https://www.youtube.com/watch?v=CC48HudGqVk&amp;t=1506s", "Go to time")</f>
        <v/>
      </c>
    </row>
    <row r="6215">
      <c r="A6215">
        <f>HYPERLINK("https://www.youtube.com/watch?v=CC48HudGqVk", "Video")</f>
        <v/>
      </c>
      <c r="B6215" t="inlineStr">
        <is>
          <t>37:46</t>
        </is>
      </c>
      <c r="C6215" t="inlineStr">
        <is>
          <t>there's a bit of just like Nostalgia</t>
        </is>
      </c>
      <c r="D6215">
        <f>HYPERLINK("https://www.youtube.com/watch?v=CC48HudGqVk&amp;t=2266s", "Go to time")</f>
        <v/>
      </c>
    </row>
    <row r="6216">
      <c r="A6216">
        <f>HYPERLINK("https://www.youtube.com/watch?v=CC48HudGqVk", "Video")</f>
        <v/>
      </c>
      <c r="B6216" t="inlineStr">
        <is>
          <t>38:37</t>
        </is>
      </c>
      <c r="C6216" t="inlineStr">
        <is>
          <t>bit but but bumblebee was before and we</t>
        </is>
      </c>
      <c r="D6216">
        <f>HYPERLINK("https://www.youtube.com/watch?v=CC48HudGqVk&amp;t=2317s", "Go to time")</f>
        <v/>
      </c>
    </row>
    <row r="6217">
      <c r="A6217">
        <f>HYPERLINK("https://www.youtube.com/watch?v=CC48HudGqVk", "Video")</f>
        <v/>
      </c>
      <c r="B6217" t="inlineStr">
        <is>
          <t>38:50</t>
        </is>
      </c>
      <c r="C6217" t="inlineStr">
        <is>
          <t>there a little bit but you know again</t>
        </is>
      </c>
      <c r="D6217">
        <f>HYPERLINK("https://www.youtube.com/watch?v=CC48HudGqVk&amp;t=2330s", "Go to time")</f>
        <v/>
      </c>
    </row>
    <row r="6218">
      <c r="A6218">
        <f>HYPERLINK("https://www.youtube.com/watch?v=CC48HudGqVk", "Video")</f>
        <v/>
      </c>
      <c r="B6218" t="inlineStr">
        <is>
          <t>48:41</t>
        </is>
      </c>
      <c r="C6218" t="inlineStr">
        <is>
          <t>it needs a little bit more depth</t>
        </is>
      </c>
      <c r="D6218">
        <f>HYPERLINK("https://www.youtube.com/watch?v=CC48HudGqVk&amp;t=2921s", "Go to time")</f>
        <v/>
      </c>
    </row>
    <row r="6219">
      <c r="A6219">
        <f>HYPERLINK("https://www.youtube.com/watch?v=wm2s9_T7P7U", "Video")</f>
        <v/>
      </c>
      <c r="B6219" t="inlineStr">
        <is>
          <t>0:50</t>
        </is>
      </c>
      <c r="C6219" t="inlineStr">
        <is>
          <t>got a little bit left</t>
        </is>
      </c>
      <c r="D6219">
        <f>HYPERLINK("https://www.youtube.com/watch?v=wm2s9_T7P7U&amp;t=50s", "Go to time")</f>
        <v/>
      </c>
    </row>
    <row r="6220">
      <c r="A6220">
        <f>HYPERLINK("https://www.youtube.com/watch?v=MufYFkZKEvI", "Video")</f>
        <v/>
      </c>
      <c r="B6220" t="inlineStr">
        <is>
          <t>8:56</t>
        </is>
      </c>
      <c r="C6220" t="inlineStr">
        <is>
          <t>is an ambitious exploration of the</t>
        </is>
      </c>
      <c r="D6220">
        <f>HYPERLINK("https://www.youtube.com/watch?v=MufYFkZKEvI&amp;t=536s", "Go to time")</f>
        <v/>
      </c>
    </row>
    <row r="6221">
      <c r="A6221">
        <f>HYPERLINK("https://www.youtube.com/watch?v=MufYFkZKEvI", "Video")</f>
        <v/>
      </c>
      <c r="B6221" t="inlineStr">
        <is>
          <t>15:18</t>
        </is>
      </c>
      <c r="C6221" t="inlineStr">
        <is>
          <t>and after delay thanks to kobit 19 the</t>
        </is>
      </c>
      <c r="D6221">
        <f>HYPERLINK("https://www.youtube.com/watch?v=MufYFkZKEvI&amp;t=918s", "Go to time")</f>
        <v/>
      </c>
    </row>
    <row r="6222">
      <c r="A6222">
        <f>HYPERLINK("https://www.youtube.com/watch?v=MufYFkZKEvI", "Video")</f>
        <v/>
      </c>
      <c r="B6222" t="inlineStr">
        <is>
          <t>16:47</t>
        </is>
      </c>
      <c r="C6222" t="inlineStr">
        <is>
          <t>little bit of a strain on will's</t>
        </is>
      </c>
      <c r="D6222">
        <f>HYPERLINK("https://www.youtube.com/watch?v=MufYFkZKEvI&amp;t=1007s", "Go to time")</f>
        <v/>
      </c>
    </row>
    <row r="6223">
      <c r="A6223">
        <f>HYPERLINK("https://www.youtube.com/watch?v=MH2UVKWx2p0", "Video")</f>
        <v/>
      </c>
      <c r="B6223" t="inlineStr">
        <is>
          <t>0:32</t>
        </is>
      </c>
      <c r="C6223" t="inlineStr">
        <is>
          <t>head robit he's here on my way Chris and</t>
        </is>
      </c>
      <c r="D6223">
        <f>HYPERLINK("https://www.youtube.com/watch?v=MH2UVKWx2p0&amp;t=32s", "Go to time")</f>
        <v/>
      </c>
    </row>
    <row r="6224">
      <c r="A6224">
        <f>HYPERLINK("https://www.youtube.com/watch?v=qQgyoHsknIk", "Video")</f>
        <v/>
      </c>
      <c r="B6224" t="inlineStr">
        <is>
          <t>1:21</t>
        </is>
      </c>
      <c r="C6224" t="inlineStr">
        <is>
          <t>like this one not one bit</t>
        </is>
      </c>
      <c r="D6224">
        <f>HYPERLINK("https://www.youtube.com/watch?v=qQgyoHsknIk&amp;t=81s", "Go to time")</f>
        <v/>
      </c>
    </row>
    <row r="6225">
      <c r="A6225">
        <f>HYPERLINK("https://www.youtube.com/watch?v=OCnKMpuivlw", "Video")</f>
        <v/>
      </c>
      <c r="B6225" t="inlineStr">
        <is>
          <t>1:27</t>
        </is>
      </c>
      <c r="C6225" t="inlineStr">
        <is>
          <t>my little sister she bites a lot and my</t>
        </is>
      </c>
      <c r="D6225">
        <f>HYPERLINK("https://www.youtube.com/watch?v=OCnKMpuivlw&amp;t=87s", "Go to time")</f>
        <v/>
      </c>
    </row>
    <row r="6226">
      <c r="A6226">
        <f>HYPERLINK("https://www.youtube.com/watch?v=OZwvdep1ULs", "Video")</f>
        <v/>
      </c>
      <c r="B6226" t="inlineStr">
        <is>
          <t>0:33</t>
        </is>
      </c>
      <c r="C6226" t="inlineStr">
        <is>
          <t>me just a little bit longer the cabin</t>
        </is>
      </c>
      <c r="D6226">
        <f>HYPERLINK("https://www.youtube.com/watch?v=OZwvdep1ULs&amp;t=33s", "Go to time")</f>
        <v/>
      </c>
    </row>
    <row r="6227">
      <c r="A6227">
        <f>HYPERLINK("https://www.youtube.com/watch?v=1CTjGKT-hDY", "Video")</f>
        <v/>
      </c>
      <c r="B6227" t="inlineStr">
        <is>
          <t>0:11</t>
        </is>
      </c>
      <c r="C6227" t="inlineStr">
        <is>
          <t>seems a bit lost</t>
        </is>
      </c>
      <c r="D6227">
        <f>HYPERLINK("https://www.youtube.com/watch?v=1CTjGKT-hDY&amp;t=11s", "Go to time")</f>
        <v/>
      </c>
    </row>
    <row r="6228">
      <c r="A6228">
        <f>HYPERLINK("https://www.youtube.com/watch?v=pnLimgrScYA", "Video")</f>
        <v/>
      </c>
      <c r="B6228" t="inlineStr">
        <is>
          <t>1:09</t>
        </is>
      </c>
      <c r="C6228" t="inlineStr">
        <is>
          <t>your vehicle it's a bit too familiar</t>
        </is>
      </c>
      <c r="D6228">
        <f>HYPERLINK("https://www.youtube.com/watch?v=pnLimgrScYA&amp;t=69s", "Go to time")</f>
        <v/>
      </c>
    </row>
    <row r="6229">
      <c r="A6229">
        <f>HYPERLINK("https://www.youtube.com/watch?v=dUUltoiKV8o", "Video")</f>
        <v/>
      </c>
      <c r="B6229" t="inlineStr">
        <is>
          <t>0:36</t>
        </is>
      </c>
      <c r="C6229" t="inlineStr">
        <is>
          <t>little bit too soft and gal you're not</t>
        </is>
      </c>
      <c r="D6229">
        <f>HYPERLINK("https://www.youtube.com/watch?v=dUUltoiKV8o&amp;t=36s", "Go to time")</f>
        <v/>
      </c>
    </row>
    <row r="6230">
      <c r="A6230">
        <f>HYPERLINK("https://www.youtube.com/watch?v=ZP-cSkJkpyg", "Video")</f>
        <v/>
      </c>
      <c r="B6230" t="inlineStr">
        <is>
          <t>1:26</t>
        </is>
      </c>
      <c r="C6230" t="inlineStr">
        <is>
          <t>didn't I people in church are inhibited</t>
        </is>
      </c>
      <c r="D6230">
        <f>HYPERLINK("https://www.youtube.com/watch?v=ZP-cSkJkpyg&amp;t=86s", "Go to time")</f>
        <v/>
      </c>
    </row>
    <row r="6231">
      <c r="A6231">
        <f>HYPERLINK("https://www.youtube.com/watch?v=bvl-DxX9N8g", "Video")</f>
        <v/>
      </c>
      <c r="B6231" t="inlineStr">
        <is>
          <t>0:02</t>
        </is>
      </c>
      <c r="C6231" t="inlineStr">
        <is>
          <t>they should be to you you're every bit</t>
        </is>
      </c>
      <c r="D6231">
        <f>HYPERLINK("https://www.youtube.com/watch?v=bvl-DxX9N8g&amp;t=2s", "Go to time")</f>
        <v/>
      </c>
    </row>
    <row r="6232">
      <c r="A6232">
        <f>HYPERLINK("https://www.youtube.com/watch?v=X1ITMj2XaF0", "Video")</f>
        <v/>
      </c>
      <c r="B6232" t="inlineStr">
        <is>
          <t>1:24</t>
        </is>
      </c>
      <c r="C6232" t="inlineStr">
        <is>
          <t>in the city's inhabitants are losing</t>
        </is>
      </c>
      <c r="D6232">
        <f>HYPERLINK("https://www.youtube.com/watch?v=X1ITMj2XaF0&amp;t=84s", "Go to time")</f>
        <v/>
      </c>
    </row>
    <row r="6233">
      <c r="A6233">
        <f>HYPERLINK("https://www.youtube.com/watch?v=_ccJXT-HLtE", "Video")</f>
        <v/>
      </c>
      <c r="B6233" t="inlineStr">
        <is>
          <t>0:12</t>
        </is>
      </c>
      <c r="C6233" t="inlineStr">
        <is>
          <t>shot for Jackass number two was a bit</t>
        </is>
      </c>
      <c r="D6233">
        <f>HYPERLINK("https://www.youtube.com/watch?v=_ccJXT-HLtE&amp;t=12s", "Go to time")</f>
        <v/>
      </c>
    </row>
    <row r="6234">
      <c r="A6234">
        <f>HYPERLINK("https://www.youtube.com/watch?v=K_NTydd3MqM", "Video")</f>
        <v/>
      </c>
      <c r="B6234" t="inlineStr">
        <is>
          <t>0:40</t>
        </is>
      </c>
      <c r="C6234" t="inlineStr">
        <is>
          <t>on man as ridiculous a little Hobbit is</t>
        </is>
      </c>
      <c r="D6234">
        <f>HYPERLINK("https://www.youtube.com/watch?v=K_NTydd3MqM&amp;t=40s", "Go to time")</f>
        <v/>
      </c>
    </row>
    <row r="6235">
      <c r="A6235">
        <f>HYPERLINK("https://www.youtube.com/watch?v=K_NTydd3MqM", "Video")</f>
        <v/>
      </c>
      <c r="B6235" t="inlineStr">
        <is>
          <t>1:18</t>
        </is>
      </c>
      <c r="C6235" t="inlineStr">
        <is>
          <t>hobbits right and two and his one meat</t>
        </is>
      </c>
      <c r="D6235">
        <f>HYPERLINK("https://www.youtube.com/watch?v=K_NTydd3MqM&amp;t=78s", "Go to time")</f>
        <v/>
      </c>
    </row>
    <row r="6236">
      <c r="A6236">
        <f>HYPERLINK("https://www.youtube.com/watch?v=-iWG2IYRIAI", "Video")</f>
        <v/>
      </c>
      <c r="B6236" t="inlineStr">
        <is>
          <t>33:37</t>
        </is>
      </c>
      <c r="C6236" t="inlineStr">
        <is>
          <t>this world that counts a little bit of</t>
        </is>
      </c>
      <c r="D6236">
        <f>HYPERLINK("https://www.youtube.com/watch?v=-iWG2IYRIAI&amp;t=2017s", "Go to time")</f>
        <v/>
      </c>
    </row>
    <row r="6237">
      <c r="A6237">
        <f>HYPERLINK("https://www.youtube.com/watch?v=-iWG2IYRIAI", "Video")</f>
        <v/>
      </c>
      <c r="B6237" t="inlineStr">
        <is>
          <t>36:41</t>
        </is>
      </c>
      <c r="C6237" t="inlineStr">
        <is>
          <t>that's why I think it's a little bit</t>
        </is>
      </c>
      <c r="D6237">
        <f>HYPERLINK("https://www.youtube.com/watch?v=-iWG2IYRIAI&amp;t=2201s", "Go to time")</f>
        <v/>
      </c>
    </row>
    <row r="6238">
      <c r="A6238">
        <f>HYPERLINK("https://www.youtube.com/watch?v=-iWG2IYRIAI", "Video")</f>
        <v/>
      </c>
      <c r="B6238" t="inlineStr">
        <is>
          <t>44:04</t>
        </is>
      </c>
      <c r="C6238" t="inlineStr">
        <is>
          <t>like I can be such bitter Rivals with</t>
        </is>
      </c>
      <c r="D6238">
        <f>HYPERLINK("https://www.youtube.com/watch?v=-iWG2IYRIAI&amp;t=2644s", "Go to time")</f>
        <v/>
      </c>
    </row>
    <row r="6239">
      <c r="A6239">
        <f>HYPERLINK("https://www.youtube.com/watch?v=-iWG2IYRIAI", "Video")</f>
        <v/>
      </c>
      <c r="B6239" t="inlineStr">
        <is>
          <t>48:07</t>
        </is>
      </c>
      <c r="C6239" t="inlineStr">
        <is>
          <t>make this a bit of a retrospective on</t>
        </is>
      </c>
      <c r="D6239">
        <f>HYPERLINK("https://www.youtube.com/watch?v=-iWG2IYRIAI&amp;t=2887s", "Go to time")</f>
        <v/>
      </c>
    </row>
    <row r="6240">
      <c r="A6240">
        <f>HYPERLINK("https://www.youtube.com/watch?v=AMEEKZQNbdU", "Video")</f>
        <v/>
      </c>
      <c r="B6240" t="inlineStr">
        <is>
          <t>2:56</t>
        </is>
      </c>
      <c r="C6240" t="inlineStr">
        <is>
          <t>a little bit not convincing her like she</t>
        </is>
      </c>
      <c r="D6240">
        <f>HYPERLINK("https://www.youtube.com/watch?v=AMEEKZQNbdU&amp;t=176s", "Go to time")</f>
        <v/>
      </c>
    </row>
    <row r="6241">
      <c r="A6241">
        <f>HYPERLINK("https://www.youtube.com/watch?v=AMEEKZQNbdU", "Video")</f>
        <v/>
      </c>
      <c r="B6241" t="inlineStr">
        <is>
          <t>18:12</t>
        </is>
      </c>
      <c r="C6241" t="inlineStr">
        <is>
          <t>the dog it's the size of the the bite in</t>
        </is>
      </c>
      <c r="D6241">
        <f>HYPERLINK("https://www.youtube.com/watch?v=AMEEKZQNbdU&amp;t=1092s", "Go to time")</f>
        <v/>
      </c>
    </row>
    <row r="6242">
      <c r="A6242">
        <f>HYPERLINK("https://www.youtube.com/watch?v=mcwwjkGvBJ0", "Video")</f>
        <v/>
      </c>
      <c r="B6242" t="inlineStr">
        <is>
          <t>0:20</t>
        </is>
      </c>
      <c r="C6242" t="inlineStr">
        <is>
          <t>the exorbitant margins currently enjoyed</t>
        </is>
      </c>
      <c r="D6242">
        <f>HYPERLINK("https://www.youtube.com/watch?v=mcwwjkGvBJ0&amp;t=20s", "Go to time")</f>
        <v/>
      </c>
    </row>
    <row r="6243">
      <c r="A6243">
        <f>HYPERLINK("https://www.youtube.com/watch?v=I-l4CfZLlg0", "Video")</f>
        <v/>
      </c>
      <c r="B6243" t="inlineStr">
        <is>
          <t>1:31</t>
        </is>
      </c>
      <c r="C6243" t="inlineStr">
        <is>
          <t>bit</t>
        </is>
      </c>
      <c r="D6243">
        <f>HYPERLINK("https://www.youtube.com/watch?v=I-l4CfZLlg0&amp;t=91s", "Go to time")</f>
        <v/>
      </c>
    </row>
    <row r="6244">
      <c r="A6244">
        <f>HYPERLINK("https://www.youtube.com/watch?v=b5znZb8tj0U", "Video")</f>
        <v/>
      </c>
      <c r="B6244" t="inlineStr">
        <is>
          <t>2:28</t>
        </is>
      </c>
      <c r="C6244" t="inlineStr">
        <is>
          <t>understand this is on YouTube weird bit</t>
        </is>
      </c>
      <c r="D6244">
        <f>HYPERLINK("https://www.youtube.com/watch?v=b5znZb8tj0U&amp;t=148s", "Go to time")</f>
        <v/>
      </c>
    </row>
    <row r="6245">
      <c r="A6245">
        <f>HYPERLINK("https://www.youtube.com/watch?v=MOYpJHGBr98", "Video")</f>
        <v/>
      </c>
      <c r="B6245" t="inlineStr">
        <is>
          <t>8:28</t>
        </is>
      </c>
      <c r="C6245" t="inlineStr">
        <is>
          <t>as a Bittersweet look at a group of</t>
        </is>
      </c>
      <c r="D6245">
        <f>HYPERLINK("https://www.youtube.com/watch?v=MOYpJHGBr98&amp;t=508s", "Go to time")</f>
        <v/>
      </c>
    </row>
    <row r="6246">
      <c r="A6246">
        <f>HYPERLINK("https://www.youtube.com/watch?v=MOYpJHGBr98", "Video")</f>
        <v/>
      </c>
      <c r="B6246" t="inlineStr">
        <is>
          <t>9:37</t>
        </is>
      </c>
      <c r="C6246" t="inlineStr">
        <is>
          <t>this 1988 film was a bit of a departure</t>
        </is>
      </c>
      <c r="D6246">
        <f>HYPERLINK("https://www.youtube.com/watch?v=MOYpJHGBr98&amp;t=577s", "Go to time")</f>
        <v/>
      </c>
    </row>
    <row r="6247">
      <c r="A6247">
        <f>HYPERLINK("https://www.youtube.com/watch?v=pgFYy7n9uhI", "Video")</f>
        <v/>
      </c>
      <c r="B6247" t="inlineStr">
        <is>
          <t>0:00</t>
        </is>
      </c>
      <c r="C6247" t="inlineStr">
        <is>
          <t>all right Mr Turing I'll bite why do you</t>
        </is>
      </c>
      <c r="D6247">
        <f>HYPERLINK("https://www.youtube.com/watch?v=pgFYy7n9uhI&amp;t=0s", "Go to time")</f>
        <v/>
      </c>
    </row>
    <row r="6248">
      <c r="A6248">
        <f>HYPERLINK("https://www.youtube.com/watch?v=H5AZMOoNipk", "Video")</f>
        <v/>
      </c>
      <c r="B6248" t="inlineStr">
        <is>
          <t>0:20</t>
        </is>
      </c>
      <c r="C6248" t="inlineStr">
        <is>
          <t>for bit like your mother fell for</t>
        </is>
      </c>
      <c r="D6248">
        <f>HYPERLINK("https://www.youtube.com/watch?v=H5AZMOoNipk&amp;t=20s", "Go to time")</f>
        <v/>
      </c>
    </row>
    <row r="6249">
      <c r="A6249">
        <f>HYPERLINK("https://www.youtube.com/watch?v=hraH96pDKQU", "Video")</f>
        <v/>
      </c>
      <c r="B6249" t="inlineStr">
        <is>
          <t>0:34</t>
        </is>
      </c>
      <c r="C6249" t="inlineStr">
        <is>
          <t>mean all habits die hard with</t>
        </is>
      </c>
      <c r="D6249">
        <f>HYPERLINK("https://www.youtube.com/watch?v=hraH96pDKQU&amp;t=34s", "Go to time")</f>
        <v/>
      </c>
    </row>
    <row r="6250">
      <c r="A6250">
        <f>HYPERLINK("https://www.youtube.com/watch?v=-z1U8M2Pj-w", "Video")</f>
        <v/>
      </c>
      <c r="B6250" t="inlineStr">
        <is>
          <t>0:45</t>
        </is>
      </c>
      <c r="C6250" t="inlineStr">
        <is>
          <t>me we're being blown to bits over here</t>
        </is>
      </c>
      <c r="D6250">
        <f>HYPERLINK("https://www.youtube.com/watch?v=-z1U8M2Pj-w&amp;t=45s", "Go to time")</f>
        <v/>
      </c>
    </row>
    <row r="6251">
      <c r="A6251">
        <f>HYPERLINK("https://www.youtube.com/watch?v=gKK2yzvsPvM", "Video")</f>
        <v/>
      </c>
      <c r="B6251" t="inlineStr">
        <is>
          <t>1:08</t>
        </is>
      </c>
      <c r="C6251" t="inlineStr">
        <is>
          <t>bug bite too Spider-Man is who I</t>
        </is>
      </c>
      <c r="D6251">
        <f>HYPERLINK("https://www.youtube.com/watch?v=gKK2yzvsPvM&amp;t=68s", "Go to time")</f>
        <v/>
      </c>
    </row>
    <row r="6252">
      <c r="A6252">
        <f>HYPERLINK("https://www.youtube.com/watch?v=N6DehXiQtaA", "Video")</f>
        <v/>
      </c>
      <c r="B6252" t="inlineStr">
        <is>
          <t>1:56</t>
        </is>
      </c>
      <c r="C6252" t="inlineStr">
        <is>
          <t>to take a little bit of time you need to</t>
        </is>
      </c>
      <c r="D6252">
        <f>HYPERLINK("https://www.youtube.com/watch?v=N6DehXiQtaA&amp;t=116s", "Go to time")</f>
        <v/>
      </c>
    </row>
    <row r="6253">
      <c r="A6253">
        <f>HYPERLINK("https://www.youtube.com/watch?v=U_5jtVIquPc", "Video")</f>
        <v/>
      </c>
      <c r="B6253" t="inlineStr">
        <is>
          <t>1:44</t>
        </is>
      </c>
      <c r="C6253" t="inlineStr">
        <is>
          <t>socket it's called a transorbital</t>
        </is>
      </c>
      <c r="D6253">
        <f>HYPERLINK("https://www.youtube.com/watch?v=U_5jtVIquPc&amp;t=104s", "Go to time")</f>
        <v/>
      </c>
    </row>
    <row r="6254">
      <c r="A6254">
        <f>HYPERLINK("https://www.youtube.com/watch?v=xcfqZe9AUUQ", "Video")</f>
        <v/>
      </c>
      <c r="B6254" t="inlineStr">
        <is>
          <t>1:40</t>
        </is>
      </c>
      <c r="C6254" t="inlineStr">
        <is>
          <t>exhibit a ow</t>
        </is>
      </c>
      <c r="D6254">
        <f>HYPERLINK("https://www.youtube.com/watch?v=xcfqZe9AUUQ&amp;t=100s", "Go to time")</f>
        <v/>
      </c>
    </row>
    <row r="6255">
      <c r="A6255">
        <f>HYPERLINK("https://www.youtube.com/watch?v=dWfS6IgD33s", "Video")</f>
        <v/>
      </c>
      <c r="B6255" t="inlineStr">
        <is>
          <t>1:07</t>
        </is>
      </c>
      <c r="C6255" t="inlineStr">
        <is>
          <t>bit right a bit</t>
        </is>
      </c>
      <c r="D6255">
        <f>HYPERLINK("https://www.youtube.com/watch?v=dWfS6IgD33s&amp;t=67s", "Go to time")</f>
        <v/>
      </c>
    </row>
    <row r="6256">
      <c r="A6256">
        <f>HYPERLINK("https://www.youtube.com/watch?v=r314HP2DZCI", "Video")</f>
        <v/>
      </c>
      <c r="B6256" t="inlineStr">
        <is>
          <t>1:28</t>
        </is>
      </c>
      <c r="C6256" t="inlineStr">
        <is>
          <t>eat this in five bites</t>
        </is>
      </c>
      <c r="D6256">
        <f>HYPERLINK("https://www.youtube.com/watch?v=r314HP2DZCI&amp;t=88s", "Go to time")</f>
        <v/>
      </c>
    </row>
    <row r="6257">
      <c r="A6257">
        <f>HYPERLINK("https://www.youtube.com/watch?v=e_xh5RUvRd0", "Video")</f>
        <v/>
      </c>
      <c r="B6257" t="inlineStr">
        <is>
          <t>4:10</t>
        </is>
      </c>
      <c r="C6257" t="inlineStr">
        <is>
          <t>these are a little bit on the rare sides</t>
        </is>
      </c>
      <c r="D6257">
        <f>HYPERLINK("https://www.youtube.com/watch?v=e_xh5RUvRd0&amp;t=250s", "Go to time")</f>
        <v/>
      </c>
    </row>
    <row r="6258">
      <c r="A6258">
        <f>HYPERLINK("https://www.youtube.com/watch?v=e_xh5RUvRd0", "Video")</f>
        <v/>
      </c>
      <c r="B6258" t="inlineStr">
        <is>
          <t>8:02</t>
        </is>
      </c>
      <c r="C6258" t="inlineStr">
        <is>
          <t>bit challenging I did a bunch of</t>
        </is>
      </c>
      <c r="D6258">
        <f>HYPERLINK("https://www.youtube.com/watch?v=e_xh5RUvRd0&amp;t=482s", "Go to time")</f>
        <v/>
      </c>
    </row>
    <row r="6259">
      <c r="A6259">
        <f>HYPERLINK("https://www.youtube.com/watch?v=AvYUnszSc1Y", "Video")</f>
        <v/>
      </c>
      <c r="B6259" t="inlineStr">
        <is>
          <t>0:50</t>
        </is>
      </c>
      <c r="C6259" t="inlineStr">
        <is>
          <t>to talk a little bit about how you got</t>
        </is>
      </c>
      <c r="D6259">
        <f>HYPERLINK("https://www.youtube.com/watch?v=AvYUnszSc1Y&amp;t=50s", "Go to time")</f>
        <v/>
      </c>
    </row>
    <row r="6260">
      <c r="A6260">
        <f>HYPERLINK("https://www.youtube.com/watch?v=AvYUnszSc1Y", "Video")</f>
        <v/>
      </c>
      <c r="B6260" t="inlineStr">
        <is>
          <t>7:19</t>
        </is>
      </c>
      <c r="C6260" t="inlineStr">
        <is>
          <t>the shield maybe a little bit and it's</t>
        </is>
      </c>
      <c r="D6260">
        <f>HYPERLINK("https://www.youtube.com/watch?v=AvYUnszSc1Y&amp;t=439s", "Go to time")</f>
        <v/>
      </c>
    </row>
    <row r="6261">
      <c r="A6261">
        <f>HYPERLINK("https://www.youtube.com/watch?v=AvYUnszSc1Y", "Video")</f>
        <v/>
      </c>
      <c r="B6261" t="inlineStr">
        <is>
          <t>18:39</t>
        </is>
      </c>
      <c r="C6261" t="inlineStr">
        <is>
          <t>little bit back to the ghoul we we kind</t>
        </is>
      </c>
      <c r="D6261">
        <f>HYPERLINK("https://www.youtube.com/watch?v=AvYUnszSc1Y&amp;t=1119s", "Go to time")</f>
        <v/>
      </c>
    </row>
    <row r="6262">
      <c r="A6262">
        <f>HYPERLINK("https://www.youtube.com/watch?v=AvYUnszSc1Y", "Video")</f>
        <v/>
      </c>
      <c r="B6262" t="inlineStr">
        <is>
          <t>21:34</t>
        </is>
      </c>
      <c r="C6262" t="inlineStr">
        <is>
          <t>bit just real quickly about that</t>
        </is>
      </c>
      <c r="D6262">
        <f>HYPERLINK("https://www.youtube.com/watch?v=AvYUnszSc1Y&amp;t=1294s", "Go to time")</f>
        <v/>
      </c>
    </row>
    <row r="6263">
      <c r="A6263">
        <f>HYPERLINK("https://www.youtube.com/watch?v=ESsy26zX-xk", "Video")</f>
        <v/>
      </c>
      <c r="B6263" t="inlineStr">
        <is>
          <t>1:10</t>
        </is>
      </c>
      <c r="C6263" t="inlineStr">
        <is>
          <t>that thing in the tub they must have bit</t>
        </is>
      </c>
      <c r="D6263">
        <f>HYPERLINK("https://www.youtube.com/watch?v=ESsy26zX-xk&amp;t=70s", "Go to time")</f>
        <v/>
      </c>
    </row>
    <row r="6264">
      <c r="A6264">
        <f>HYPERLINK("https://www.youtube.com/watch?v=Cvr5Nf8eUpg", "Video")</f>
        <v/>
      </c>
      <c r="B6264" t="inlineStr">
        <is>
          <t>0:39</t>
        </is>
      </c>
      <c r="C6264" t="inlineStr">
        <is>
          <t>admirable Hobbits</t>
        </is>
      </c>
      <c r="D6264">
        <f>HYPERLINK("https://www.youtube.com/watch?v=Cvr5Nf8eUpg&amp;t=39s", "Go to time")</f>
        <v/>
      </c>
    </row>
    <row r="6265">
      <c r="A6265">
        <f>HYPERLINK("https://www.youtube.com/watch?v=X8i51b4tYv8", "Video")</f>
        <v/>
      </c>
      <c r="B6265" t="inlineStr">
        <is>
          <t>0:22</t>
        </is>
      </c>
      <c r="C6265" t="inlineStr">
        <is>
          <t>up the shiny bits you have my car I</t>
        </is>
      </c>
      <c r="D6265">
        <f>HYPERLINK("https://www.youtube.com/watch?v=X8i51b4tYv8&amp;t=22s", "Go to time")</f>
        <v/>
      </c>
    </row>
    <row r="6266">
      <c r="A6266">
        <f>HYPERLINK("https://www.youtube.com/watch?v=kcuQYzW1OJk", "Video")</f>
        <v/>
      </c>
      <c r="B6266" t="inlineStr">
        <is>
          <t>0:06</t>
        </is>
      </c>
      <c r="C6266" t="inlineStr">
        <is>
          <t>some bite coffee would be nice sure</t>
        </is>
      </c>
      <c r="D6266">
        <f>HYPERLINK("https://www.youtube.com/watch?v=kcuQYzW1OJk&amp;t=6s", "Go to time")</f>
        <v/>
      </c>
    </row>
    <row r="6267">
      <c r="A6267">
        <f>HYPERLINK("https://www.youtube.com/watch?v=WDMaU9JAa8M", "Video")</f>
        <v/>
      </c>
      <c r="B6267" t="inlineStr">
        <is>
          <t>2:52</t>
        </is>
      </c>
      <c r="C6267" t="inlineStr">
        <is>
          <t>warade business biting me in the</t>
        </is>
      </c>
      <c r="D6267">
        <f>HYPERLINK("https://www.youtube.com/watch?v=WDMaU9JAa8M&amp;t=172s", "Go to time")</f>
        <v/>
      </c>
    </row>
    <row r="6268">
      <c r="A6268">
        <f>HYPERLINK("https://www.youtube.com/watch?v=G400rXGhOug", "Video")</f>
        <v/>
      </c>
      <c r="B6268" t="inlineStr">
        <is>
          <t>0:03</t>
        </is>
      </c>
      <c r="C6268" t="inlineStr">
        <is>
          <t>oh just a little bit mom just a little</t>
        </is>
      </c>
      <c r="D6268">
        <f>HYPERLINK("https://www.youtube.com/watch?v=G400rXGhOug&amp;t=3s", "Go to time")</f>
        <v/>
      </c>
    </row>
    <row r="6269">
      <c r="A6269">
        <f>HYPERLINK("https://www.youtube.com/watch?v=7N91O-GKB-4", "Video")</f>
        <v/>
      </c>
      <c r="B6269" t="inlineStr">
        <is>
          <t>2:23</t>
        </is>
      </c>
      <c r="C6269" t="inlineStr">
        <is>
          <t>bark and no bite now pick yourself a</t>
        </is>
      </c>
      <c r="D6269">
        <f>HYPERLINK("https://www.youtube.com/watch?v=7N91O-GKB-4&amp;t=143s", "Go to time")</f>
        <v/>
      </c>
    </row>
    <row r="6270">
      <c r="A6270">
        <f>HYPERLINK("https://www.youtube.com/watch?v=sXjxSod2FgQ", "Video")</f>
        <v/>
      </c>
      <c r="B6270" t="inlineStr">
        <is>
          <t>1:10</t>
        </is>
      </c>
      <c r="C6270" t="inlineStr">
        <is>
          <t>the rabbit comes out of the hole goes</t>
        </is>
      </c>
      <c r="D6270">
        <f>HYPERLINK("https://www.youtube.com/watch?v=sXjxSod2FgQ&amp;t=70s", "Go to time")</f>
        <v/>
      </c>
    </row>
    <row r="6271">
      <c r="A6271">
        <f>HYPERLINK("https://www.youtube.com/watch?v=TnpCNqJED34", "Video")</f>
        <v/>
      </c>
      <c r="B6271" t="inlineStr">
        <is>
          <t>0:48</t>
        </is>
      </c>
      <c r="C6271" t="inlineStr">
        <is>
          <t>spend a little bit of time it takes to</t>
        </is>
      </c>
      <c r="D6271">
        <f>HYPERLINK("https://www.youtube.com/watch?v=TnpCNqJED34&amp;t=48s", "Go to time")</f>
        <v/>
      </c>
    </row>
    <row r="6272">
      <c r="A6272">
        <f>HYPERLINK("https://www.youtube.com/watch?v=m8_h4uCUCRA", "Video")</f>
        <v/>
      </c>
      <c r="B6272" t="inlineStr">
        <is>
          <t>0:26</t>
        </is>
      </c>
      <c r="C6272" t="inlineStr">
        <is>
          <t>ambition that can be a virtue when it</t>
        </is>
      </c>
      <c r="D6272">
        <f>HYPERLINK("https://www.youtube.com/watch?v=m8_h4uCUCRA&amp;t=26s", "Go to time")</f>
        <v/>
      </c>
    </row>
    <row r="6273">
      <c r="A6273">
        <f>HYPERLINK("https://www.youtube.com/watch?v=D4gPEFccxPk", "Video")</f>
        <v/>
      </c>
      <c r="B6273" t="inlineStr">
        <is>
          <t>1:48</t>
        </is>
      </c>
      <c r="C6273" t="inlineStr">
        <is>
          <t>bonnets are all Bitcoin accounts they're</t>
        </is>
      </c>
      <c r="D6273">
        <f>HYPERLINK("https://www.youtube.com/watch?v=D4gPEFccxPk&amp;t=108s", "Go to time")</f>
        <v/>
      </c>
    </row>
    <row r="6274">
      <c r="A6274">
        <f>HYPERLINK("https://www.youtube.com/watch?v=YH232gAGzbE", "Video")</f>
        <v/>
      </c>
      <c r="B6274" t="inlineStr">
        <is>
          <t>0:32</t>
        </is>
      </c>
      <c r="C6274" t="inlineStr">
        <is>
          <t>bit devious a bit Insidious you felt wow</t>
        </is>
      </c>
      <c r="D6274">
        <f>HYPERLINK("https://www.youtube.com/watch?v=YH232gAGzbE&amp;t=32s", "Go to time")</f>
        <v/>
      </c>
    </row>
    <row r="6275">
      <c r="A6275">
        <f>HYPERLINK("https://www.youtube.com/watch?v=YH232gAGzbE", "Video")</f>
        <v/>
      </c>
      <c r="B6275" t="inlineStr">
        <is>
          <t>1:10</t>
        </is>
      </c>
      <c r="C6275" t="inlineStr">
        <is>
          <t>little bit of the back story but</t>
        </is>
      </c>
      <c r="D6275">
        <f>HYPERLINK("https://www.youtube.com/watch?v=YH232gAGzbE&amp;t=70s", "Go to time")</f>
        <v/>
      </c>
    </row>
    <row r="6276">
      <c r="A6276">
        <f>HYPERLINK("https://www.youtube.com/watch?v=YH232gAGzbE", "Video")</f>
        <v/>
      </c>
      <c r="B6276" t="inlineStr">
        <is>
          <t>6:54</t>
        </is>
      </c>
      <c r="C6276" t="inlineStr">
        <is>
          <t>inhabit and it doesn't necessarily be</t>
        </is>
      </c>
      <c r="D6276">
        <f>HYPERLINK("https://www.youtube.com/watch?v=YH232gAGzbE&amp;t=414s", "Go to time")</f>
        <v/>
      </c>
    </row>
    <row r="6277">
      <c r="A6277">
        <f>HYPERLINK("https://www.youtube.com/watch?v=YH232gAGzbE", "Video")</f>
        <v/>
      </c>
      <c r="B6277" t="inlineStr">
        <is>
          <t>6:57</t>
        </is>
      </c>
      <c r="C6277" t="inlineStr">
        <is>
          <t>the people that are inhabiting them</t>
        </is>
      </c>
      <c r="D6277">
        <f>HYPERLINK("https://www.youtube.com/watch?v=YH232gAGzbE&amp;t=417s", "Go to time")</f>
        <v/>
      </c>
    </row>
    <row r="6278">
      <c r="A6278">
        <f>HYPERLINK("https://www.youtube.com/watch?v=YH232gAGzbE", "Video")</f>
        <v/>
      </c>
      <c r="B6278" t="inlineStr">
        <is>
          <t>14:41</t>
        </is>
      </c>
      <c r="C6278" t="inlineStr">
        <is>
          <t>bit more with Insidious Chapter 2 in our</t>
        </is>
      </c>
      <c r="D6278">
        <f>HYPERLINK("https://www.youtube.com/watch?v=YH232gAGzbE&amp;t=881s", "Go to time")</f>
        <v/>
      </c>
    </row>
    <row r="6279">
      <c r="A6279">
        <f>HYPERLINK("https://www.youtube.com/watch?v=YH232gAGzbE", "Video")</f>
        <v/>
      </c>
      <c r="B6279" t="inlineStr">
        <is>
          <t>19:12</t>
        </is>
      </c>
      <c r="C6279" t="inlineStr">
        <is>
          <t>this movie I will say had a little bit</t>
        </is>
      </c>
      <c r="D6279">
        <f>HYPERLINK("https://www.youtube.com/watch?v=YH232gAGzbE&amp;t=1152s", "Go to time")</f>
        <v/>
      </c>
    </row>
    <row r="6280">
      <c r="A6280">
        <f>HYPERLINK("https://www.youtube.com/watch?v=YH232gAGzbE", "Video")</f>
        <v/>
      </c>
      <c r="B6280" t="inlineStr">
        <is>
          <t>23:10</t>
        </is>
      </c>
      <c r="C6280" t="inlineStr">
        <is>
          <t>the bench for a little bit I feel like</t>
        </is>
      </c>
      <c r="D6280">
        <f>HYPERLINK("https://www.youtube.com/watch?v=YH232gAGzbE&amp;t=1390s", "Go to time")</f>
        <v/>
      </c>
    </row>
    <row r="6281">
      <c r="A6281">
        <f>HYPERLINK("https://www.youtube.com/watch?v=YH232gAGzbE", "Video")</f>
        <v/>
      </c>
      <c r="B6281" t="inlineStr">
        <is>
          <t>27:50</t>
        </is>
      </c>
      <c r="C6281" t="inlineStr">
        <is>
          <t>like just a little bit less like I felt</t>
        </is>
      </c>
      <c r="D6281">
        <f>HYPERLINK("https://www.youtube.com/watch?v=YH232gAGzbE&amp;t=1670s", "Go to time")</f>
        <v/>
      </c>
    </row>
    <row r="6282">
      <c r="A6282">
        <f>HYPERLINK("https://www.youtube.com/watch?v=YH232gAGzbE", "Video")</f>
        <v/>
      </c>
      <c r="B6282" t="inlineStr">
        <is>
          <t>28:44</t>
        </is>
      </c>
      <c r="C6282" t="inlineStr">
        <is>
          <t>little bit of self-serving here you know</t>
        </is>
      </c>
      <c r="D6282">
        <f>HYPERLINK("https://www.youtube.com/watch?v=YH232gAGzbE&amp;t=1724s", "Go to time")</f>
        <v/>
      </c>
    </row>
    <row r="6283">
      <c r="A6283">
        <f>HYPERLINK("https://www.youtube.com/watch?v=YH232gAGzbE", "Video")</f>
        <v/>
      </c>
      <c r="B6283" t="inlineStr">
        <is>
          <t>28:51</t>
        </is>
      </c>
      <c r="C6283" t="inlineStr">
        <is>
          <t>like Crystal did a little bit and I love</t>
        </is>
      </c>
      <c r="D6283">
        <f>HYPERLINK("https://www.youtube.com/watch?v=YH232gAGzbE&amp;t=1731s", "Go to time")</f>
        <v/>
      </c>
    </row>
    <row r="6284">
      <c r="A6284">
        <f>HYPERLINK("https://www.youtube.com/watch?v=YH232gAGzbE", "Video")</f>
        <v/>
      </c>
      <c r="B6284" t="inlineStr">
        <is>
          <t>29:56</t>
        </is>
      </c>
      <c r="C6284" t="inlineStr">
        <is>
          <t>Dad and it takes roseburn a little bit</t>
        </is>
      </c>
      <c r="D6284">
        <f>HYPERLINK("https://www.youtube.com/watch?v=YH232gAGzbE&amp;t=1796s", "Go to time")</f>
        <v/>
      </c>
    </row>
    <row r="6285">
      <c r="A6285">
        <f>HYPERLINK("https://www.youtube.com/watch?v=YH232gAGzbE", "Video")</f>
        <v/>
      </c>
      <c r="B6285" t="inlineStr">
        <is>
          <t>31:23</t>
        </is>
      </c>
      <c r="C6285" t="inlineStr">
        <is>
          <t>little bit much it's a bit cheesy well</t>
        </is>
      </c>
      <c r="D6285">
        <f>HYPERLINK("https://www.youtube.com/watch?v=YH232gAGzbE&amp;t=1883s", "Go to time")</f>
        <v/>
      </c>
    </row>
    <row r="6286">
      <c r="A6286">
        <f>HYPERLINK("https://www.youtube.com/watch?v=YH232gAGzbE", "Video")</f>
        <v/>
      </c>
      <c r="B6286" t="inlineStr">
        <is>
          <t>33:28</t>
        </is>
      </c>
      <c r="C6286" t="inlineStr">
        <is>
          <t>get back this one I think it was a bit</t>
        </is>
      </c>
      <c r="D6286">
        <f>HYPERLINK("https://www.youtube.com/watch?v=YH232gAGzbE&amp;t=2008s", "Go to time")</f>
        <v/>
      </c>
    </row>
    <row r="6287">
      <c r="A6287">
        <f>HYPERLINK("https://www.youtube.com/watch?v=K8_ERcsa0CU", "Video")</f>
        <v/>
      </c>
      <c r="B6287" t="inlineStr">
        <is>
          <t>0:05</t>
        </is>
      </c>
      <c r="C6287" t="inlineStr">
        <is>
          <t>oh well yeah it's a bit is a bit</t>
        </is>
      </c>
      <c r="D6287">
        <f>HYPERLINK("https://www.youtube.com/watch?v=K8_ERcsa0CU&amp;t=5s", "Go to time")</f>
        <v/>
      </c>
    </row>
    <row r="6288">
      <c r="A6288">
        <f>HYPERLINK("https://www.youtube.com/watch?v=K8_ERcsa0CU", "Video")</f>
        <v/>
      </c>
      <c r="B6288" t="inlineStr">
        <is>
          <t>1:33</t>
        </is>
      </c>
      <c r="C6288" t="inlineStr">
        <is>
          <t>do as I say a bit less of your nonsense</t>
        </is>
      </c>
      <c r="D6288">
        <f>HYPERLINK("https://www.youtube.com/watch?v=K8_ERcsa0CU&amp;t=93s", "Go to time")</f>
        <v/>
      </c>
    </row>
    <row r="6289">
      <c r="A6289">
        <f>HYPERLINK("https://www.youtube.com/watch?v=gFdGVwflWwA", "Video")</f>
        <v/>
      </c>
      <c r="B6289" t="inlineStr">
        <is>
          <t>2:00</t>
        </is>
      </c>
      <c r="C6289" t="inlineStr">
        <is>
          <t>little bit of love little bit of time</t>
        </is>
      </c>
      <c r="D6289">
        <f>HYPERLINK("https://www.youtube.com/watch?v=gFdGVwflWwA&amp;t=120s", "Go to time")</f>
        <v/>
      </c>
    </row>
    <row r="6290">
      <c r="A6290">
        <f>HYPERLINK("https://www.youtube.com/watch?v=XEqlq0MJK88", "Video")</f>
        <v/>
      </c>
      <c r="B6290" t="inlineStr">
        <is>
          <t>1:23</t>
        </is>
      </c>
      <c r="C6290" t="inlineStr">
        <is>
          <t>wouldn't bother you a bit</t>
        </is>
      </c>
      <c r="D6290">
        <f>HYPERLINK("https://www.youtube.com/watch?v=XEqlq0MJK88&amp;t=83s", "Go to time")</f>
        <v/>
      </c>
    </row>
    <row r="6291">
      <c r="A6291">
        <f>HYPERLINK("https://www.youtube.com/watch?v=AbCD2j410D8", "Video")</f>
        <v/>
      </c>
      <c r="B6291" t="inlineStr">
        <is>
          <t>1:23</t>
        </is>
      </c>
      <c r="C6291" t="inlineStr">
        <is>
          <t>tiny tiny bit impressed</t>
        </is>
      </c>
      <c r="D6291">
        <f>HYPERLINK("https://www.youtube.com/watch?v=AbCD2j410D8&amp;t=83s", "Go to time")</f>
        <v/>
      </c>
    </row>
    <row r="6292">
      <c r="A6292">
        <f>HYPERLINK("https://www.youtube.com/watch?v=KxkMfl79abw", "Video")</f>
        <v/>
      </c>
      <c r="B6292" t="inlineStr">
        <is>
          <t>2:47</t>
        </is>
      </c>
      <c r="C6292" t="inlineStr">
        <is>
          <t>miss this daring Goblin on the bit the</t>
        </is>
      </c>
      <c r="D6292">
        <f>HYPERLINK("https://www.youtube.com/watch?v=KxkMfl79abw&amp;t=167s", "Go to time")</f>
        <v/>
      </c>
    </row>
    <row r="6293">
      <c r="A6293">
        <f>HYPERLINK("https://www.youtube.com/watch?v=zur12-IXeiU", "Video")</f>
        <v/>
      </c>
      <c r="B6293" t="inlineStr">
        <is>
          <t>8:19</t>
        </is>
      </c>
      <c r="C6293" t="inlineStr">
        <is>
          <t>be thing that was a little bit Cosmic</t>
        </is>
      </c>
      <c r="D6293">
        <f>HYPERLINK("https://www.youtube.com/watch?v=zur12-IXeiU&amp;t=499s", "Go to time")</f>
        <v/>
      </c>
    </row>
    <row r="6294">
      <c r="A6294">
        <f>HYPERLINK("https://www.youtube.com/watch?v=zur12-IXeiU", "Video")</f>
        <v/>
      </c>
      <c r="B6294" t="inlineStr">
        <is>
          <t>8:22</t>
        </is>
      </c>
      <c r="C6294" t="inlineStr">
        <is>
          <t>and and special and a little bit weird</t>
        </is>
      </c>
      <c r="D6294">
        <f>HYPERLINK("https://www.youtube.com/watch?v=zur12-IXeiU&amp;t=502s", "Go to time")</f>
        <v/>
      </c>
    </row>
    <row r="6295">
      <c r="A6295">
        <f>HYPERLINK("https://www.youtube.com/watch?v=zur12-IXeiU", "Video")</f>
        <v/>
      </c>
      <c r="B6295" t="inlineStr">
        <is>
          <t>20:32</t>
        </is>
      </c>
      <c r="C6295" t="inlineStr">
        <is>
          <t>yeah I do want to talk a little bit</t>
        </is>
      </c>
      <c r="D6295">
        <f>HYPERLINK("https://www.youtube.com/watch?v=zur12-IXeiU&amp;t=1232s", "Go to time")</f>
        <v/>
      </c>
    </row>
    <row r="6296">
      <c r="A6296">
        <f>HYPERLINK("https://www.youtube.com/watch?v=Gp0IjCWjVK8", "Video")</f>
        <v/>
      </c>
      <c r="B6296" t="inlineStr">
        <is>
          <t>2:25</t>
        </is>
      </c>
      <c r="C6296" t="inlineStr">
        <is>
          <t>wait to see her exhibition in fact you</t>
        </is>
      </c>
      <c r="D6296">
        <f>HYPERLINK("https://www.youtube.com/watch?v=Gp0IjCWjVK8&amp;t=145s", "Go to time")</f>
        <v/>
      </c>
    </row>
    <row r="6297">
      <c r="A6297">
        <f>HYPERLINK("https://www.youtube.com/watch?v=SoxxnshYqmo", "Video")</f>
        <v/>
      </c>
      <c r="B6297" t="inlineStr">
        <is>
          <t>0:14</t>
        </is>
      </c>
      <c r="C6297" t="inlineStr">
        <is>
          <t>bite your arm off like class five class</t>
        </is>
      </c>
      <c r="D6297">
        <f>HYPERLINK("https://www.youtube.com/watch?v=SoxxnshYqmo&amp;t=14s", "Go to time")</f>
        <v/>
      </c>
    </row>
    <row r="6298">
      <c r="A6298">
        <f>HYPERLINK("https://www.youtube.com/watch?v=SoxxnshYqmo", "Video")</f>
        <v/>
      </c>
      <c r="B6298" t="inlineStr">
        <is>
          <t>0:42</t>
        </is>
      </c>
      <c r="C6298" t="inlineStr">
        <is>
          <t>uh orbit I'll talk to you guys later</t>
        </is>
      </c>
      <c r="D6298">
        <f>HYPERLINK("https://www.youtube.com/watch?v=SoxxnshYqmo&amp;t=42s", "Go to time")</f>
        <v/>
      </c>
    </row>
    <row r="6299">
      <c r="A6299">
        <f>HYPERLINK("https://www.youtube.com/watch?v=_WHdlfAJwjM", "Video")</f>
        <v/>
      </c>
      <c r="B6299" t="inlineStr">
        <is>
          <t>2:34</t>
        </is>
      </c>
      <c r="C6299" t="inlineStr">
        <is>
          <t>bit of nice Machinery there going on the</t>
        </is>
      </c>
      <c r="D6299">
        <f>HYPERLINK("https://www.youtube.com/watch?v=_WHdlfAJwjM&amp;t=154s", "Go to time")</f>
        <v/>
      </c>
    </row>
    <row r="6300">
      <c r="A6300">
        <f>HYPERLINK("https://www.youtube.com/watch?v=u6IAct0ow4c", "Video")</f>
        <v/>
      </c>
      <c r="B6300" t="inlineStr">
        <is>
          <t>0:52</t>
        </is>
      </c>
      <c r="C6300" t="inlineStr">
        <is>
          <t>the biting comment</t>
        </is>
      </c>
      <c r="D6300">
        <f>HYPERLINK("https://www.youtube.com/watch?v=u6IAct0ow4c&amp;t=52s", "Go to time")</f>
        <v/>
      </c>
    </row>
    <row r="6301">
      <c r="A6301">
        <f>HYPERLINK("https://www.youtube.com/watch?v=6PaVtrTL2ak", "Video")</f>
        <v/>
      </c>
      <c r="B6301" t="inlineStr">
        <is>
          <t>15:44</t>
        </is>
      </c>
      <c r="C6301" t="inlineStr">
        <is>
          <t>video game to real life can be a bit</t>
        </is>
      </c>
      <c r="D6301">
        <f>HYPERLINK("https://www.youtube.com/watch?v=6PaVtrTL2ak&amp;t=944s", "Go to time")</f>
        <v/>
      </c>
    </row>
    <row r="6302">
      <c r="A6302">
        <f>HYPERLINK("https://www.youtube.com/watch?v=6FaQdA4myrM", "Video")</f>
        <v/>
      </c>
      <c r="B6302" t="inlineStr">
        <is>
          <t>3:08</t>
        </is>
      </c>
      <c r="C6302" t="inlineStr">
        <is>
          <t>to get a little bitty engineering credit</t>
        </is>
      </c>
      <c r="D6302">
        <f>HYPERLINK("https://www.youtube.com/watch?v=6FaQdA4myrM&amp;t=188s", "Go to time")</f>
        <v/>
      </c>
    </row>
    <row r="6303">
      <c r="A6303">
        <f>HYPERLINK("https://www.youtube.com/watch?v=otOIqHsnQZY", "Video")</f>
        <v/>
      </c>
      <c r="B6303" t="inlineStr">
        <is>
          <t>0:48</t>
        </is>
      </c>
      <c r="C6303" t="inlineStr">
        <is>
          <t>talk to me sister rabbit Wow guess I</t>
        </is>
      </c>
      <c r="D6303">
        <f>HYPERLINK("https://www.youtube.com/watch?v=otOIqHsnQZY&amp;t=48s", "Go to time")</f>
        <v/>
      </c>
    </row>
    <row r="6304">
      <c r="A6304">
        <f>HYPERLINK("https://www.youtube.com/watch?v=kCS9kKEK_9c", "Video")</f>
        <v/>
      </c>
      <c r="B6304" t="inlineStr">
        <is>
          <t>0:30</t>
        </is>
      </c>
      <c r="C6304" t="inlineStr">
        <is>
          <t>bit but she's just angry because she's</t>
        </is>
      </c>
      <c r="D6304">
        <f>HYPERLINK("https://www.youtube.com/watch?v=kCS9kKEK_9c&amp;t=30s", "Go to time")</f>
        <v/>
      </c>
    </row>
    <row r="6305">
      <c r="A6305">
        <f>HYPERLINK("https://www.youtube.com/watch?v=kCS9kKEK_9c", "Video")</f>
        <v/>
      </c>
      <c r="B6305" t="inlineStr">
        <is>
          <t>2:50</t>
        </is>
      </c>
      <c r="C6305" t="inlineStr">
        <is>
          <t>why change the habit of a</t>
        </is>
      </c>
      <c r="D6305">
        <f>HYPERLINK("https://www.youtube.com/watch?v=kCS9kKEK_9c&amp;t=170s", "Go to time")</f>
        <v/>
      </c>
    </row>
    <row r="6306">
      <c r="A6306">
        <f>HYPERLINK("https://www.youtube.com/watch?v=SemxtZJHxEQ", "Video")</f>
        <v/>
      </c>
      <c r="B6306" t="inlineStr">
        <is>
          <t>0:32</t>
        </is>
      </c>
      <c r="C6306" t="inlineStr">
        <is>
          <t>I hate gravity and there's a bit too</t>
        </is>
      </c>
      <c r="D6306">
        <f>HYPERLINK("https://www.youtube.com/watch?v=SemxtZJHxEQ&amp;t=32s", "Go to time")</f>
        <v/>
      </c>
    </row>
    <row r="6307">
      <c r="A6307">
        <f>HYPERLINK("https://www.youtube.com/watch?v=6QNflNakJaw", "Video")</f>
        <v/>
      </c>
      <c r="B6307" t="inlineStr">
        <is>
          <t>1:57</t>
        </is>
      </c>
      <c r="C6307" t="inlineStr">
        <is>
          <t>bit people that is a resident here yeah</t>
        </is>
      </c>
      <c r="D6307">
        <f>HYPERLINK("https://www.youtube.com/watch?v=6QNflNakJaw&amp;t=117s", "Go to time")</f>
        <v/>
      </c>
    </row>
    <row r="6308">
      <c r="A6308">
        <f>HYPERLINK("https://www.youtube.com/watch?v=6QNflNakJaw", "Video")</f>
        <v/>
      </c>
      <c r="B6308" t="inlineStr">
        <is>
          <t>8:33</t>
        </is>
      </c>
      <c r="C6308" t="inlineStr">
        <is>
          <t>it and I got to see like a little bit of</t>
        </is>
      </c>
      <c r="D6308">
        <f>HYPERLINK("https://www.youtube.com/watch?v=6QNflNakJaw&amp;t=513s", "Go to time")</f>
        <v/>
      </c>
    </row>
    <row r="6309">
      <c r="A6309">
        <f>HYPERLINK("https://www.youtube.com/watch?v=6QNflNakJaw", "Video")</f>
        <v/>
      </c>
      <c r="B6309" t="inlineStr">
        <is>
          <t>33:30</t>
        </is>
      </c>
      <c r="C6309" t="inlineStr">
        <is>
          <t>little bit on this show that was like a</t>
        </is>
      </c>
      <c r="D6309">
        <f>HYPERLINK("https://www.youtube.com/watch?v=6QNflNakJaw&amp;t=2010s", "Go to time")</f>
        <v/>
      </c>
    </row>
    <row r="6310">
      <c r="A6310">
        <f>HYPERLINK("https://www.youtube.com/watch?v=6QNflNakJaw", "Video")</f>
        <v/>
      </c>
      <c r="B6310" t="inlineStr">
        <is>
          <t>37:41</t>
        </is>
      </c>
      <c r="C6310" t="inlineStr">
        <is>
          <t>a little bit of levity I think can you</t>
        </is>
      </c>
      <c r="D6310">
        <f>HYPERLINK("https://www.youtube.com/watch?v=6QNflNakJaw&amp;t=2261s", "Go to time")</f>
        <v/>
      </c>
    </row>
    <row r="6311">
      <c r="A6311">
        <f>HYPERLINK("https://www.youtube.com/watch?v=6QNflNakJaw", "Video")</f>
        <v/>
      </c>
      <c r="B6311" t="inlineStr">
        <is>
          <t>37:53</t>
        </is>
      </c>
      <c r="C6311" t="inlineStr">
        <is>
          <t>forever in this movie yeah she gets bit</t>
        </is>
      </c>
      <c r="D6311">
        <f>HYPERLINK("https://www.youtube.com/watch?v=6QNflNakJaw&amp;t=2273s", "Go to time")</f>
        <v/>
      </c>
    </row>
    <row r="6312">
      <c r="A6312">
        <f>HYPERLINK("https://www.youtube.com/watch?v=6QNflNakJaw", "Video")</f>
        <v/>
      </c>
      <c r="B6312" t="inlineStr">
        <is>
          <t>38:01</t>
        </is>
      </c>
      <c r="C6312" t="inlineStr">
        <is>
          <t>zombie bites me I'm a zombie in three</t>
        </is>
      </c>
      <c r="D6312">
        <f>HYPERLINK("https://www.youtube.com/watch?v=6QNflNakJaw&amp;t=2281s", "Go to time")</f>
        <v/>
      </c>
    </row>
    <row r="6313">
      <c r="A6313">
        <f>HYPERLINK("https://www.youtube.com/watch?v=6QNflNakJaw", "Video")</f>
        <v/>
      </c>
      <c r="B6313" t="inlineStr">
        <is>
          <t>43:09</t>
        </is>
      </c>
      <c r="C6313" t="inlineStr">
        <is>
          <t>this is a little bit it's so anime yeah</t>
        </is>
      </c>
      <c r="D6313">
        <f>HYPERLINK("https://www.youtube.com/watch?v=6QNflNakJaw&amp;t=2589s", "Go to time")</f>
        <v/>
      </c>
    </row>
    <row r="6314">
      <c r="A6314">
        <f>HYPERLINK("https://www.youtube.com/watch?v=6QNflNakJaw", "Video")</f>
        <v/>
      </c>
      <c r="B6314" t="inlineStr">
        <is>
          <t>43:20</t>
        </is>
      </c>
      <c r="C6314" t="inlineStr">
        <is>
          <t>pieces with a little bit of sinew yeah</t>
        </is>
      </c>
      <c r="D6314">
        <f>HYPERLINK("https://www.youtube.com/watch?v=6QNflNakJaw&amp;t=2600s", "Go to time")</f>
        <v/>
      </c>
    </row>
    <row r="6315">
      <c r="A6315">
        <f>HYPERLINK("https://www.youtube.com/watch?v=6QNflNakJaw", "Video")</f>
        <v/>
      </c>
      <c r="B6315" t="inlineStr">
        <is>
          <t>43:30</t>
        </is>
      </c>
      <c r="C6315" t="inlineStr">
        <is>
          <t>bit by you we all owe a debt of</t>
        </is>
      </c>
      <c r="D6315">
        <f>HYPERLINK("https://www.youtube.com/watch?v=6QNflNakJaw&amp;t=2610s", "Go to time")</f>
        <v/>
      </c>
    </row>
    <row r="6316">
      <c r="A6316">
        <f>HYPERLINK("https://www.youtube.com/watch?v=BSfg1LAaI3o", "Video")</f>
        <v/>
      </c>
      <c r="B6316" t="inlineStr">
        <is>
          <t>1:32</t>
        </is>
      </c>
      <c r="C6316" t="inlineStr">
        <is>
          <t>this photograph is Exhibit C</t>
        </is>
      </c>
      <c r="D6316">
        <f>HYPERLINK("https://www.youtube.com/watch?v=BSfg1LAaI3o&amp;t=92s", "Go to time")</f>
        <v/>
      </c>
    </row>
    <row r="6317">
      <c r="A6317">
        <f>HYPERLINK("https://www.youtube.com/watch?v=A6GPOZRg8I0", "Video")</f>
        <v/>
      </c>
      <c r="B6317" t="inlineStr">
        <is>
          <t>0:15</t>
        </is>
      </c>
      <c r="C6317" t="inlineStr">
        <is>
          <t>it bite me</t>
        </is>
      </c>
      <c r="D6317">
        <f>HYPERLINK("https://www.youtube.com/watch?v=A6GPOZRg8I0&amp;t=15s", "Go to time")</f>
        <v/>
      </c>
    </row>
    <row r="6318">
      <c r="A6318">
        <f>HYPERLINK("https://www.youtube.com/watch?v=DTqIvkm9Qq8", "Video")</f>
        <v/>
      </c>
      <c r="B6318" t="inlineStr">
        <is>
          <t>1:35</t>
        </is>
      </c>
      <c r="C6318" t="inlineStr">
        <is>
          <t>just steamed a little bit he'll be fine</t>
        </is>
      </c>
      <c r="D6318">
        <f>HYPERLINK("https://www.youtube.com/watch?v=DTqIvkm9Qq8&amp;t=95s", "Go to time")</f>
        <v/>
      </c>
    </row>
    <row r="6319">
      <c r="A6319">
        <f>HYPERLINK("https://www.youtube.com/watch?v=Afi4FhyyGiU", "Video")</f>
        <v/>
      </c>
      <c r="B6319" t="inlineStr">
        <is>
          <t>0:57</t>
        </is>
      </c>
      <c r="C6319" t="inlineStr">
        <is>
          <t>this is exhibit f</t>
        </is>
      </c>
      <c r="D6319">
        <f>HYPERLINK("https://www.youtube.com/watch?v=Afi4FhyyGiU&amp;t=57s", "Go to time")</f>
        <v/>
      </c>
    </row>
    <row r="6320">
      <c r="A6320">
        <f>HYPERLINK("https://www.youtube.com/watch?v=PeSTZVFq3YU", "Video")</f>
        <v/>
      </c>
      <c r="B6320" t="inlineStr">
        <is>
          <t>1:44</t>
        </is>
      </c>
      <c r="C6320" t="inlineStr">
        <is>
          <t>don't you come down here bite my ass and</t>
        </is>
      </c>
      <c r="D6320">
        <f>HYPERLINK("https://www.youtube.com/watch?v=PeSTZVFq3YU&amp;t=104s", "Go to time")</f>
        <v/>
      </c>
    </row>
    <row r="6321">
      <c r="A6321">
        <f>HYPERLINK("https://www.youtube.com/watch?v=hUS9Oy96YPQ", "Video")</f>
        <v/>
      </c>
      <c r="B6321" t="inlineStr">
        <is>
          <t>0:00</t>
        </is>
      </c>
      <c r="C6321" t="inlineStr">
        <is>
          <t>did not seriously think that a hobbit</t>
        </is>
      </c>
      <c r="D6321">
        <f>HYPERLINK("https://www.youtube.com/watch?v=hUS9Oy96YPQ&amp;t=0s", "Go to time")</f>
        <v/>
      </c>
    </row>
    <row r="6322">
      <c r="A6322">
        <f>HYPERLINK("https://www.youtube.com/watch?v=ROha45b6w2Y", "Video")</f>
        <v/>
      </c>
      <c r="B6322" t="inlineStr">
        <is>
          <t>0:01</t>
        </is>
      </c>
      <c r="C6322" t="inlineStr">
        <is>
          <t>hobbit could contend with the will of</t>
        </is>
      </c>
      <c r="D6322">
        <f>HYPERLINK("https://www.youtube.com/watch?v=ROha45b6w2Y&amp;t=1s", "Go to time")</f>
        <v/>
      </c>
    </row>
    <row r="6323">
      <c r="A6323">
        <f>HYPERLINK("https://www.youtube.com/watch?v=HfEjIU7Qbj8", "Video")</f>
        <v/>
      </c>
      <c r="B6323" t="inlineStr">
        <is>
          <t>0:02</t>
        </is>
      </c>
      <c r="C6323" t="inlineStr">
        <is>
          <t>to see this city a little bit you know</t>
        </is>
      </c>
      <c r="D6323">
        <f>HYPERLINK("https://www.youtube.com/watch?v=HfEjIU7Qbj8&amp;t=2s", "Go to time")</f>
        <v/>
      </c>
    </row>
    <row r="6324">
      <c r="A6324">
        <f>HYPERLINK("https://www.youtube.com/watch?v=Cs2BJ_Ken64", "Video")</f>
        <v/>
      </c>
      <c r="B6324" t="inlineStr">
        <is>
          <t>0:36</t>
        </is>
      </c>
      <c r="C6324" t="inlineStr">
        <is>
          <t>CJ yes just saying if I have to bite</t>
        </is>
      </c>
      <c r="D6324">
        <f>HYPERLINK("https://www.youtube.com/watch?v=Cs2BJ_Ken64&amp;t=36s", "Go to time")</f>
        <v/>
      </c>
    </row>
    <row r="6325">
      <c r="A6325">
        <f>HYPERLINK("https://www.youtube.com/watch?v=c7F1h_Mdgns", "Video")</f>
        <v/>
      </c>
      <c r="B6325" t="inlineStr">
        <is>
          <t>3:22</t>
        </is>
      </c>
      <c r="C6325" t="inlineStr">
        <is>
          <t>16-bit arcade game</t>
        </is>
      </c>
      <c r="D6325">
        <f>HYPERLINK("https://www.youtube.com/watch?v=c7F1h_Mdgns&amp;t=202s", "Go to time")</f>
        <v/>
      </c>
    </row>
    <row r="6326">
      <c r="A6326">
        <f>HYPERLINK("https://www.youtube.com/watch?v=PUwaPnCUnlk", "Video")</f>
        <v/>
      </c>
      <c r="B6326" t="inlineStr">
        <is>
          <t>2:16</t>
        </is>
      </c>
      <c r="C6326" t="inlineStr">
        <is>
          <t>prohibit your parents from going to the</t>
        </is>
      </c>
      <c r="D6326">
        <f>HYPERLINK("https://www.youtube.com/watch?v=PUwaPnCUnlk&amp;t=136s", "Go to time")</f>
        <v/>
      </c>
    </row>
    <row r="6327">
      <c r="A6327">
        <f>HYPERLINK("https://www.youtube.com/watch?v=PUwaPnCUnlk", "Video")</f>
        <v/>
      </c>
      <c r="B6327" t="inlineStr">
        <is>
          <t>2:31</t>
        </is>
      </c>
      <c r="C6327" t="inlineStr">
        <is>
          <t>gives even a little bit of a about</t>
        </is>
      </c>
      <c r="D6327">
        <f>HYPERLINK("https://www.youtube.com/watch?v=PUwaPnCUnlk&amp;t=151s", "Go to time")</f>
        <v/>
      </c>
    </row>
    <row r="6328">
      <c r="A6328">
        <f>HYPERLINK("https://www.youtube.com/watch?v=c3td4BmKGWk", "Video")</f>
        <v/>
      </c>
      <c r="B6328" t="inlineStr">
        <is>
          <t>1:29</t>
        </is>
      </c>
      <c r="C6328" t="inlineStr">
        <is>
          <t>I think maybe I just got bit by</t>
        </is>
      </c>
      <c r="D6328">
        <f>HYPERLINK("https://www.youtube.com/watch?v=c3td4BmKGWk&amp;t=89s", "Go to time")</f>
        <v/>
      </c>
    </row>
    <row r="6329">
      <c r="A6329">
        <f>HYPERLINK("https://www.youtube.com/watch?v=FbApqir_H28", "Video")</f>
        <v/>
      </c>
      <c r="B6329" t="inlineStr">
        <is>
          <t>1:59</t>
        </is>
      </c>
      <c r="C6329" t="inlineStr">
        <is>
          <t>will start to cut off bits of freddie's</t>
        </is>
      </c>
      <c r="D6329">
        <f>HYPERLINK("https://www.youtube.com/watch?v=FbApqir_H28&amp;t=119s", "Go to time")</f>
        <v/>
      </c>
    </row>
    <row r="6330">
      <c r="A6330">
        <f>HYPERLINK("https://www.youtube.com/watch?v=oiDgCVckixQ", "Video")</f>
        <v/>
      </c>
      <c r="B6330" t="inlineStr">
        <is>
          <t>1:24</t>
        </is>
      </c>
      <c r="C6330" t="inlineStr">
        <is>
          <t>an hour seems like a little bit of an</t>
        </is>
      </c>
      <c r="D6330">
        <f>HYPERLINK("https://www.youtube.com/watch?v=oiDgCVckixQ&amp;t=84s", "Go to time")</f>
        <v/>
      </c>
    </row>
    <row r="6331">
      <c r="A6331">
        <f>HYPERLINK("https://www.youtube.com/watch?v=PxPuEDBJsL4", "Video")</f>
        <v/>
      </c>
      <c r="B6331" t="inlineStr">
        <is>
          <t>1:36</t>
        </is>
      </c>
      <c r="C6331" t="inlineStr">
        <is>
          <t>bite unless you want me</t>
        </is>
      </c>
      <c r="D6331">
        <f>HYPERLINK("https://www.youtube.com/watch?v=PxPuEDBJsL4&amp;t=96s", "Go to time")</f>
        <v/>
      </c>
    </row>
    <row r="6332">
      <c r="A6332">
        <f>HYPERLINK("https://www.youtube.com/watch?v=PxPuEDBJsL4", "Video")</f>
        <v/>
      </c>
      <c r="B6332" t="inlineStr">
        <is>
          <t>1:47</t>
        </is>
      </c>
      <c r="C6332" t="inlineStr">
        <is>
          <t>biting iing out whatever I've been with</t>
        </is>
      </c>
      <c r="D6332">
        <f>HYPERLINK("https://www.youtube.com/watch?v=PxPuEDBJsL4&amp;t=107s", "Go to time")</f>
        <v/>
      </c>
    </row>
    <row r="6333">
      <c r="A6333">
        <f>HYPERLINK("https://www.youtube.com/watch?v=wK3kzePfiFY", "Video")</f>
        <v/>
      </c>
      <c r="B6333" t="inlineStr">
        <is>
          <t>0:23</t>
        </is>
      </c>
      <c r="C6333" t="inlineStr">
        <is>
          <t>hey uh i'm in a bit of a situation you</t>
        </is>
      </c>
      <c r="D6333">
        <f>HYPERLINK("https://www.youtube.com/watch?v=wK3kzePfiFY&amp;t=23s", "Go to time")</f>
        <v/>
      </c>
    </row>
    <row r="6334">
      <c r="A6334">
        <f>HYPERLINK("https://www.youtube.com/watch?v=hw-W_II_nh4", "Video")</f>
        <v/>
      </c>
      <c r="B6334" t="inlineStr">
        <is>
          <t>1:20</t>
        </is>
      </c>
      <c r="C6334" t="inlineStr">
        <is>
          <t>not one bit</t>
        </is>
      </c>
      <c r="D6334">
        <f>HYPERLINK("https://www.youtube.com/watch?v=hw-W_II_nh4&amp;t=80s", "Go to time")</f>
        <v/>
      </c>
    </row>
    <row r="6335">
      <c r="A6335">
        <f>HYPERLINK("https://www.youtube.com/watch?v=m6E1U3BkHXo", "Video")</f>
        <v/>
      </c>
      <c r="B6335" t="inlineStr">
        <is>
          <t>0:45</t>
        </is>
      </c>
      <c r="C6335" t="inlineStr">
        <is>
          <t>signed the papers but but not as bitter</t>
        </is>
      </c>
      <c r="D6335">
        <f>HYPERLINK("https://www.youtube.com/watch?v=m6E1U3BkHXo&amp;t=45s", "Go to time")</f>
        <v/>
      </c>
    </row>
    <row r="6336">
      <c r="A6336">
        <f>HYPERLINK("https://www.youtube.com/watch?v=m6E1U3BkHXo", "Video")</f>
        <v/>
      </c>
      <c r="B6336" t="inlineStr">
        <is>
          <t>0:48</t>
        </is>
      </c>
      <c r="C6336" t="inlineStr">
        <is>
          <t>not as bitter not as bitter I think it</t>
        </is>
      </c>
      <c r="D6336">
        <f>HYPERLINK("https://www.youtube.com/watch?v=m6E1U3BkHXo&amp;t=48s", "Go to time")</f>
        <v/>
      </c>
    </row>
    <row r="6337">
      <c r="A6337">
        <f>HYPERLINK("https://www.youtube.com/watch?v=m6E1U3BkHXo", "Video")</f>
        <v/>
      </c>
      <c r="B6337" t="inlineStr">
        <is>
          <t>3:18</t>
        </is>
      </c>
      <c r="C6337" t="inlineStr">
        <is>
          <t>it good and this is exhibit a so uh this</t>
        </is>
      </c>
      <c r="D6337">
        <f>HYPERLINK("https://www.youtube.com/watch?v=m6E1U3BkHXo&amp;t=198s", "Go to time")</f>
        <v/>
      </c>
    </row>
    <row r="6338">
      <c r="A6338">
        <f>HYPERLINK("https://www.youtube.com/watch?v=m6E1U3BkHXo", "Video")</f>
        <v/>
      </c>
      <c r="B6338" t="inlineStr">
        <is>
          <t>4:51</t>
        </is>
      </c>
      <c r="C6338" t="inlineStr">
        <is>
          <t>like peel it back a little bit ego</t>
        </is>
      </c>
      <c r="D6338">
        <f>HYPERLINK("https://www.youtube.com/watch?v=m6E1U3BkHXo&amp;t=291s", "Go to time")</f>
        <v/>
      </c>
    </row>
    <row r="6339">
      <c r="A6339">
        <f>HYPERLINK("https://www.youtube.com/watch?v=m6E1U3BkHXo", "Video")</f>
        <v/>
      </c>
      <c r="B6339" t="inlineStr">
        <is>
          <t>8:07</t>
        </is>
      </c>
      <c r="C6339" t="inlineStr">
        <is>
          <t>setting in and exhibit a was the</t>
        </is>
      </c>
      <c r="D6339">
        <f>HYPERLINK("https://www.youtube.com/watch?v=m6E1U3BkHXo&amp;t=487s", "Go to time")</f>
        <v/>
      </c>
    </row>
    <row r="6340">
      <c r="A6340">
        <f>HYPERLINK("https://www.youtube.com/watch?v=m6E1U3BkHXo", "Video")</f>
        <v/>
      </c>
      <c r="B6340" t="inlineStr">
        <is>
          <t>17:16</t>
        </is>
      </c>
      <c r="C6340" t="inlineStr">
        <is>
          <t>little bit of caution in a way that you</t>
        </is>
      </c>
      <c r="D6340">
        <f>HYPERLINK("https://www.youtube.com/watch?v=m6E1U3BkHXo&amp;t=1036s", "Go to time")</f>
        <v/>
      </c>
    </row>
    <row r="6341">
      <c r="A6341">
        <f>HYPERLINK("https://www.youtube.com/watch?v=m6E1U3BkHXo", "Video")</f>
        <v/>
      </c>
      <c r="B6341" t="inlineStr">
        <is>
          <t>26:20</t>
        </is>
      </c>
      <c r="C6341" t="inlineStr">
        <is>
          <t>bit rematch which I love they did and</t>
        </is>
      </c>
      <c r="D6341">
        <f>HYPERLINK("https://www.youtube.com/watch?v=m6E1U3BkHXo&amp;t=1580s", "Go to time")</f>
        <v/>
      </c>
    </row>
    <row r="6342">
      <c r="A6342">
        <f>HYPERLINK("https://www.youtube.com/watch?v=m6E1U3BkHXo", "Video")</f>
        <v/>
      </c>
      <c r="B6342" t="inlineStr">
        <is>
          <t>29:24</t>
        </is>
      </c>
      <c r="C6342" t="inlineStr">
        <is>
          <t>movie stars but had had a little bit of</t>
        </is>
      </c>
      <c r="D6342">
        <f>HYPERLINK("https://www.youtube.com/watch?v=m6E1U3BkHXo&amp;t=1764s", "Go to time")</f>
        <v/>
      </c>
    </row>
    <row r="6343">
      <c r="A6343">
        <f>HYPERLINK("https://www.youtube.com/watch?v=Oshn_Xi4gVo", "Video")</f>
        <v/>
      </c>
      <c r="B6343" t="inlineStr">
        <is>
          <t>0:16</t>
        </is>
      </c>
      <c r="C6343" t="inlineStr">
        <is>
          <t>a bit you know you've been talking a lot</t>
        </is>
      </c>
      <c r="D6343">
        <f>HYPERLINK("https://www.youtube.com/watch?v=Oshn_Xi4gVo&amp;t=16s", "Go to time")</f>
        <v/>
      </c>
    </row>
    <row r="6344">
      <c r="A6344">
        <f>HYPERLINK("https://www.youtube.com/watch?v=Q-ABzsALkYs", "Video")</f>
        <v/>
      </c>
      <c r="B6344" t="inlineStr">
        <is>
          <t>1:16</t>
        </is>
      </c>
      <c r="C6344" t="inlineStr">
        <is>
          <t>we wanted to the movies ran a little bit</t>
        </is>
      </c>
      <c r="D6344">
        <f>HYPERLINK("https://www.youtube.com/watch?v=Q-ABzsALkYs&amp;t=76s", "Go to time")</f>
        <v/>
      </c>
    </row>
    <row r="6345">
      <c r="A6345">
        <f>HYPERLINK("https://www.youtube.com/watch?v=WOgUeaDuysY", "Video")</f>
        <v/>
      </c>
      <c r="B6345" t="inlineStr">
        <is>
          <t>0:01</t>
        </is>
      </c>
      <c r="C6345" t="inlineStr">
        <is>
          <t>now that's a bit of a problem see rumor</t>
        </is>
      </c>
      <c r="D6345">
        <f>HYPERLINK("https://www.youtube.com/watch?v=WOgUeaDuysY&amp;t=1s", "Go to time")</f>
        <v/>
      </c>
    </row>
    <row r="6346">
      <c r="A6346">
        <f>HYPERLINK("https://www.youtube.com/watch?v=RxpJzxBuoiw", "Video")</f>
        <v/>
      </c>
      <c r="B6346" t="inlineStr">
        <is>
          <t>3:45</t>
        </is>
      </c>
      <c r="C6346" t="inlineStr">
        <is>
          <t>the sack biting scratching panting</t>
        </is>
      </c>
      <c r="D6346">
        <f>HYPERLINK("https://www.youtube.com/watch?v=RxpJzxBuoiw&amp;t=225s", "Go to time")</f>
        <v/>
      </c>
    </row>
    <row r="6347">
      <c r="A6347">
        <f>HYPERLINK("https://www.youtube.com/watch?v=3vAHgVGifaM", "Video")</f>
        <v/>
      </c>
      <c r="B6347" t="inlineStr">
        <is>
          <t>1:07</t>
        </is>
      </c>
      <c r="C6347" t="inlineStr">
        <is>
          <t>with a little bit more than just</t>
        </is>
      </c>
      <c r="D6347">
        <f>HYPERLINK("https://www.youtube.com/watch?v=3vAHgVGifaM&amp;t=67s", "Go to time")</f>
        <v/>
      </c>
    </row>
    <row r="6348">
      <c r="A6348">
        <f>HYPERLINK("https://www.youtube.com/watch?v=XLYAz6yuJOk", "Video")</f>
        <v/>
      </c>
      <c r="B6348" t="inlineStr">
        <is>
          <t>20:37</t>
        </is>
      </c>
      <c r="C6348" t="inlineStr">
        <is>
          <t>if you're available for a bit of a</t>
        </is>
      </c>
      <c r="D6348">
        <f>HYPERLINK("https://www.youtube.com/watch?v=XLYAz6yuJOk&amp;t=1237s", "Go to time")</f>
        <v/>
      </c>
    </row>
    <row r="6349">
      <c r="A6349">
        <f>HYPERLINK("https://www.youtube.com/watch?v=QsP5Y1-eUIM", "Video")</f>
        <v/>
      </c>
      <c r="B6349" t="inlineStr">
        <is>
          <t>0:39</t>
        </is>
      </c>
      <c r="C6349" t="inlineStr">
        <is>
          <t>blur Hey temporary exhibit and they</t>
        </is>
      </c>
      <c r="D6349">
        <f>HYPERLINK("https://www.youtube.com/watch?v=QsP5Y1-eUIM&amp;t=39s", "Go to time")</f>
        <v/>
      </c>
    </row>
    <row r="6350">
      <c r="A6350">
        <f>HYPERLINK("https://www.youtube.com/watch?v=QsP5Y1-eUIM", "Video")</f>
        <v/>
      </c>
      <c r="B6350" t="inlineStr">
        <is>
          <t>2:59</t>
        </is>
      </c>
      <c r="C6350" t="inlineStr">
        <is>
          <t>exhibit we wouldn't have been able to</t>
        </is>
      </c>
      <c r="D6350">
        <f>HYPERLINK("https://www.youtube.com/watch?v=QsP5Y1-eUIM&amp;t=179s", "Go to time")</f>
        <v/>
      </c>
    </row>
    <row r="6351">
      <c r="A6351">
        <f>HYPERLINK("https://www.youtube.com/watch?v=86Ykxi0Ju-k", "Video")</f>
        <v/>
      </c>
      <c r="B6351" t="inlineStr">
        <is>
          <t>1:12</t>
        </is>
      </c>
      <c r="C6351" t="inlineStr">
        <is>
          <t>out I know a little bit about</t>
        </is>
      </c>
      <c r="D6351">
        <f>HYPERLINK("https://www.youtube.com/watch?v=86Ykxi0Ju-k&amp;t=72s", "Go to time")</f>
        <v/>
      </c>
    </row>
    <row r="6352">
      <c r="A6352">
        <f>HYPERLINK("https://www.youtube.com/watch?v=86Ykxi0Ju-k", "Video")</f>
        <v/>
      </c>
      <c r="B6352" t="inlineStr">
        <is>
          <t>2:08</t>
        </is>
      </c>
      <c r="C6352" t="inlineStr">
        <is>
          <t>love you could use a bit of that right</t>
        </is>
      </c>
      <c r="D6352">
        <f>HYPERLINK("https://www.youtube.com/watch?v=86Ykxi0Ju-k&amp;t=128s", "Go to time")</f>
        <v/>
      </c>
    </row>
    <row r="6353">
      <c r="A6353">
        <f>HYPERLINK("https://www.youtube.com/watch?v=4ctztvp7DbE", "Video")</f>
        <v/>
      </c>
      <c r="B6353" t="inlineStr">
        <is>
          <t>0:39</t>
        </is>
      </c>
      <c r="C6353" t="inlineStr">
        <is>
          <t>so I got bit by a dog that has RAB</t>
        </is>
      </c>
      <c r="D6353">
        <f>HYPERLINK("https://www.youtube.com/watch?v=4ctztvp7DbE&amp;t=39s", "Go to time")</f>
        <v/>
      </c>
    </row>
    <row r="6354">
      <c r="A6354">
        <f>HYPERLINK("https://www.youtube.com/watch?v=0wepvltASVk", "Video")</f>
        <v/>
      </c>
      <c r="B6354" t="inlineStr">
        <is>
          <t>14:02</t>
        </is>
      </c>
      <c r="C6354" t="inlineStr">
        <is>
          <t>Seems there's a little bit of under cord</t>
        </is>
      </c>
      <c r="D6354">
        <f>HYPERLINK("https://www.youtube.com/watch?v=0wepvltASVk&amp;t=842s", "Go to time")</f>
        <v/>
      </c>
    </row>
    <row r="6355">
      <c r="A6355">
        <f>HYPERLINK("https://www.youtube.com/watch?v=0wepvltASVk", "Video")</f>
        <v/>
      </c>
      <c r="B6355" t="inlineStr">
        <is>
          <t>14:25</t>
        </is>
      </c>
      <c r="C6355" t="inlineStr">
        <is>
          <t>bite back talk about that one because</t>
        </is>
      </c>
      <c r="D6355">
        <f>HYPERLINK("https://www.youtube.com/watch?v=0wepvltASVk&amp;t=865s", "Go to time")</f>
        <v/>
      </c>
    </row>
    <row r="6356">
      <c r="A6356">
        <f>HYPERLINK("https://www.youtube.com/watch?v=0wepvltASVk", "Video")</f>
        <v/>
      </c>
      <c r="B6356" t="inlineStr">
        <is>
          <t>15:21</t>
        </is>
      </c>
      <c r="C6356" t="inlineStr">
        <is>
          <t>that is a little bit more felt through</t>
        </is>
      </c>
      <c r="D6356">
        <f>HYPERLINK("https://www.youtube.com/watch?v=0wepvltASVk&amp;t=921s", "Go to time")</f>
        <v/>
      </c>
    </row>
    <row r="6357">
      <c r="A6357">
        <f>HYPERLINK("https://www.youtube.com/watch?v=3ZvUOvfEpEU", "Video")</f>
        <v/>
      </c>
      <c r="B6357" t="inlineStr">
        <is>
          <t>0:45</t>
        </is>
      </c>
      <c r="C6357" t="inlineStr">
        <is>
          <t>houses inner outer a little bit of</t>
        </is>
      </c>
      <c r="D6357">
        <f>HYPERLINK("https://www.youtube.com/watch?v=3ZvUOvfEpEU&amp;t=45s", "Go to time")</f>
        <v/>
      </c>
    </row>
    <row r="6358">
      <c r="A6358">
        <f>HYPERLINK("https://www.youtube.com/watch?v=IXyMkCDTmfA", "Video")</f>
        <v/>
      </c>
      <c r="B6358" t="inlineStr">
        <is>
          <t>1:43</t>
        </is>
      </c>
      <c r="C6358" t="inlineStr">
        <is>
          <t>him down a really deep dark rabbit hole</t>
        </is>
      </c>
      <c r="D6358">
        <f>HYPERLINK("https://www.youtube.com/watch?v=IXyMkCDTmfA&amp;t=103s", "Go to time")</f>
        <v/>
      </c>
    </row>
    <row r="6359">
      <c r="A6359">
        <f>HYPERLINK("https://www.youtube.com/watch?v=6UdwETNK-gA", "Video")</f>
        <v/>
      </c>
      <c r="B6359" t="inlineStr">
        <is>
          <t>0:19</t>
        </is>
      </c>
      <c r="C6359" t="inlineStr">
        <is>
          <t>ambition do you know what that</t>
        </is>
      </c>
      <c r="D6359">
        <f>HYPERLINK("https://www.youtube.com/watch?v=6UdwETNK-gA&amp;t=19s", "Go to time")</f>
        <v/>
      </c>
    </row>
    <row r="6360">
      <c r="A6360">
        <f>HYPERLINK("https://www.youtube.com/watch?v=__7NUrkFirA", "Video")</f>
        <v/>
      </c>
      <c r="B6360" t="inlineStr">
        <is>
          <t>1:49</t>
        </is>
      </c>
      <c r="C6360" t="inlineStr">
        <is>
          <t>Wilbur one bit</t>
        </is>
      </c>
      <c r="D6360">
        <f>HYPERLINK("https://www.youtube.com/watch?v=__7NUrkFirA&amp;t=109s", "Go to time")</f>
        <v/>
      </c>
    </row>
    <row r="6361">
      <c r="A6361">
        <f>HYPERLINK("https://www.youtube.com/watch?v=TK3S3bZEwNQ", "Video")</f>
        <v/>
      </c>
      <c r="B6361" t="inlineStr">
        <is>
          <t>1:39</t>
        </is>
      </c>
      <c r="C6361" t="inlineStr">
        <is>
          <t>and it's going to bite you on</t>
        </is>
      </c>
      <c r="D6361">
        <f>HYPERLINK("https://www.youtube.com/watch?v=TK3S3bZEwNQ&amp;t=99s", "Go to time")</f>
        <v/>
      </c>
    </row>
    <row r="6362">
      <c r="A6362">
        <f>HYPERLINK("https://www.youtube.com/watch?v=x_6ZpxB4xIc", "Video")</f>
        <v/>
      </c>
      <c r="B6362" t="inlineStr">
        <is>
          <t>1:47</t>
        </is>
      </c>
      <c r="C6362" t="inlineStr">
        <is>
          <t>10,000 movie I can name to you Lubitsch</t>
        </is>
      </c>
      <c r="D6362">
        <f>HYPERLINK("https://www.youtube.com/watch?v=x_6ZpxB4xIc&amp;t=107s", "Go to time")</f>
        <v/>
      </c>
    </row>
    <row r="6363">
      <c r="A6363">
        <f>HYPERLINK("https://www.youtube.com/watch?v=oIBOQ1GT3GE", "Video")</f>
        <v/>
      </c>
      <c r="B6363" t="inlineStr">
        <is>
          <t>0:20</t>
        </is>
      </c>
      <c r="C6363" t="inlineStr">
        <is>
          <t>tiny little bit</t>
        </is>
      </c>
      <c r="D6363">
        <f>HYPERLINK("https://www.youtube.com/watch?v=oIBOQ1GT3GE&amp;t=20s", "Go to time")</f>
        <v/>
      </c>
    </row>
    <row r="6364">
      <c r="A6364">
        <f>HYPERLINK("https://www.youtube.com/watch?v=1ducf3XJJ5c", "Video")</f>
        <v/>
      </c>
      <c r="B6364" t="inlineStr">
        <is>
          <t>8:29</t>
        </is>
      </c>
      <c r="C6364" t="inlineStr">
        <is>
          <t>April O'Neil A Little Bit of Love Story</t>
        </is>
      </c>
      <c r="D6364">
        <f>HYPERLINK("https://www.youtube.com/watch?v=1ducf3XJJ5c&amp;t=509s", "Go to time")</f>
        <v/>
      </c>
    </row>
    <row r="6365">
      <c r="A6365">
        <f>HYPERLINK("https://www.youtube.com/watch?v=1ducf3XJJ5c", "Video")</f>
        <v/>
      </c>
      <c r="B6365" t="inlineStr">
        <is>
          <t>11:12</t>
        </is>
      </c>
      <c r="C6365" t="inlineStr">
        <is>
          <t>it's like can you tell me a little bit</t>
        </is>
      </c>
      <c r="D6365">
        <f>HYPERLINK("https://www.youtube.com/watch?v=1ducf3XJJ5c&amp;t=672s", "Go to time")</f>
        <v/>
      </c>
    </row>
    <row r="6366">
      <c r="A6366">
        <f>HYPERLINK("https://www.youtube.com/watch?v=1ducf3XJJ5c", "Video")</f>
        <v/>
      </c>
      <c r="B6366" t="inlineStr">
        <is>
          <t>17:28</t>
        </is>
      </c>
      <c r="C6366" t="inlineStr">
        <is>
          <t>play with you for a little bit and then</t>
        </is>
      </c>
      <c r="D6366">
        <f>HYPERLINK("https://www.youtube.com/watch?v=1ducf3XJJ5c&amp;t=1048s", "Go to time")</f>
        <v/>
      </c>
    </row>
    <row r="6367">
      <c r="A6367">
        <f>HYPERLINK("https://www.youtube.com/watch?v=1ducf3XJJ5c", "Video")</f>
        <v/>
      </c>
      <c r="B6367" t="inlineStr">
        <is>
          <t>18:40</t>
        </is>
      </c>
      <c r="C6367" t="inlineStr">
        <is>
          <t>selling me on that a little bit but</t>
        </is>
      </c>
      <c r="D6367">
        <f>HYPERLINK("https://www.youtube.com/watch?v=1ducf3XJJ5c&amp;t=1120s", "Go to time")</f>
        <v/>
      </c>
    </row>
    <row r="6368">
      <c r="A6368">
        <f>HYPERLINK("https://www.youtube.com/watch?v=1ducf3XJJ5c", "Video")</f>
        <v/>
      </c>
      <c r="B6368" t="inlineStr">
        <is>
          <t>19:37</t>
        </is>
      </c>
      <c r="C6368" t="inlineStr">
        <is>
          <t>the bits if you want I love the scene</t>
        </is>
      </c>
      <c r="D6368">
        <f>HYPERLINK("https://www.youtube.com/watch?v=1ducf3XJJ5c&amp;t=1177s", "Go to time")</f>
        <v/>
      </c>
    </row>
    <row r="6369">
      <c r="A6369">
        <f>HYPERLINK("https://www.youtube.com/watch?v=1ducf3XJJ5c", "Video")</f>
        <v/>
      </c>
      <c r="B6369" t="inlineStr">
        <is>
          <t>41:29</t>
        </is>
      </c>
      <c r="C6369" t="inlineStr">
        <is>
          <t>bit about this that I talk about it's</t>
        </is>
      </c>
      <c r="D6369">
        <f>HYPERLINK("https://www.youtube.com/watch?v=1ducf3XJJ5c&amp;t=2489s", "Go to time")</f>
        <v/>
      </c>
    </row>
    <row r="6370">
      <c r="A6370">
        <f>HYPERLINK("https://www.youtube.com/watch?v=-XnKUIdXZoU", "Video")</f>
        <v/>
      </c>
      <c r="B6370" t="inlineStr">
        <is>
          <t>0:28</t>
        </is>
      </c>
      <c r="C6370" t="inlineStr">
        <is>
          <t>anyway as you can see see I'm in a a bit</t>
        </is>
      </c>
      <c r="D6370">
        <f>HYPERLINK("https://www.youtube.com/watch?v=-XnKUIdXZoU&amp;t=28s", "Go to time")</f>
        <v/>
      </c>
    </row>
    <row r="6371">
      <c r="A6371">
        <f>HYPERLINK("https://www.youtube.com/watch?v=OlrVdRSo2gU", "Video")</f>
        <v/>
      </c>
      <c r="B6371" t="inlineStr">
        <is>
          <t>0:56</t>
        </is>
      </c>
      <c r="C6371" t="inlineStr">
        <is>
          <t>because I'm feeling a little bit peckish</t>
        </is>
      </c>
      <c r="D6371">
        <f>HYPERLINK("https://www.youtube.com/watch?v=OlrVdRSo2gU&amp;t=56s", "Go to time")</f>
        <v/>
      </c>
    </row>
    <row r="6372">
      <c r="A6372">
        <f>HYPERLINK("https://www.youtube.com/watch?v=IC2YuJt2gnE", "Video")</f>
        <v/>
      </c>
      <c r="B6372" t="inlineStr">
        <is>
          <t>1:31</t>
        </is>
      </c>
      <c r="C6372" t="inlineStr">
        <is>
          <t>and bite a big chunk</t>
        </is>
      </c>
      <c r="D6372">
        <f>HYPERLINK("https://www.youtube.com/watch?v=IC2YuJt2gnE&amp;t=91s", "Go to time")</f>
        <v/>
      </c>
    </row>
    <row r="6373">
      <c r="A6373">
        <f>HYPERLINK("https://www.youtube.com/watch?v=JvBWhPw3zJs", "Video")</f>
        <v/>
      </c>
      <c r="B6373" t="inlineStr">
        <is>
          <t>1:10</t>
        </is>
      </c>
      <c r="C6373" t="inlineStr">
        <is>
          <t>got two bits of advice for you munson</t>
        </is>
      </c>
      <c r="D6373">
        <f>HYPERLINK("https://www.youtube.com/watch?v=JvBWhPw3zJs&amp;t=70s", "Go to time")</f>
        <v/>
      </c>
    </row>
    <row r="6374">
      <c r="A6374">
        <f>HYPERLINK("https://www.youtube.com/watch?v=EVXeViwmBXg", "Video")</f>
        <v/>
      </c>
      <c r="B6374" t="inlineStr">
        <is>
          <t>1:14</t>
        </is>
      </c>
      <c r="C6374" t="inlineStr">
        <is>
          <t>the rabit Tak what's your status we got</t>
        </is>
      </c>
      <c r="D6374">
        <f>HYPERLINK("https://www.youtube.com/watch?v=EVXeViwmBXg&amp;t=74s", "Go to time")</f>
        <v/>
      </c>
    </row>
    <row r="6375">
      <c r="A6375">
        <f>HYPERLINK("https://www.youtube.com/watch?v=dU0q2Z3P430", "Video")</f>
        <v/>
      </c>
      <c r="B6375" t="inlineStr">
        <is>
          <t>1:12</t>
        </is>
      </c>
      <c r="C6375" t="inlineStr">
        <is>
          <t>apparently Tony he had a little bit of a</t>
        </is>
      </c>
      <c r="D6375">
        <f>HYPERLINK("https://www.youtube.com/watch?v=dU0q2Z3P430&amp;t=72s", "Go to time")</f>
        <v/>
      </c>
    </row>
    <row r="6376">
      <c r="A6376">
        <f>HYPERLINK("https://www.youtube.com/watch?v=tOzPGEb0EUs", "Video")</f>
        <v/>
      </c>
      <c r="B6376" t="inlineStr">
        <is>
          <t>1:39</t>
        </is>
      </c>
      <c r="C6376" t="inlineStr">
        <is>
          <t>rabbit hole</t>
        </is>
      </c>
      <c r="D6376">
        <f>HYPERLINK("https://www.youtube.com/watch?v=tOzPGEb0EUs&amp;t=99s", "Go to time")</f>
        <v/>
      </c>
    </row>
    <row r="6377">
      <c r="A6377">
        <f>HYPERLINK("https://www.youtube.com/watch?v=duwHN5ziqG8", "Video")</f>
        <v/>
      </c>
      <c r="B6377" t="inlineStr">
        <is>
          <t>0:35</t>
        </is>
      </c>
      <c r="C6377" t="inlineStr">
        <is>
          <t>actually on a bit of a time crunch so if</t>
        </is>
      </c>
      <c r="D6377">
        <f>HYPERLINK("https://www.youtube.com/watch?v=duwHN5ziqG8&amp;t=35s", "Go to time")</f>
        <v/>
      </c>
    </row>
    <row r="6378">
      <c r="A6378">
        <f>HYPERLINK("https://www.youtube.com/watch?v=AejXca2vaQM", "Video")</f>
        <v/>
      </c>
      <c r="B6378" t="inlineStr">
        <is>
          <t>1:10</t>
        </is>
      </c>
      <c r="C6378" t="inlineStr">
        <is>
          <t>fellow inhabitants what makes you human</t>
        </is>
      </c>
      <c r="D6378">
        <f>HYPERLINK("https://www.youtube.com/watch?v=AejXca2vaQM&amp;t=70s", "Go to time")</f>
        <v/>
      </c>
    </row>
    <row r="6379">
      <c r="A6379">
        <f>HYPERLINK("https://www.youtube.com/watch?v=ORpZ7_cGAQg", "Video")</f>
        <v/>
      </c>
      <c r="B6379" t="inlineStr">
        <is>
          <t>1:01</t>
        </is>
      </c>
      <c r="C6379" t="inlineStr">
        <is>
          <t>smoke smoke we're here bit are you okay</t>
        </is>
      </c>
      <c r="D6379">
        <f>HYPERLINK("https://www.youtube.com/watch?v=ORpZ7_cGAQg&amp;t=61s", "Go to time")</f>
        <v/>
      </c>
    </row>
    <row r="6380">
      <c r="A6380">
        <f>HYPERLINK("https://www.youtube.com/watch?v=YBkQNTka6Ns", "Video")</f>
        <v/>
      </c>
      <c r="B6380" t="inlineStr">
        <is>
          <t>0:03</t>
        </is>
      </c>
      <c r="C6380" t="inlineStr">
        <is>
          <t>warming up a little bit</t>
        </is>
      </c>
      <c r="D6380">
        <f>HYPERLINK("https://www.youtube.com/watch?v=YBkQNTka6Ns&amp;t=3s", "Go to time")</f>
        <v/>
      </c>
    </row>
    <row r="6381">
      <c r="A6381">
        <f>HYPERLINK("https://www.youtube.com/watch?v=OvQctA3xsoE", "Video")</f>
        <v/>
      </c>
      <c r="B6381" t="inlineStr">
        <is>
          <t>1:33</t>
        </is>
      </c>
      <c r="C6381" t="inlineStr">
        <is>
          <t>tell you we got a bit over the Carolyn's</t>
        </is>
      </c>
      <c r="D6381">
        <f>HYPERLINK("https://www.youtube.com/watch?v=OvQctA3xsoE&amp;t=93s", "Go to time")</f>
        <v/>
      </c>
    </row>
    <row r="6382">
      <c r="A6382">
        <f>HYPERLINK("https://www.youtube.com/watch?v=6WNhM2e3zFE", "Video")</f>
        <v/>
      </c>
      <c r="B6382" t="inlineStr">
        <is>
          <t>0:30</t>
        </is>
      </c>
      <c r="C6382" t="inlineStr">
        <is>
          <t>can't fix anything hey bite down on this</t>
        </is>
      </c>
      <c r="D6382">
        <f>HYPERLINK("https://www.youtube.com/watch?v=6WNhM2e3zFE&amp;t=30s", "Go to time")</f>
        <v/>
      </c>
    </row>
    <row r="6383">
      <c r="A6383">
        <f>HYPERLINK("https://www.youtube.com/watch?v=GhxCZMFE2xA", "Video")</f>
        <v/>
      </c>
      <c r="B6383" t="inlineStr">
        <is>
          <t>0:52</t>
        </is>
      </c>
      <c r="C6383" t="inlineStr">
        <is>
          <t>little bit but would Jimmy Hendrick</t>
        </is>
      </c>
      <c r="D6383">
        <f>HYPERLINK("https://www.youtube.com/watch?v=GhxCZMFE2xA&amp;t=52s", "Go to time")</f>
        <v/>
      </c>
    </row>
    <row r="6384">
      <c r="A6384">
        <f>HYPERLINK("https://www.youtube.com/watch?v=38YwOQv-lDI", "Video")</f>
        <v/>
      </c>
      <c r="B6384" t="inlineStr">
        <is>
          <t>0:37</t>
        </is>
      </c>
      <c r="C6384" t="inlineStr">
        <is>
          <t>showing the rifle for the inspection bit</t>
        </is>
      </c>
      <c r="D6384">
        <f>HYPERLINK("https://www.youtube.com/watch?v=38YwOQv-lDI&amp;t=37s", "Go to time")</f>
        <v/>
      </c>
    </row>
    <row r="6385">
      <c r="A6385">
        <f>HYPERLINK("https://www.youtube.com/watch?v=4HpniUYo14w", "Video")</f>
        <v/>
      </c>
      <c r="B6385" t="inlineStr">
        <is>
          <t>1:50</t>
        </is>
      </c>
      <c r="C6385" t="inlineStr">
        <is>
          <t>his eyes seem to be a little bit odd</t>
        </is>
      </c>
      <c r="D6385">
        <f>HYPERLINK("https://www.youtube.com/watch?v=4HpniUYo14w&amp;t=110s", "Go to time")</f>
        <v/>
      </c>
    </row>
    <row r="6386">
      <c r="A6386">
        <f>HYPERLINK("https://www.youtube.com/watch?v=4HpniUYo14w", "Video")</f>
        <v/>
      </c>
      <c r="B6386" t="inlineStr">
        <is>
          <t>1:54</t>
        </is>
      </c>
      <c r="C6386" t="inlineStr">
        <is>
          <t>yeah there's something a little bit</t>
        </is>
      </c>
      <c r="D6386">
        <f>HYPERLINK("https://www.youtube.com/watch?v=4HpniUYo14w&amp;t=114s", "Go to time")</f>
        <v/>
      </c>
    </row>
    <row r="6387">
      <c r="A6387">
        <f>HYPERLINK("https://www.youtube.com/watch?v=8m5ZkaAUAhA", "Video")</f>
        <v/>
      </c>
      <c r="B6387" t="inlineStr">
        <is>
          <t>1:54</t>
        </is>
      </c>
      <c r="C6387" t="inlineStr">
        <is>
          <t>girl named Reagan who starts exhibiting</t>
        </is>
      </c>
      <c r="D6387">
        <f>HYPERLINK("https://www.youtube.com/watch?v=8m5ZkaAUAhA&amp;t=114s", "Go to time")</f>
        <v/>
      </c>
    </row>
    <row r="6388">
      <c r="A6388">
        <f>HYPERLINK("https://www.youtube.com/watch?v=8m5ZkaAUAhA", "Video")</f>
        <v/>
      </c>
      <c r="B6388" t="inlineStr">
        <is>
          <t>9:13</t>
        </is>
      </c>
      <c r="C6388" t="inlineStr">
        <is>
          <t>evil spirits inhabiting the home Anson's</t>
        </is>
      </c>
      <c r="D6388">
        <f>HYPERLINK("https://www.youtube.com/watch?v=8m5ZkaAUAhA&amp;t=553s", "Go to time")</f>
        <v/>
      </c>
    </row>
    <row r="6389">
      <c r="A6389">
        <f>HYPERLINK("https://www.youtube.com/watch?v=7pbfS7O1hEQ", "Video")</f>
        <v/>
      </c>
      <c r="B6389" t="inlineStr">
        <is>
          <t>2:43</t>
        </is>
      </c>
      <c r="C6389" t="inlineStr">
        <is>
          <t>go bit</t>
        </is>
      </c>
      <c r="D6389">
        <f>HYPERLINK("https://www.youtube.com/watch?v=7pbfS7O1hEQ&amp;t=163s", "Go to time")</f>
        <v/>
      </c>
    </row>
    <row r="6390">
      <c r="A6390">
        <f>HYPERLINK("https://www.youtube.com/watch?v=fMLP4MO0vT8", "Video")</f>
        <v/>
      </c>
      <c r="B6390" t="inlineStr">
        <is>
          <t>1:38</t>
        </is>
      </c>
      <c r="C6390" t="inlineStr">
        <is>
          <t>ass down hey Tabitha what</t>
        </is>
      </c>
      <c r="D6390">
        <f>HYPERLINK("https://www.youtube.com/watch?v=fMLP4MO0vT8&amp;t=98s", "Go to time")</f>
        <v/>
      </c>
    </row>
    <row r="6391">
      <c r="A6391">
        <f>HYPERLINK("https://www.youtube.com/watch?v=YeVSz1XkyMw", "Video")</f>
        <v/>
      </c>
      <c r="B6391" t="inlineStr">
        <is>
          <t>0:39</t>
        </is>
      </c>
      <c r="C6391" t="inlineStr">
        <is>
          <t>it into in December he was in a bit of a</t>
        </is>
      </c>
      <c r="D6391">
        <f>HYPERLINK("https://www.youtube.com/watch?v=YeVSz1XkyMw&amp;t=39s", "Go to time")</f>
        <v/>
      </c>
    </row>
    <row r="6392">
      <c r="A6392">
        <f>HYPERLINK("https://www.youtube.com/watch?v=ZvoGMFCXQE8", "Video")</f>
        <v/>
      </c>
      <c r="B6392" t="inlineStr">
        <is>
          <t>4:55</t>
        </is>
      </c>
      <c r="C6392" t="inlineStr">
        <is>
          <t>bit obsessed I will say that watching</t>
        </is>
      </c>
      <c r="D6392">
        <f>HYPERLINK("https://www.youtube.com/watch?v=ZvoGMFCXQE8&amp;t=295s", "Go to time")</f>
        <v/>
      </c>
    </row>
    <row r="6393">
      <c r="A6393">
        <f>HYPERLINK("https://www.youtube.com/watch?v=ZvoGMFCXQE8", "Video")</f>
        <v/>
      </c>
      <c r="B6393" t="inlineStr">
        <is>
          <t>5:16</t>
        </is>
      </c>
      <c r="C6393" t="inlineStr">
        <is>
          <t>into pop culture you know like Hobbits</t>
        </is>
      </c>
      <c r="D6393">
        <f>HYPERLINK("https://www.youtube.com/watch?v=ZvoGMFCXQE8&amp;t=316s", "Go to time")</f>
        <v/>
      </c>
    </row>
    <row r="6394">
      <c r="A6394">
        <f>HYPERLINK("https://www.youtube.com/watch?v=hzKOPCOwdFc", "Video")</f>
        <v/>
      </c>
      <c r="B6394" t="inlineStr">
        <is>
          <t>1:27</t>
        </is>
      </c>
      <c r="C6394" t="inlineStr">
        <is>
          <t>what at only a bit 15 there should be a</t>
        </is>
      </c>
      <c r="D6394">
        <f>HYPERLINK("https://www.youtube.com/watch?v=hzKOPCOwdFc&amp;t=87s", "Go to time")</f>
        <v/>
      </c>
    </row>
    <row r="6395">
      <c r="A6395">
        <f>HYPERLINK("https://www.youtube.com/watch?v=DXHPw_SPG3w", "Video")</f>
        <v/>
      </c>
      <c r="B6395" t="inlineStr">
        <is>
          <t>1:08</t>
        </is>
      </c>
      <c r="C6395" t="inlineStr">
        <is>
          <t>about that when I was at your abita's</t>
        </is>
      </c>
      <c r="D6395">
        <f>HYPERLINK("https://www.youtube.com/watch?v=DXHPw_SPG3w&amp;t=68s", "Go to time")</f>
        <v/>
      </c>
    </row>
    <row r="6396">
      <c r="A6396">
        <f>HYPERLINK("https://www.youtube.com/watch?v=QmSSFYFSA00", "Video")</f>
        <v/>
      </c>
      <c r="B6396" t="inlineStr">
        <is>
          <t>0:36</t>
        </is>
      </c>
      <c r="C6396" t="inlineStr">
        <is>
          <t>now I have 20 people and a little bit</t>
        </is>
      </c>
      <c r="D6396">
        <f>HYPERLINK("https://www.youtube.com/watch?v=QmSSFYFSA00&amp;t=36s", "Go to time")</f>
        <v/>
      </c>
    </row>
    <row r="6397">
      <c r="A6397">
        <f>HYPERLINK("https://www.youtube.com/watch?v=d32HSzCjzY4", "Video")</f>
        <v/>
      </c>
      <c r="B6397" t="inlineStr">
        <is>
          <t>1:43</t>
        </is>
      </c>
      <c r="C6397" t="inlineStr">
        <is>
          <t>sorry all habits</t>
        </is>
      </c>
      <c r="D6397">
        <f>HYPERLINK("https://www.youtube.com/watch?v=d32HSzCjzY4&amp;t=103s", "Go to time")</f>
        <v/>
      </c>
    </row>
    <row r="6398">
      <c r="A6398">
        <f>HYPERLINK("https://www.youtube.com/watch?v=gAkK1o-ZB4I", "Video")</f>
        <v/>
      </c>
      <c r="B6398" t="inlineStr">
        <is>
          <t>1:53</t>
        </is>
      </c>
      <c r="C6398" t="inlineStr">
        <is>
          <t>bit</t>
        </is>
      </c>
      <c r="D6398">
        <f>HYPERLINK("https://www.youtube.com/watch?v=gAkK1o-ZB4I&amp;t=113s", "Go to time")</f>
        <v/>
      </c>
    </row>
    <row r="6399">
      <c r="A6399">
        <f>HYPERLINK("https://www.youtube.com/watch?v=HAp6WEnwOs0", "Video")</f>
        <v/>
      </c>
      <c r="B6399" t="inlineStr">
        <is>
          <t>3:09</t>
        </is>
      </c>
      <c r="C6399" t="inlineStr">
        <is>
          <t>little bit more right</t>
        </is>
      </c>
      <c r="D6399">
        <f>HYPERLINK("https://www.youtube.com/watch?v=HAp6WEnwOs0&amp;t=189s", "Go to time")</f>
        <v/>
      </c>
    </row>
    <row r="6400">
      <c r="A6400">
        <f>HYPERLINK("https://www.youtube.com/watch?v=HAp6WEnwOs0", "Video")</f>
        <v/>
      </c>
      <c r="B6400" t="inlineStr">
        <is>
          <t>5:10</t>
        </is>
      </c>
      <c r="C6400" t="inlineStr">
        <is>
          <t>a little bit of power at the job</t>
        </is>
      </c>
      <c r="D6400">
        <f>HYPERLINK("https://www.youtube.com/watch?v=HAp6WEnwOs0&amp;t=310s", "Go to time")</f>
        <v/>
      </c>
    </row>
    <row r="6401">
      <c r="A6401">
        <f>HYPERLINK("https://www.youtube.com/watch?v=HAp6WEnwOs0", "Video")</f>
        <v/>
      </c>
      <c r="B6401" t="inlineStr">
        <is>
          <t>5:39</t>
        </is>
      </c>
      <c r="C6401" t="inlineStr">
        <is>
          <t>test a little bit later today and this</t>
        </is>
      </c>
      <c r="D6401">
        <f>HYPERLINK("https://www.youtube.com/watch?v=HAp6WEnwOs0&amp;t=339s", "Go to time")</f>
        <v/>
      </c>
    </row>
    <row r="6402">
      <c r="A6402">
        <f>HYPERLINK("https://www.youtube.com/watch?v=HAp6WEnwOs0", "Video")</f>
        <v/>
      </c>
      <c r="B6402" t="inlineStr">
        <is>
          <t>6:33</t>
        </is>
      </c>
      <c r="C6402" t="inlineStr">
        <is>
          <t>these big words and every single bit of</t>
        </is>
      </c>
      <c r="D6402">
        <f>HYPERLINK("https://www.youtube.com/watch?v=HAp6WEnwOs0&amp;t=393s", "Go to time")</f>
        <v/>
      </c>
    </row>
    <row r="6403">
      <c r="A6403">
        <f>HYPERLINK("https://www.youtube.com/watch?v=HAp6WEnwOs0", "Video")</f>
        <v/>
      </c>
      <c r="B6403" t="inlineStr">
        <is>
          <t>6:39</t>
        </is>
      </c>
      <c r="C6403" t="inlineStr">
        <is>
          <t>been a little bit different skip gates</t>
        </is>
      </c>
      <c r="D6403">
        <f>HYPERLINK("https://www.youtube.com/watch?v=HAp6WEnwOs0&amp;t=399s", "Go to time")</f>
        <v/>
      </c>
    </row>
    <row r="6404">
      <c r="A6404">
        <f>HYPERLINK("https://www.youtube.com/watch?v=HAp6WEnwOs0", "Video")</f>
        <v/>
      </c>
      <c r="B6404" t="inlineStr">
        <is>
          <t>6:47</t>
        </is>
      </c>
      <c r="C6404" t="inlineStr">
        <is>
          <t>it out like let them get a little bit</t>
        </is>
      </c>
      <c r="D6404">
        <f>HYPERLINK("https://www.youtube.com/watch?v=HAp6WEnwOs0&amp;t=407s", "Go to time")</f>
        <v/>
      </c>
    </row>
    <row r="6405">
      <c r="A6405">
        <f>HYPERLINK("https://www.youtube.com/watch?v=IHMisORdzU0", "Video")</f>
        <v/>
      </c>
      <c r="B6405" t="inlineStr">
        <is>
          <t>1:20</t>
        </is>
      </c>
      <c r="C6405" t="inlineStr">
        <is>
          <t>got us in here cheek kiss was a bit much</t>
        </is>
      </c>
      <c r="D6405">
        <f>HYPERLINK("https://www.youtube.com/watch?v=IHMisORdzU0&amp;t=80s", "Go to time")</f>
        <v/>
      </c>
    </row>
    <row r="6406">
      <c r="A6406">
        <f>HYPERLINK("https://www.youtube.com/watch?v=eyEwu8DHnCM", "Video")</f>
        <v/>
      </c>
      <c r="B6406" t="inlineStr">
        <is>
          <t>0:52</t>
        </is>
      </c>
      <c r="C6406" t="inlineStr">
        <is>
          <t>seen you around in a bit You just get</t>
        </is>
      </c>
      <c r="D6406">
        <f>HYPERLINK("https://www.youtube.com/watch?v=eyEwu8DHnCM&amp;t=52s", "Go to time")</f>
        <v/>
      </c>
    </row>
    <row r="6407">
      <c r="A6407">
        <f>HYPERLINK("https://www.youtube.com/watch?v=RlGOKUFZqGo", "Video")</f>
        <v/>
      </c>
      <c r="B6407" t="inlineStr">
        <is>
          <t>9:04</t>
        </is>
      </c>
      <c r="C6407" t="inlineStr">
        <is>
          <t>you're self-obsessed that's a bit</t>
        </is>
      </c>
      <c r="D6407">
        <f>HYPERLINK("https://www.youtube.com/watch?v=RlGOKUFZqGo&amp;t=544s", "Go to time")</f>
        <v/>
      </c>
    </row>
    <row r="6408">
      <c r="A6408">
        <f>HYPERLINK("https://www.youtube.com/watch?v=RlGOKUFZqGo", "Video")</f>
        <v/>
      </c>
      <c r="B6408" t="inlineStr">
        <is>
          <t>13:15</t>
        </is>
      </c>
      <c r="C6408" t="inlineStr">
        <is>
          <t>very smart alan bite the syphilitic hand</t>
        </is>
      </c>
      <c r="D6408">
        <f>HYPERLINK("https://www.youtube.com/watch?v=RlGOKUFZqGo&amp;t=795s", "Go to time")</f>
        <v/>
      </c>
    </row>
    <row r="6409">
      <c r="A6409">
        <f>HYPERLINK("https://www.youtube.com/watch?v=v1KPmRTndCk", "Video")</f>
        <v/>
      </c>
      <c r="B6409" t="inlineStr">
        <is>
          <t>2:21</t>
        </is>
      </c>
      <c r="C6409" t="inlineStr">
        <is>
          <t>Near as I can tell, she's chasing a rabbit.</t>
        </is>
      </c>
      <c r="D6409">
        <f>HYPERLINK("https://www.youtube.com/watch?v=v1KPmRTndCk&amp;t=141s", "Go to time")</f>
        <v/>
      </c>
    </row>
    <row r="6410">
      <c r="A6410">
        <f>HYPERLINK("https://www.youtube.com/watch?v=v1KPmRTndCk", "Video")</f>
        <v/>
      </c>
      <c r="B6410" t="inlineStr">
        <is>
          <t>3:32</t>
        </is>
      </c>
      <c r="C6410" t="inlineStr">
        <is>
          <t>I think she caught the rabbit.</t>
        </is>
      </c>
      <c r="D6410">
        <f>HYPERLINK("https://www.youtube.com/watch?v=v1KPmRTndCk&amp;t=212s", "Go to time")</f>
        <v/>
      </c>
    </row>
    <row r="6411">
      <c r="A6411">
        <f>HYPERLINK("https://www.youtube.com/watch?v=I1uae3Z1IJI", "Video")</f>
        <v/>
      </c>
      <c r="B6411" t="inlineStr">
        <is>
          <t>0:53</t>
        </is>
      </c>
      <c r="C6411" t="inlineStr">
        <is>
          <t>i uh just stopped for a bite to eat</t>
        </is>
      </c>
      <c r="D6411">
        <f>HYPERLINK("https://www.youtube.com/watch?v=I1uae3Z1IJI&amp;t=53s", "Go to time")</f>
        <v/>
      </c>
    </row>
    <row r="6412">
      <c r="A6412">
        <f>HYPERLINK("https://www.youtube.com/watch?v=d_rDUDH8mAs", "Video")</f>
        <v/>
      </c>
      <c r="B6412" t="inlineStr">
        <is>
          <t>7:23</t>
        </is>
      </c>
      <c r="C6412" t="inlineStr">
        <is>
          <t>Holliday, you play Rachel, who is 
this ambitious kind of eager?</t>
        </is>
      </c>
      <c r="D6412">
        <f>HYPERLINK("https://www.youtube.com/watch?v=d_rDUDH8mAs&amp;t=443s", "Go to time")</f>
        <v/>
      </c>
    </row>
    <row r="6413">
      <c r="A6413">
        <f>HYPERLINK("https://www.youtube.com/watch?v=d_rDUDH8mAs", "Video")</f>
        <v/>
      </c>
      <c r="B6413" t="inlineStr">
        <is>
          <t>7:53</t>
        </is>
      </c>
      <c r="C6413" t="inlineStr">
        <is>
          <t>she's ambitious and
she wants to do well</t>
        </is>
      </c>
      <c r="D6413">
        <f>HYPERLINK("https://www.youtube.com/watch?v=d_rDUDH8mAs&amp;t=473s", "Go to time")</f>
        <v/>
      </c>
    </row>
    <row r="6414">
      <c r="A6414">
        <f>HYPERLINK("https://www.youtube.com/watch?v=d_rDUDH8mAs", "Video")</f>
        <v/>
      </c>
      <c r="B6414" t="inlineStr">
        <is>
          <t>12:15</t>
        </is>
      </c>
      <c r="C6414" t="inlineStr">
        <is>
          <t>a little bit.</t>
        </is>
      </c>
      <c r="D6414">
        <f>HYPERLINK("https://www.youtube.com/watch?v=d_rDUDH8mAs&amp;t=735s", "Go to time")</f>
        <v/>
      </c>
    </row>
    <row r="6415">
      <c r="A6415">
        <f>HYPERLINK("https://www.youtube.com/watch?v=d_rDUDH8mAs", "Video")</f>
        <v/>
      </c>
      <c r="B6415" t="inlineStr">
        <is>
          <t>17:50</t>
        </is>
      </c>
      <c r="C6415" t="inlineStr">
        <is>
          <t>I think I'm a bit jealous 
of you for that.</t>
        </is>
      </c>
      <c r="D6415">
        <f>HYPERLINK("https://www.youtube.com/watch?v=d_rDUDH8mAs&amp;t=1070s", "Go to time")</f>
        <v/>
      </c>
    </row>
    <row r="6416">
      <c r="A6416">
        <f>HYPERLINK("https://www.youtube.com/watch?v=d_rDUDH8mAs", "Video")</f>
        <v/>
      </c>
      <c r="B6416" t="inlineStr">
        <is>
          <t>26:11</t>
        </is>
      </c>
      <c r="C6416" t="inlineStr">
        <is>
          <t>Tidbits of situations
that are so outlandishly</t>
        </is>
      </c>
      <c r="D6416">
        <f>HYPERLINK("https://www.youtube.com/watch?v=d_rDUDH8mAs&amp;t=1571s", "Go to time")</f>
        <v/>
      </c>
    </row>
    <row r="6417">
      <c r="A6417">
        <f>HYPERLINK("https://www.youtube.com/watch?v=vaCPCekIL3s", "Video")</f>
        <v/>
      </c>
      <c r="B6417" t="inlineStr">
        <is>
          <t>6:16</t>
        </is>
      </c>
      <c r="C6417" t="inlineStr">
        <is>
          <t>bunchy bunch or a little itty bitty</t>
        </is>
      </c>
      <c r="D6417">
        <f>HYPERLINK("https://www.youtube.com/watch?v=vaCPCekIL3s&amp;t=376s", "Go to time")</f>
        <v/>
      </c>
    </row>
    <row r="6418">
      <c r="A6418">
        <f>HYPERLINK("https://www.youtube.com/watch?v=vaCPCekIL3s", "Video")</f>
        <v/>
      </c>
      <c r="B6418" t="inlineStr">
        <is>
          <t>6:18</t>
        </is>
      </c>
      <c r="C6418" t="inlineStr">
        <is>
          <t>bitty a bunchy bunch magruber great okay</t>
        </is>
      </c>
      <c r="D6418">
        <f>HYPERLINK("https://www.youtube.com/watch?v=vaCPCekIL3s&amp;t=378s", "Go to time")</f>
        <v/>
      </c>
    </row>
    <row r="6419">
      <c r="A6419">
        <f>HYPERLINK("https://www.youtube.com/watch?v=wTH9sf-Di7E", "Video")</f>
        <v/>
      </c>
      <c r="B6419" t="inlineStr">
        <is>
          <t>7:01</t>
        </is>
      </c>
      <c r="C6419" t="inlineStr">
        <is>
          <t>he bit a guy's butt off at a WNBA game</t>
        </is>
      </c>
      <c r="D6419">
        <f>HYPERLINK("https://www.youtube.com/watch?v=wTH9sf-Di7E&amp;t=421s", "Go to time")</f>
        <v/>
      </c>
    </row>
    <row r="6420">
      <c r="A6420">
        <f>HYPERLINK("https://www.youtube.com/watch?v=wTH9sf-Di7E", "Video")</f>
        <v/>
      </c>
      <c r="B6420" t="inlineStr">
        <is>
          <t>36:10</t>
        </is>
      </c>
      <c r="C6420" t="inlineStr">
        <is>
          <t>the docks to support my drug habit but I</t>
        </is>
      </c>
      <c r="D6420">
        <f>HYPERLINK("https://www.youtube.com/watch?v=wTH9sf-Di7E&amp;t=2170s", "Go to time")</f>
        <v/>
      </c>
    </row>
    <row r="6421">
      <c r="A6421">
        <f>HYPERLINK("https://www.youtube.com/watch?v=wTH9sf-Di7E", "Video")</f>
        <v/>
      </c>
      <c r="B6421" t="inlineStr">
        <is>
          <t>42:57</t>
        </is>
      </c>
      <c r="C6421" t="inlineStr">
        <is>
          <t>the ant infestation it's bad they bite</t>
        </is>
      </c>
      <c r="D6421">
        <f>HYPERLINK("https://www.youtube.com/watch?v=wTH9sf-Di7E&amp;t=2577s", "Go to time")</f>
        <v/>
      </c>
    </row>
    <row r="6422">
      <c r="A6422">
        <f>HYPERLINK("https://www.youtube.com/watch?v=wTH9sf-Di7E", "Video")</f>
        <v/>
      </c>
      <c r="B6422" t="inlineStr">
        <is>
          <t>49:26</t>
        </is>
      </c>
      <c r="C6422" t="inlineStr">
        <is>
          <t>any bit's book quit calling it a book it</t>
        </is>
      </c>
      <c r="D6422">
        <f>HYPERLINK("https://www.youtube.com/watch?v=wTH9sf-Di7E&amp;t=2966s", "Go to time")</f>
        <v/>
      </c>
    </row>
    <row r="6423">
      <c r="A6423">
        <f>HYPERLINK("https://www.youtube.com/watch?v=LG0zSNDIIgc", "Video")</f>
        <v/>
      </c>
      <c r="B6423" t="inlineStr">
        <is>
          <t>0:42</t>
        </is>
      </c>
      <c r="C6423" t="inlineStr">
        <is>
          <t>This seems to me it could be a little bit of</t>
        </is>
      </c>
      <c r="D6423">
        <f>HYPERLINK("https://www.youtube.com/watch?v=LG0zSNDIIgc&amp;t=42s", "Go to time")</f>
        <v/>
      </c>
    </row>
    <row r="6424">
      <c r="A6424">
        <f>HYPERLINK("https://www.youtube.com/watch?v=CuAyrwGVvRw", "Video")</f>
        <v/>
      </c>
      <c r="B6424" t="inlineStr">
        <is>
          <t>3:46</t>
        </is>
      </c>
      <c r="C6424" t="inlineStr">
        <is>
          <t>let's just call Todd let's bite the</t>
        </is>
      </c>
      <c r="D6424">
        <f>HYPERLINK("https://www.youtube.com/watch?v=CuAyrwGVvRw&amp;t=226s", "Go to time")</f>
        <v/>
      </c>
    </row>
    <row r="6425">
      <c r="A6425">
        <f>HYPERLINK("https://www.youtube.com/watch?v=OaWWEM2UY8M", "Video")</f>
        <v/>
      </c>
      <c r="B6425" t="inlineStr">
        <is>
          <t>0:04</t>
        </is>
      </c>
      <c r="C6425" t="inlineStr">
        <is>
          <t>The O.G. bitches are back.</t>
        </is>
      </c>
      <c r="D6425">
        <f>HYPERLINK("https://www.youtube.com/watch?v=OaWWEM2UY8M&amp;t=4s", "Go to time")</f>
        <v/>
      </c>
    </row>
    <row r="6426">
      <c r="A6426">
        <f>HYPERLINK("https://www.youtube.com/watch?v=w9mFaet7by8", "Video")</f>
        <v/>
      </c>
      <c r="B6426" t="inlineStr">
        <is>
          <t>7:43</t>
        </is>
      </c>
      <c r="C6426" t="inlineStr">
        <is>
          <t>Don't you want to f***k them over just a little bit?</t>
        </is>
      </c>
      <c r="D6426">
        <f>HYPERLINK("https://www.youtube.com/watch?v=w9mFaet7by8&amp;t=463s", "Go to time")</f>
        <v/>
      </c>
    </row>
    <row r="6427">
      <c r="A6427">
        <f>HYPERLINK("https://www.youtube.com/watch?v=w9mFaet7by8", "Video")</f>
        <v/>
      </c>
      <c r="B6427" t="inlineStr">
        <is>
          <t>9:02</t>
        </is>
      </c>
      <c r="C6427" t="inlineStr">
        <is>
          <t>But you're not who I'm going to bite.</t>
        </is>
      </c>
      <c r="D6427">
        <f>HYPERLINK("https://www.youtube.com/watch?v=w9mFaet7by8&amp;t=542s", "Go to time")</f>
        <v/>
      </c>
    </row>
    <row r="6428">
      <c r="A6428">
        <f>HYPERLINK("https://www.youtube.com/watch?v=km2RsoUJdqU", "Video")</f>
        <v/>
      </c>
      <c r="B6428" t="inlineStr">
        <is>
          <t>1:27</t>
        </is>
      </c>
      <c r="C6428" t="inlineStr">
        <is>
          <t>uh sounds a bit last night it's a scream</t>
        </is>
      </c>
      <c r="D6428">
        <f>HYPERLINK("https://www.youtube.com/watch?v=km2RsoUJdqU&amp;t=87s", "Go to time")</f>
        <v/>
      </c>
    </row>
    <row r="6429">
      <c r="A6429">
        <f>HYPERLINK("https://www.youtube.com/watch?v=k-EANpI2TiU", "Video")</f>
        <v/>
      </c>
      <c r="B6429" t="inlineStr">
        <is>
          <t>0:19</t>
        </is>
      </c>
      <c r="C6429" t="inlineStr">
        <is>
          <t>blurry bit on the nose i'll stop talking</t>
        </is>
      </c>
      <c r="D6429">
        <f>HYPERLINK("https://www.youtube.com/watch?v=k-EANpI2TiU&amp;t=19s", "Go to time")</f>
        <v/>
      </c>
    </row>
    <row r="6430">
      <c r="A6430">
        <f>HYPERLINK("https://www.youtube.com/watch?v=hswSCF1toMY", "Video")</f>
        <v/>
      </c>
      <c r="B6430" t="inlineStr">
        <is>
          <t>2:28</t>
        </is>
      </c>
      <c r="C6430" t="inlineStr">
        <is>
          <t>I'm a bit worried.</t>
        </is>
      </c>
      <c r="D6430">
        <f>HYPERLINK("https://www.youtube.com/watch?v=hswSCF1toMY&amp;t=148s", "Go to time")</f>
        <v/>
      </c>
    </row>
    <row r="6431">
      <c r="A6431">
        <f>HYPERLINK("https://www.youtube.com/watch?v=hswSCF1toMY", "Video")</f>
        <v/>
      </c>
      <c r="B6431" t="inlineStr">
        <is>
          <t>2:36</t>
        </is>
      </c>
      <c r="C6431" t="inlineStr">
        <is>
          <t>exhibit on rare coins.</t>
        </is>
      </c>
      <c r="D6431">
        <f>HYPERLINK("https://www.youtube.com/watch?v=hswSCF1toMY&amp;t=156s", "Go to time")</f>
        <v/>
      </c>
    </row>
    <row r="6432">
      <c r="A6432">
        <f>HYPERLINK("https://www.youtube.com/watch?v=hswSCF1toMY", "Video")</f>
        <v/>
      </c>
      <c r="B6432" t="inlineStr">
        <is>
          <t>9:50</t>
        </is>
      </c>
      <c r="C6432" t="inlineStr">
        <is>
          <t>I think I'll take you a little bit longer</t>
        </is>
      </c>
      <c r="D6432">
        <f>HYPERLINK("https://www.youtube.com/watch?v=hswSCF1toMY&amp;t=590s", "Go to time")</f>
        <v/>
      </c>
    </row>
    <row r="6433">
      <c r="A6433">
        <f>HYPERLINK("https://www.youtube.com/watch?v=acoPnkud2dQ", "Video")</f>
        <v/>
      </c>
      <c r="B6433" t="inlineStr">
        <is>
          <t>1:33</t>
        </is>
      </c>
      <c r="C6433" t="inlineStr">
        <is>
          <t>Let's let's try tilting it a little bit</t>
        </is>
      </c>
      <c r="D6433">
        <f>HYPERLINK("https://www.youtube.com/watch?v=acoPnkud2dQ&amp;t=93s", "Go to time")</f>
        <v/>
      </c>
    </row>
    <row r="6434">
      <c r="A6434">
        <f>HYPERLINK("https://www.youtube.com/watch?v=acoPnkud2dQ", "Video")</f>
        <v/>
      </c>
      <c r="B6434" t="inlineStr">
        <is>
          <t>3:15</t>
        </is>
      </c>
      <c r="C6434" t="inlineStr">
        <is>
          <t>Please, no. Your emotions are a little bit</t>
        </is>
      </c>
      <c r="D6434">
        <f>HYPERLINK("https://www.youtube.com/watch?v=acoPnkud2dQ&amp;t=195s", "Go to time")</f>
        <v/>
      </c>
    </row>
    <row r="6435">
      <c r="A6435">
        <f>HYPERLINK("https://www.youtube.com/watch?v=CUS8XatG1HY", "Video")</f>
        <v/>
      </c>
      <c r="B6435" t="inlineStr">
        <is>
          <t>1:50</t>
        </is>
      </c>
      <c r="C6435" t="inlineStr">
        <is>
          <t>little bit i feel like paris needs a</t>
        </is>
      </c>
      <c r="D6435">
        <f>HYPERLINK("https://www.youtube.com/watch?v=CUS8XatG1HY&amp;t=110s", "Go to time")</f>
        <v/>
      </c>
    </row>
    <row r="6436">
      <c r="A6436">
        <f>HYPERLINK("https://www.youtube.com/watch?v=ByoMpwThMow", "Video")</f>
        <v/>
      </c>
      <c r="B6436" t="inlineStr">
        <is>
          <t>1:54</t>
        </is>
      </c>
      <c r="C6436" t="inlineStr">
        <is>
          <t>Tell me a little bit about that
 process and the intention</t>
        </is>
      </c>
      <c r="D6436">
        <f>HYPERLINK("https://www.youtube.com/watch?v=ByoMpwThMow&amp;t=114s", "Go to time")</f>
        <v/>
      </c>
    </row>
    <row r="6437">
      <c r="A6437">
        <f>HYPERLINK("https://www.youtube.com/watch?v=ByoMpwThMow", "Video")</f>
        <v/>
      </c>
      <c r="B6437" t="inlineStr">
        <is>
          <t>4:20</t>
        </is>
      </c>
      <c r="C6437" t="inlineStr">
        <is>
          <t>Tell me a little bit
 about what it was like</t>
        </is>
      </c>
      <c r="D6437">
        <f>HYPERLINK("https://www.youtube.com/watch?v=ByoMpwThMow&amp;t=260s", "Go to time")</f>
        <v/>
      </c>
    </row>
    <row r="6438">
      <c r="A6438">
        <f>HYPERLINK("https://www.youtube.com/watch?v=ByoMpwThMow", "Video")</f>
        <v/>
      </c>
      <c r="B6438" t="inlineStr">
        <is>
          <t>7:51</t>
        </is>
      </c>
      <c r="C6438" t="inlineStr">
        <is>
          <t>Tell me a little bit about Noah.</t>
        </is>
      </c>
      <c r="D6438">
        <f>HYPERLINK("https://www.youtube.com/watch?v=ByoMpwThMow&amp;t=471s", "Go to time")</f>
        <v/>
      </c>
    </row>
    <row r="6439">
      <c r="A6439">
        <f>HYPERLINK("https://www.youtube.com/watch?v=ByoMpwThMow", "Video")</f>
        <v/>
      </c>
      <c r="B6439" t="inlineStr">
        <is>
          <t>9:19</t>
        </is>
      </c>
      <c r="C6439" t="inlineStr">
        <is>
          <t>Tell me a little bit
 about getting to</t>
        </is>
      </c>
      <c r="D6439">
        <f>HYPERLINK("https://www.youtube.com/watch?v=ByoMpwThMow&amp;t=559s", "Go to time")</f>
        <v/>
      </c>
    </row>
    <row r="6440">
      <c r="A6440">
        <f>HYPERLINK("https://www.youtube.com/watch?v=ByoMpwThMow", "Video")</f>
        <v/>
      </c>
      <c r="B6440" t="inlineStr">
        <is>
          <t>16:22</t>
        </is>
      </c>
      <c r="C6440" t="inlineStr">
        <is>
          <t>And I think you only touched
 on it a little bit about,</t>
        </is>
      </c>
      <c r="D6440">
        <f>HYPERLINK("https://www.youtube.com/watch?v=ByoMpwThMow&amp;t=982s", "Go to time")</f>
        <v/>
      </c>
    </row>
    <row r="6441">
      <c r="A6441">
        <f>HYPERLINK("https://www.youtube.com/watch?v=ByoMpwThMow", "Video")</f>
        <v/>
      </c>
      <c r="B6441" t="inlineStr">
        <is>
          <t>16:28</t>
        </is>
      </c>
      <c r="C6441" t="inlineStr">
        <is>
          <t>But tell me a bit
 about how this show</t>
        </is>
      </c>
      <c r="D6441">
        <f>HYPERLINK("https://www.youtube.com/watch?v=ByoMpwThMow&amp;t=988s", "Go to time")</f>
        <v/>
      </c>
    </row>
    <row r="6442">
      <c r="A6442">
        <f>HYPERLINK("https://www.youtube.com/watch?v=ByoMpwThMow", "Video")</f>
        <v/>
      </c>
      <c r="B6442" t="inlineStr">
        <is>
          <t>17:57</t>
        </is>
      </c>
      <c r="C6442" t="inlineStr">
        <is>
          <t>You know, we touched on it
 a little bit earlier, but</t>
        </is>
      </c>
      <c r="D6442">
        <f>HYPERLINK("https://www.youtube.com/watch?v=ByoMpwThMow&amp;t=1077s", "Go to time")</f>
        <v/>
      </c>
    </row>
    <row r="6443">
      <c r="A6443">
        <f>HYPERLINK("https://www.youtube.com/watch?v=ByoMpwThMow", "Video")</f>
        <v/>
      </c>
      <c r="B6443" t="inlineStr">
        <is>
          <t>24:06</t>
        </is>
      </c>
      <c r="C6443" t="inlineStr">
        <is>
          <t>with joy a little bit
 to see all your faces .</t>
        </is>
      </c>
      <c r="D6443">
        <f>HYPERLINK("https://www.youtube.com/watch?v=ByoMpwThMow&amp;t=1446s", "Go to time")</f>
        <v/>
      </c>
    </row>
    <row r="6444">
      <c r="A6444">
        <f>HYPERLINK("https://www.youtube.com/watch?v=99_X-YawmgI", "Video")</f>
        <v/>
      </c>
      <c r="B6444" t="inlineStr">
        <is>
          <t>15:20</t>
        </is>
      </c>
      <c r="C6444" t="inlineStr">
        <is>
          <t>Then I bet you a little bit. You know, I'm
harried, but lovable.</t>
        </is>
      </c>
      <c r="D6444">
        <f>HYPERLINK("https://www.youtube.com/watch?v=99_X-YawmgI&amp;t=920s", "Go to time")</f>
        <v/>
      </c>
    </row>
    <row r="6445">
      <c r="A6445">
        <f>HYPERLINK("https://www.youtube.com/watch?v=oYvm5JuKVdM", "Video")</f>
        <v/>
      </c>
      <c r="B6445" t="inlineStr">
        <is>
          <t>2:00</t>
        </is>
      </c>
      <c r="C6445" t="inlineStr">
        <is>
          <t>A little bit in the guardian training barracks.</t>
        </is>
      </c>
      <c r="D6445">
        <f>HYPERLINK("https://www.youtube.com/watch?v=oYvm5JuKVdM&amp;t=120s", "Go to time")</f>
        <v/>
      </c>
    </row>
    <row r="6446">
      <c r="A6446">
        <f>HYPERLINK("https://www.youtube.com/watch?v=oYvm5JuKVdM", "Video")</f>
        <v/>
      </c>
      <c r="B6446" t="inlineStr">
        <is>
          <t>4:04</t>
        </is>
      </c>
      <c r="C6446" t="inlineStr">
        <is>
          <t>That's just a little bit of what's 
going on in the show.</t>
        </is>
      </c>
      <c r="D6446">
        <f>HYPERLINK("https://www.youtube.com/watch?v=oYvm5JuKVdM&amp;t=244s", "Go to time")</f>
        <v/>
      </c>
    </row>
    <row r="6447">
      <c r="A6447">
        <f>HYPERLINK("https://www.youtube.com/watch?v=kC93uGRFsew", "Video")</f>
        <v/>
      </c>
      <c r="B6447" t="inlineStr">
        <is>
          <t>4:13</t>
        </is>
      </c>
      <c r="C6447" t="inlineStr">
        <is>
          <t>We bat it around a little bit, and then we</t>
        </is>
      </c>
      <c r="D6447">
        <f>HYPERLINK("https://www.youtube.com/watch?v=kC93uGRFsew&amp;t=253s", "Go to time")</f>
        <v/>
      </c>
    </row>
    <row r="6448">
      <c r="A6448">
        <f>HYPERLINK("https://www.youtube.com/watch?v=DIv2HlWARUc", "Video")</f>
        <v/>
      </c>
      <c r="B6448" t="inlineStr">
        <is>
          <t>0:14</t>
        </is>
      </c>
      <c r="C6448" t="inlineStr">
        <is>
          <t>I need a little bit more than that hello</t>
        </is>
      </c>
      <c r="D6448">
        <f>HYPERLINK("https://www.youtube.com/watch?v=DIv2HlWARUc&amp;t=14s", "Go to time")</f>
        <v/>
      </c>
    </row>
    <row r="6449">
      <c r="A6449">
        <f>HYPERLINK("https://www.youtube.com/watch?v=CbgdWXuD_aw", "Video")</f>
        <v/>
      </c>
      <c r="B6449" t="inlineStr">
        <is>
          <t>1:43</t>
        </is>
      </c>
      <c r="C6449" t="inlineStr">
        <is>
          <t>The odd bit is these two clones don't</t>
        </is>
      </c>
      <c r="D6449">
        <f>HYPERLINK("https://www.youtube.com/watch?v=CbgdWXuD_aw&amp;t=103s", "Go to time")</f>
        <v/>
      </c>
    </row>
    <row r="6450">
      <c r="A6450">
        <f>HYPERLINK("https://www.youtube.com/watch?v=HjAdZPXYThQ", "Video")</f>
        <v/>
      </c>
      <c r="B6450" t="inlineStr">
        <is>
          <t>0:59</t>
        </is>
      </c>
      <c r="C6450" t="inlineStr">
        <is>
          <t>but don't you think it might be a bit</t>
        </is>
      </c>
      <c r="D6450">
        <f>HYPERLINK("https://www.youtube.com/watch?v=HjAdZPXYThQ&amp;t=59s", "Go to time")</f>
        <v/>
      </c>
    </row>
    <row r="6451">
      <c r="A6451">
        <f>HYPERLINK("https://www.youtube.com/watch?v=HjAdZPXYThQ", "Video")</f>
        <v/>
      </c>
      <c r="B6451" t="inlineStr">
        <is>
          <t>3:11</t>
        </is>
      </c>
      <c r="C6451" t="inlineStr">
        <is>
          <t>schlep darling you're a bit too vanilla</t>
        </is>
      </c>
      <c r="D6451">
        <f>HYPERLINK("https://www.youtube.com/watch?v=HjAdZPXYThQ&amp;t=191s", "Go to time")</f>
        <v/>
      </c>
    </row>
    <row r="6452">
      <c r="A6452">
        <f>HYPERLINK("https://www.youtube.com/watch?v=4CYeBAm-GJw", "Video")</f>
        <v/>
      </c>
      <c r="B6452" t="inlineStr">
        <is>
          <t>0:05</t>
        </is>
      </c>
      <c r="C6452" t="inlineStr">
        <is>
          <t>take it a little bit by bit I have seen</t>
        </is>
      </c>
      <c r="D6452">
        <f>HYPERLINK("https://www.youtube.com/watch?v=4CYeBAm-GJw&amp;t=5s", "Go to time")</f>
        <v/>
      </c>
    </row>
    <row r="6453">
      <c r="A6453">
        <f>HYPERLINK("https://www.youtube.com/watch?v=4CYeBAm-GJw", "Video")</f>
        <v/>
      </c>
      <c r="B6453" t="inlineStr">
        <is>
          <t>2:41</t>
        </is>
      </c>
      <c r="C6453" t="inlineStr">
        <is>
          <t>make us a little bit simpler</t>
        </is>
      </c>
      <c r="D6453">
        <f>HYPERLINK("https://www.youtube.com/watch?v=4CYeBAm-GJw&amp;t=161s", "Go to time")</f>
        <v/>
      </c>
    </row>
    <row r="6454">
      <c r="A6454">
        <f>HYPERLINK("https://www.youtube.com/watch?v=QSIyP1GOZXE", "Video")</f>
        <v/>
      </c>
      <c r="B6454" t="inlineStr">
        <is>
          <t>2:52</t>
        </is>
      </c>
      <c r="C6454" t="inlineStr">
        <is>
          <t>it you see it's the habit of living that</t>
        </is>
      </c>
      <c r="D6454">
        <f>HYPERLINK("https://www.youtube.com/watch?v=QSIyP1GOZXE&amp;t=172s", "Go to time")</f>
        <v/>
      </c>
    </row>
    <row r="6455">
      <c r="A6455">
        <f>HYPERLINK("https://www.youtube.com/watch?v=eGCvwK0KL_8", "Video")</f>
        <v/>
      </c>
      <c r="B6455" t="inlineStr">
        <is>
          <t>13:33</t>
        </is>
      </c>
      <c r="C6455" t="inlineStr">
        <is>
          <t>ceilings I'll bite the pillow like the</t>
        </is>
      </c>
      <c r="D6455">
        <f>HYPERLINK("https://www.youtube.com/watch?v=eGCvwK0KL_8&amp;t=813s", "Go to time")</f>
        <v/>
      </c>
    </row>
    <row r="6456">
      <c r="A6456">
        <f>HYPERLINK("https://www.youtube.com/watch?v=q_dvIXFPkvc", "Video")</f>
        <v/>
      </c>
      <c r="B6456" t="inlineStr">
        <is>
          <t>6:37</t>
        </is>
      </c>
      <c r="C6456" t="inlineStr">
        <is>
          <t>supposed to hurt a little bit</t>
        </is>
      </c>
      <c r="D6456">
        <f>HYPERLINK("https://www.youtube.com/watch?v=q_dvIXFPkvc&amp;t=397s", "Go to time")</f>
        <v/>
      </c>
    </row>
    <row r="6457">
      <c r="A6457">
        <f>HYPERLINK("https://www.youtube.com/watch?v=dRBSzFxEy7I", "Video")</f>
        <v/>
      </c>
      <c r="B6457" t="inlineStr">
        <is>
          <t>0:38</t>
        </is>
      </c>
      <c r="C6457" t="inlineStr">
        <is>
          <t>to work off a little bit of his baby fat.</t>
        </is>
      </c>
      <c r="D6457">
        <f>HYPERLINK("https://www.youtube.com/watch?v=dRBSzFxEy7I&amp;t=38s", "Go to time")</f>
        <v/>
      </c>
    </row>
    <row r="6458">
      <c r="A6458">
        <f>HYPERLINK("https://www.youtube.com/watch?v=2tBT7S5KvIM", "Video")</f>
        <v/>
      </c>
      <c r="B6458" t="inlineStr">
        <is>
          <t>0:09</t>
        </is>
      </c>
      <c r="C6458" t="inlineStr">
        <is>
          <t>bit unfortunately</t>
        </is>
      </c>
      <c r="D6458">
        <f>HYPERLINK("https://www.youtube.com/watch?v=2tBT7S5KvIM&amp;t=9s", "Go to time")</f>
        <v/>
      </c>
    </row>
    <row r="6459">
      <c r="A6459">
        <f>HYPERLINK("https://www.youtube.com/watch?v=BTRBdCoFswg", "Video")</f>
        <v/>
      </c>
      <c r="B6459" t="inlineStr">
        <is>
          <t>0:34</t>
        </is>
      </c>
      <c r="C6459" t="inlineStr">
        <is>
          <t>She's such a bitch.</t>
        </is>
      </c>
      <c r="D6459">
        <f>HYPERLINK("https://www.youtube.com/watch?v=BTRBdCoFswg&amp;t=34s", "Go to time")</f>
        <v/>
      </c>
    </row>
    <row r="6460">
      <c r="A6460">
        <f>HYPERLINK("https://www.youtube.com/watch?v=BTRBdCoFswg", "Video")</f>
        <v/>
      </c>
      <c r="B6460" t="inlineStr">
        <is>
          <t>5:14</t>
        </is>
      </c>
      <c r="C6460" t="inlineStr">
        <is>
          <t>bit the gym teacher.</t>
        </is>
      </c>
      <c r="D6460">
        <f>HYPERLINK("https://www.youtube.com/watch?v=BTRBdCoFswg&amp;t=314s", "Go to time")</f>
        <v/>
      </c>
    </row>
    <row r="6461">
      <c r="A6461">
        <f>HYPERLINK("https://www.youtube.com/watch?v=BTRBdCoFswg", "Video")</f>
        <v/>
      </c>
      <c r="B6461" t="inlineStr">
        <is>
          <t>5:19</t>
        </is>
      </c>
      <c r="C6461" t="inlineStr">
        <is>
          <t>You miserable son of a bitch.</t>
        </is>
      </c>
      <c r="D6461">
        <f>HYPERLINK("https://www.youtube.com/watch?v=BTRBdCoFswg&amp;t=319s", "Go to time")</f>
        <v/>
      </c>
    </row>
    <row r="6462">
      <c r="A6462">
        <f>HYPERLINK("https://www.youtube.com/watch?v=BTRBdCoFswg", "Video")</f>
        <v/>
      </c>
      <c r="B6462" t="inlineStr">
        <is>
          <t>7:55</t>
        </is>
      </c>
      <c r="C6462" t="inlineStr">
        <is>
          <t>You're a bit too vanilla to pull it</t>
        </is>
      </c>
      <c r="D6462">
        <f>HYPERLINK("https://www.youtube.com/watch?v=BTRBdCoFswg&amp;t=475s", "Go to time")</f>
        <v/>
      </c>
    </row>
    <row r="6463">
      <c r="A6463">
        <f>HYPERLINK("https://www.youtube.com/watch?v=8zhCmJ44ojs", "Video")</f>
        <v/>
      </c>
      <c r="B6463" t="inlineStr">
        <is>
          <t>4:41</t>
        </is>
      </c>
      <c r="C6463" t="inlineStr">
        <is>
          <t>who'd have thought that our orbits were</t>
        </is>
      </c>
      <c r="D6463">
        <f>HYPERLINK("https://www.youtube.com/watch?v=8zhCmJ44ojs&amp;t=281s", "Go to time")</f>
        <v/>
      </c>
    </row>
    <row r="6464">
      <c r="A6464">
        <f>HYPERLINK("https://www.youtube.com/watch?v=mZnw9ESkexE", "Video")</f>
        <v/>
      </c>
      <c r="B6464" t="inlineStr">
        <is>
          <t>0:30</t>
        </is>
      </c>
      <c r="C6464" t="inlineStr">
        <is>
          <t>least a little bit over a year yeah 10</t>
        </is>
      </c>
      <c r="D6464">
        <f>HYPERLINK("https://www.youtube.com/watch?v=mZnw9ESkexE&amp;t=30s", "Go to time")</f>
        <v/>
      </c>
    </row>
    <row r="6465">
      <c r="A6465">
        <f>HYPERLINK("https://www.youtube.com/watch?v=mZnw9ESkexE", "Video")</f>
        <v/>
      </c>
      <c r="B6465" t="inlineStr">
        <is>
          <t>1:37</t>
        </is>
      </c>
      <c r="C6465" t="inlineStr">
        <is>
          <t>I don't believe you haven't no I'm a bit</t>
        </is>
      </c>
      <c r="D6465">
        <f>HYPERLINK("https://www.youtube.com/watch?v=mZnw9ESkexE&amp;t=97s", "Go to time")</f>
        <v/>
      </c>
    </row>
    <row r="6466">
      <c r="A6466">
        <f>HYPERLINK("https://www.youtube.com/watch?v=1-Mz6A1wPuw", "Video")</f>
        <v/>
      </c>
      <c r="B6466" t="inlineStr">
        <is>
          <t>3:01</t>
        </is>
      </c>
      <c r="C6466" t="inlineStr">
        <is>
          <t>just get to know you guys a little bit</t>
        </is>
      </c>
      <c r="D6466">
        <f>HYPERLINK("https://www.youtube.com/watch?v=1-Mz6A1wPuw&amp;t=181s", "Go to time")</f>
        <v/>
      </c>
    </row>
    <row r="6467">
      <c r="A6467">
        <f>HYPERLINK("https://www.youtube.com/watch?v=1-Mz6A1wPuw", "Video")</f>
        <v/>
      </c>
      <c r="B6467" t="inlineStr">
        <is>
          <t>3:20</t>
        </is>
      </c>
      <c r="C6467" t="inlineStr">
        <is>
          <t>bit to move to LA we were supposed to</t>
        </is>
      </c>
      <c r="D6467">
        <f>HYPERLINK("https://www.youtube.com/watch?v=1-Mz6A1wPuw&amp;t=200s", "Go to time")</f>
        <v/>
      </c>
    </row>
    <row r="6468">
      <c r="A6468">
        <f>HYPERLINK("https://www.youtube.com/watch?v=1-Mz6A1wPuw", "Video")</f>
        <v/>
      </c>
      <c r="B6468" t="inlineStr">
        <is>
          <t>4:08</t>
        </is>
      </c>
      <c r="C6468" t="inlineStr">
        <is>
          <t>in a little bit okay what did you think</t>
        </is>
      </c>
      <c r="D6468">
        <f>HYPERLINK("https://www.youtube.com/watch?v=1-Mz6A1wPuw&amp;t=248s", "Go to time")</f>
        <v/>
      </c>
    </row>
    <row r="6469">
      <c r="A6469">
        <f>HYPERLINK("https://www.youtube.com/watch?v=1-Mz6A1wPuw", "Video")</f>
        <v/>
      </c>
      <c r="B6469" t="inlineStr">
        <is>
          <t>4:20</t>
        </is>
      </c>
      <c r="C6469" t="inlineStr">
        <is>
          <t>little bit like a debbie downer</t>
        </is>
      </c>
      <c r="D6469">
        <f>HYPERLINK("https://www.youtube.com/watch?v=1-Mz6A1wPuw&amp;t=260s", "Go to time")</f>
        <v/>
      </c>
    </row>
    <row r="6470">
      <c r="A6470">
        <f>HYPERLINK("https://www.youtube.com/watch?v=1-Mz6A1wPuw", "Video")</f>
        <v/>
      </c>
      <c r="B6470" t="inlineStr">
        <is>
          <t>8:53</t>
        </is>
      </c>
      <c r="C6470" t="inlineStr">
        <is>
          <t>we'll see you in a little bit dr. Larry</t>
        </is>
      </c>
      <c r="D6470">
        <f>HYPERLINK("https://www.youtube.com/watch?v=1-Mz6A1wPuw&amp;t=533s", "Go to time")</f>
        <v/>
      </c>
    </row>
    <row r="6471">
      <c r="A6471">
        <f>HYPERLINK("https://www.youtube.com/watch?v=1-Mz6A1wPuw", "Video")</f>
        <v/>
      </c>
      <c r="B6471" t="inlineStr">
        <is>
          <t>9:06</t>
        </is>
      </c>
      <c r="C6471" t="inlineStr">
        <is>
          <t>mentally like he seems a little bit more</t>
        </is>
      </c>
      <c r="D6471">
        <f>HYPERLINK("https://www.youtube.com/watch?v=1-Mz6A1wPuw&amp;t=546s", "Go to time")</f>
        <v/>
      </c>
    </row>
    <row r="6472">
      <c r="A6472">
        <f>HYPERLINK("https://www.youtube.com/watch?v=0gAigWxyemc", "Video")</f>
        <v/>
      </c>
      <c r="B6472" t="inlineStr">
        <is>
          <t>0:17</t>
        </is>
      </c>
      <c r="C6472" t="inlineStr">
        <is>
          <t>If I only knew what rabbit hole</t>
        </is>
      </c>
      <c r="D6472">
        <f>HYPERLINK("https://www.youtube.com/watch?v=0gAigWxyemc&amp;t=17s", "Go to time")</f>
        <v/>
      </c>
    </row>
    <row r="6473">
      <c r="A6473">
        <f>HYPERLINK("https://www.youtube.com/watch?v=hSs6ESPYfGA", "Video")</f>
        <v/>
      </c>
      <c r="B6473" t="inlineStr">
        <is>
          <t>1:30</t>
        </is>
      </c>
      <c r="C6473" t="inlineStr">
        <is>
          <t>little bit</t>
        </is>
      </c>
      <c r="D6473">
        <f>HYPERLINK("https://www.youtube.com/watch?v=hSs6ESPYfGA&amp;t=90s", "Go to time")</f>
        <v/>
      </c>
    </row>
    <row r="6474">
      <c r="A6474">
        <f>HYPERLINK("https://www.youtube.com/watch?v=rbepNMJ1O2U", "Video")</f>
        <v/>
      </c>
      <c r="B6474" t="inlineStr">
        <is>
          <t>2:54</t>
        </is>
      </c>
      <c r="C6474" t="inlineStr">
        <is>
          <t>need to have more ambition like us But</t>
        </is>
      </c>
      <c r="D6474">
        <f>HYPERLINK("https://www.youtube.com/watch?v=rbepNMJ1O2U&amp;t=174s", "Go to time")</f>
        <v/>
      </c>
    </row>
    <row r="6475">
      <c r="A6475">
        <f>HYPERLINK("https://www.youtube.com/watch?v=rbepNMJ1O2U", "Video")</f>
        <v/>
      </c>
      <c r="B6475" t="inlineStr">
        <is>
          <t>7:23</t>
        </is>
      </c>
      <c r="C6475" t="inlineStr">
        <is>
          <t>feel fresh And we put a bit of that into</t>
        </is>
      </c>
      <c r="D6475">
        <f>HYPERLINK("https://www.youtube.com/watch?v=rbepNMJ1O2U&amp;t=443s", "Go to time")</f>
        <v/>
      </c>
    </row>
    <row r="6476">
      <c r="A6476">
        <f>HYPERLINK("https://www.youtube.com/watch?v=iI72zfA1n50", "Video")</f>
        <v/>
      </c>
      <c r="B6476" t="inlineStr">
        <is>
          <t>0:51</t>
        </is>
      </c>
      <c r="C6476" t="inlineStr">
        <is>
          <t>we're just a tiny bit separated right</t>
        </is>
      </c>
      <c r="D6476">
        <f>HYPERLINK("https://www.youtube.com/watch?v=iI72zfA1n50&amp;t=51s", "Go to time")</f>
        <v/>
      </c>
    </row>
    <row r="6477">
      <c r="A6477">
        <f>HYPERLINK("https://www.youtube.com/watch?v=iI72zfA1n50", "Video")</f>
        <v/>
      </c>
      <c r="B6477" t="inlineStr">
        <is>
          <t>1:00</t>
        </is>
      </c>
      <c r="C6477" t="inlineStr">
        <is>
          <t>say she's been um a bit distant oh no</t>
        </is>
      </c>
      <c r="D6477">
        <f>HYPERLINK("https://www.youtube.com/watch?v=iI72zfA1n50&amp;t=60s", "Go to time")</f>
        <v/>
      </c>
    </row>
    <row r="6478">
      <c r="A6478">
        <f>HYPERLINK("https://www.youtube.com/watch?v=_sMONI-PfQY", "Video")</f>
        <v/>
      </c>
      <c r="B6478" t="inlineStr">
        <is>
          <t>1:41</t>
        </is>
      </c>
      <c r="C6478" t="inlineStr">
        <is>
          <t>It's bad. They bite now, sir.</t>
        </is>
      </c>
      <c r="D6478">
        <f>HYPERLINK("https://www.youtube.com/watch?v=_sMONI-PfQY&amp;t=101s", "Go to time")</f>
        <v/>
      </c>
    </row>
    <row r="6479">
      <c r="A6479">
        <f>HYPERLINK("https://www.youtube.com/watch?v=AuSEqq7ayNM", "Video")</f>
        <v/>
      </c>
      <c r="B6479" t="inlineStr">
        <is>
          <t>1:12</t>
        </is>
      </c>
      <c r="C6479" t="inlineStr">
        <is>
          <t>little bit of a risk thank you thank you</t>
        </is>
      </c>
      <c r="D6479">
        <f>HYPERLINK("https://www.youtube.com/watch?v=AuSEqq7ayNM&amp;t=72s", "Go to time")</f>
        <v/>
      </c>
    </row>
    <row r="6480">
      <c r="A6480">
        <f>HYPERLINK("https://www.youtube.com/watch?v=AuSEqq7ayNM", "Video")</f>
        <v/>
      </c>
      <c r="B6480" t="inlineStr">
        <is>
          <t>2:45</t>
        </is>
      </c>
      <c r="C6480" t="inlineStr">
        <is>
          <t>added a little bit more scratches i want</t>
        </is>
      </c>
      <c r="D6480">
        <f>HYPERLINK("https://www.youtube.com/watch?v=AuSEqq7ayNM&amp;t=165s", "Go to time")</f>
        <v/>
      </c>
    </row>
    <row r="6481">
      <c r="A6481">
        <f>HYPERLINK("https://www.youtube.com/watch?v=AuSEqq7ayNM", "Video")</f>
        <v/>
      </c>
      <c r="B6481" t="inlineStr">
        <is>
          <t>3:13</t>
        </is>
      </c>
      <c r="C6481" t="inlineStr">
        <is>
          <t>bite so it's a fried rice cake with</t>
        </is>
      </c>
      <c r="D6481">
        <f>HYPERLINK("https://www.youtube.com/watch?v=AuSEqq7ayNM&amp;t=193s", "Go to time")</f>
        <v/>
      </c>
    </row>
    <row r="6482">
      <c r="A6482">
        <f>HYPERLINK("https://www.youtube.com/watch?v=C5t-Ev-L2Ek", "Video")</f>
        <v/>
      </c>
      <c r="B6482" t="inlineStr">
        <is>
          <t>2:54</t>
        </is>
      </c>
      <c r="C6482" t="inlineStr">
        <is>
          <t>nice juicy rabbit would be</t>
        </is>
      </c>
      <c r="D6482">
        <f>HYPERLINK("https://www.youtube.com/watch?v=C5t-Ev-L2Ek&amp;t=174s", "Go to time")</f>
        <v/>
      </c>
    </row>
    <row r="6483">
      <c r="A6483">
        <f>HYPERLINK("https://www.youtube.com/watch?v=C5t-Ev-L2Ek", "Video")</f>
        <v/>
      </c>
      <c r="B6483" t="inlineStr">
        <is>
          <t>3:26</t>
        </is>
      </c>
      <c r="C6483" t="inlineStr">
        <is>
          <t>bit it's Creed's birthday today</t>
        </is>
      </c>
      <c r="D6483">
        <f>HYPERLINK("https://www.youtube.com/watch?v=C5t-Ev-L2Ek&amp;t=206s", "Go to time")</f>
        <v/>
      </c>
    </row>
    <row r="6484">
      <c r="A6484">
        <f>HYPERLINK("https://www.youtube.com/watch?v=o0CsLMn297M", "Video")</f>
        <v/>
      </c>
      <c r="B6484" t="inlineStr">
        <is>
          <t>0:09</t>
        </is>
      </c>
      <c r="C6484" t="inlineStr">
        <is>
          <t>and he's sweating a little bit like he</t>
        </is>
      </c>
      <c r="D6484">
        <f>HYPERLINK("https://www.youtube.com/watch?v=o0CsLMn297M&amp;t=9s", "Go to time")</f>
        <v/>
      </c>
    </row>
    <row r="6485">
      <c r="A6485">
        <f>HYPERLINK("https://www.youtube.com/watch?v=vM3UOV1lDtY", "Video")</f>
        <v/>
      </c>
      <c r="B6485" t="inlineStr">
        <is>
          <t>5:24</t>
        </is>
      </c>
      <c r="C6485" t="inlineStr">
        <is>
          <t>This whole janitor gambit was designed to</t>
        </is>
      </c>
      <c r="D6485">
        <f>HYPERLINK("https://www.youtube.com/watch?v=vM3UOV1lDtY&amp;t=324s", "Go to time")</f>
        <v/>
      </c>
    </row>
    <row r="6486">
      <c r="A6486">
        <f>HYPERLINK("https://www.youtube.com/watch?v=mNHJBnuYSGk", "Video")</f>
        <v/>
      </c>
      <c r="B6486" t="inlineStr">
        <is>
          <t>3:38</t>
        </is>
      </c>
      <c r="C6486" t="inlineStr">
        <is>
          <t>Are all flutists, bitches?</t>
        </is>
      </c>
      <c r="D6486">
        <f>HYPERLINK("https://www.youtube.com/watch?v=mNHJBnuYSGk&amp;t=218s", "Go to time")</f>
        <v/>
      </c>
    </row>
    <row r="6487">
      <c r="A6487">
        <f>HYPERLINK("https://www.youtube.com/watch?v=DbbeOub0AwE", "Video")</f>
        <v/>
      </c>
      <c r="B6487" t="inlineStr">
        <is>
          <t>12:24</t>
        </is>
      </c>
      <c r="C6487" t="inlineStr">
        <is>
          <t>bit Tyler your sex</t>
        </is>
      </c>
      <c r="D6487">
        <f>HYPERLINK("https://www.youtube.com/watch?v=DbbeOub0AwE&amp;t=744s", "Go to time")</f>
        <v/>
      </c>
    </row>
    <row r="6488">
      <c r="A6488">
        <f>HYPERLINK("https://www.youtube.com/watch?v=_lwCSrMOP5w", "Video")</f>
        <v/>
      </c>
      <c r="B6488" t="inlineStr">
        <is>
          <t>0:56</t>
        </is>
      </c>
      <c r="C6488" t="inlineStr">
        <is>
          <t>You might cement in some bad habits.</t>
        </is>
      </c>
      <c r="D6488">
        <f>HYPERLINK("https://www.youtube.com/watch?v=_lwCSrMOP5w&amp;t=56s", "Go to time")</f>
        <v/>
      </c>
    </row>
    <row r="6489">
      <c r="A6489">
        <f>HYPERLINK("https://www.youtube.com/watch?v=vczvenJI8ug", "Video")</f>
        <v/>
      </c>
      <c r="B6489" t="inlineStr">
        <is>
          <t>2:54</t>
        </is>
      </c>
      <c r="C6489" t="inlineStr">
        <is>
          <t>ourselves a little bit more with</t>
        </is>
      </c>
      <c r="D6489">
        <f>HYPERLINK("https://www.youtube.com/watch?v=vczvenJI8ug&amp;t=174s", "Go to time")</f>
        <v/>
      </c>
    </row>
    <row r="6490">
      <c r="A6490">
        <f>HYPERLINK("https://www.youtube.com/watch?v=vczvenJI8ug", "Video")</f>
        <v/>
      </c>
      <c r="B6490" t="inlineStr">
        <is>
          <t>5:25</t>
        </is>
      </c>
      <c r="C6490" t="inlineStr">
        <is>
          <t>you know 2020 is a little bit like uh</t>
        </is>
      </c>
      <c r="D6490">
        <f>HYPERLINK("https://www.youtube.com/watch?v=vczvenJI8ug&amp;t=325s", "Go to time")</f>
        <v/>
      </c>
    </row>
    <row r="6491">
      <c r="A6491">
        <f>HYPERLINK("https://www.youtube.com/watch?v=knLagZXEQ1c", "Video")</f>
        <v/>
      </c>
      <c r="B6491" t="inlineStr">
        <is>
          <t>2:57</t>
        </is>
      </c>
      <c r="C6491" t="inlineStr">
        <is>
          <t>like I'd rather be a little bit more</t>
        </is>
      </c>
      <c r="D6491">
        <f>HYPERLINK("https://www.youtube.com/watch?v=knLagZXEQ1c&amp;t=177s", "Go to time")</f>
        <v/>
      </c>
    </row>
    <row r="6492">
      <c r="A6492">
        <f>HYPERLINK("https://www.youtube.com/watch?v=uSH2yhAi-Fo", "Video")</f>
        <v/>
      </c>
      <c r="B6492" t="inlineStr">
        <is>
          <t>2:49</t>
        </is>
      </c>
      <c r="C6492" t="inlineStr">
        <is>
          <t>you even tinkled a little bit</t>
        </is>
      </c>
      <c r="D6492">
        <f>HYPERLINK("https://www.youtube.com/watch?v=uSH2yhAi-Fo&amp;t=169s", "Go to time")</f>
        <v/>
      </c>
    </row>
    <row r="6493">
      <c r="A6493">
        <f>HYPERLINK("https://www.youtube.com/watch?v=_JKeY8zDQKU", "Video")</f>
        <v/>
      </c>
      <c r="B6493" t="inlineStr">
        <is>
          <t>9:05</t>
        </is>
      </c>
      <c r="C6493" t="inlineStr">
        <is>
          <t>a cheaper habit.</t>
        </is>
      </c>
      <c r="D6493">
        <f>HYPERLINK("https://www.youtube.com/watch?v=_JKeY8zDQKU&amp;t=545s", "Go to time")</f>
        <v/>
      </c>
    </row>
    <row r="6494">
      <c r="A6494">
        <f>HYPERLINK("https://www.youtube.com/watch?v=wKbY5k7I-CA", "Video")</f>
        <v/>
      </c>
      <c r="B6494" t="inlineStr">
        <is>
          <t>4:12</t>
        </is>
      </c>
      <c r="C6494" t="inlineStr">
        <is>
          <t>coming up with the bits is this you and</t>
        </is>
      </c>
      <c r="D6494">
        <f>HYPERLINK("https://www.youtube.com/watch?v=wKbY5k7I-CA&amp;t=252s", "Go to time")</f>
        <v/>
      </c>
    </row>
    <row r="6495">
      <c r="A6495">
        <f>HYPERLINK("https://www.youtube.com/watch?v=6xonRI8jlBc", "Video")</f>
        <v/>
      </c>
      <c r="B6495" t="inlineStr">
        <is>
          <t>1:39</t>
        </is>
      </c>
      <c r="C6495" t="inlineStr">
        <is>
          <t>bit of a stretch what about improving</t>
        </is>
      </c>
      <c r="D6495">
        <f>HYPERLINK("https://www.youtube.com/watch?v=6xonRI8jlBc&amp;t=99s", "Go to time")</f>
        <v/>
      </c>
    </row>
    <row r="6496">
      <c r="A6496">
        <f>HYPERLINK("https://www.youtube.com/watch?v=HnrjsNhkD0w", "Video")</f>
        <v/>
      </c>
      <c r="B6496" t="inlineStr">
        <is>
          <t>0:31</t>
        </is>
      </c>
      <c r="C6496" t="inlineStr">
        <is>
          <t>We have a bit of a medical situation.</t>
        </is>
      </c>
      <c r="D6496">
        <f>HYPERLINK("https://www.youtube.com/watch?v=HnrjsNhkD0w&amp;t=31s", "Go to time")</f>
        <v/>
      </c>
    </row>
    <row r="6497">
      <c r="A6497">
        <f>HYPERLINK("https://www.youtube.com/watch?v=HnrjsNhkD0w", "Video")</f>
        <v/>
      </c>
      <c r="B6497" t="inlineStr">
        <is>
          <t>0:35</t>
        </is>
      </c>
      <c r="C6497" t="inlineStr">
        <is>
          <t>a bit of a wooden duck situation.</t>
        </is>
      </c>
      <c r="D6497">
        <f>HYPERLINK("https://www.youtube.com/watch?v=HnrjsNhkD0w&amp;t=35s", "Go to time")</f>
        <v/>
      </c>
    </row>
    <row r="6498">
      <c r="A6498">
        <f>HYPERLINK("https://www.youtube.com/watch?v=N987ga3h5c8", "Video")</f>
        <v/>
      </c>
      <c r="B6498" t="inlineStr">
        <is>
          <t>0:42</t>
        </is>
      </c>
      <c r="C6498" t="inlineStr">
        <is>
          <t>patio chair and a juicy bit of Gossip</t>
        </is>
      </c>
      <c r="D6498">
        <f>HYPERLINK("https://www.youtube.com/watch?v=N987ga3h5c8&amp;t=42s", "Go to time")</f>
        <v/>
      </c>
    </row>
    <row r="6499">
      <c r="A6499">
        <f>HYPERLINK("https://www.youtube.com/watch?v=KP3Hngzgk4k", "Video")</f>
        <v/>
      </c>
      <c r="B6499" t="inlineStr">
        <is>
          <t>2:15</t>
        </is>
      </c>
      <c r="C6499" t="inlineStr">
        <is>
          <t>we're just yeah s turned up a little bit</t>
        </is>
      </c>
      <c r="D6499">
        <f>HYPERLINK("https://www.youtube.com/watch?v=KP3Hngzgk4k&amp;t=135s", "Go to time")</f>
        <v/>
      </c>
    </row>
    <row r="6500">
      <c r="A6500">
        <f>HYPERLINK("https://www.youtube.com/watch?v=E38Ynn-zI6Q", "Video")</f>
        <v/>
      </c>
      <c r="B6500" t="inlineStr">
        <is>
          <t>1:03</t>
        </is>
      </c>
      <c r="C6500" t="inlineStr">
        <is>
          <t>sweetheart just one little bite</t>
        </is>
      </c>
      <c r="D6500">
        <f>HYPERLINK("https://www.youtube.com/watch?v=E38Ynn-zI6Q&amp;t=63s", "Go to time")</f>
        <v/>
      </c>
    </row>
    <row r="6501">
      <c r="A6501">
        <f>HYPERLINK("https://www.youtube.com/watch?v=WfrOtsfGuTI", "Video")</f>
        <v/>
      </c>
      <c r="B6501" t="inlineStr">
        <is>
          <t>4:22</t>
        </is>
      </c>
      <c r="C6501" t="inlineStr">
        <is>
          <t>take a little bite here</t>
        </is>
      </c>
      <c r="D6501">
        <f>HYPERLINK("https://www.youtube.com/watch?v=WfrOtsfGuTI&amp;t=262s", "Go to time")</f>
        <v/>
      </c>
    </row>
    <row r="6502">
      <c r="A6502">
        <f>HYPERLINK("https://www.youtube.com/watch?v=WfrOtsfGuTI", "Video")</f>
        <v/>
      </c>
      <c r="B6502" t="inlineStr">
        <is>
          <t>4:43</t>
        </is>
      </c>
      <c r="C6502" t="inlineStr">
        <is>
          <t>just take a little bite</t>
        </is>
      </c>
      <c r="D6502">
        <f>HYPERLINK("https://www.youtube.com/watch?v=WfrOtsfGuTI&amp;t=283s", "Go to time")</f>
        <v/>
      </c>
    </row>
    <row r="6503">
      <c r="A6503">
        <f>HYPERLINK("https://www.youtube.com/watch?v=WfrOtsfGuTI", "Video")</f>
        <v/>
      </c>
      <c r="B6503" t="inlineStr">
        <is>
          <t>4:58</t>
        </is>
      </c>
      <c r="C6503" t="inlineStr">
        <is>
          <t>a bit don't spit at all I gotta get the</t>
        </is>
      </c>
      <c r="D6503">
        <f>HYPERLINK("https://www.youtube.com/watch?v=WfrOtsfGuTI&amp;t=298s", "Go to time")</f>
        <v/>
      </c>
    </row>
    <row r="6504">
      <c r="A6504">
        <f>HYPERLINK("https://www.youtube.com/watch?v=o5HoJaYJUO4", "Video")</f>
        <v/>
      </c>
      <c r="B6504" t="inlineStr">
        <is>
          <t>9:30</t>
        </is>
      </c>
      <c r="C6504" t="inlineStr">
        <is>
          <t>of. And it's a bitter pill to swallow.</t>
        </is>
      </c>
      <c r="D6504">
        <f>HYPERLINK("https://www.youtube.com/watch?v=o5HoJaYJUO4&amp;t=570s", "Go to time")</f>
        <v/>
      </c>
    </row>
    <row r="6505">
      <c r="A6505">
        <f>HYPERLINK("https://www.youtube.com/watch?v=wH7fRFhABQI", "Video")</f>
        <v/>
      </c>
      <c r="B6505" t="inlineStr">
        <is>
          <t>1:02</t>
        </is>
      </c>
      <c r="C6505" t="inlineStr">
        <is>
          <t>it's not like that even a little bit if</t>
        </is>
      </c>
      <c r="D6505">
        <f>HYPERLINK("https://www.youtube.com/watch?v=wH7fRFhABQI&amp;t=62s", "Go to time")</f>
        <v/>
      </c>
    </row>
    <row r="6506">
      <c r="A6506">
        <f>HYPERLINK("https://www.youtube.com/watch?v=wH7fRFhABQI", "Video")</f>
        <v/>
      </c>
      <c r="B6506" t="inlineStr">
        <is>
          <t>1:14</t>
        </is>
      </c>
      <c r="C6506" t="inlineStr">
        <is>
          <t>history which i know a little bit about</t>
        </is>
      </c>
      <c r="D6506">
        <f>HYPERLINK("https://www.youtube.com/watch?v=wH7fRFhABQI&amp;t=74s", "Go to time")</f>
        <v/>
      </c>
    </row>
    <row r="6507">
      <c r="A6507">
        <f>HYPERLINK("https://www.youtube.com/watch?v=r5HN7S00ZQY", "Video")</f>
        <v/>
      </c>
      <c r="B6507" t="inlineStr">
        <is>
          <t>3:13</t>
        </is>
      </c>
      <c r="C6507" t="inlineStr">
        <is>
          <t>Rights Movement as like this little bit</t>
        </is>
      </c>
      <c r="D6507">
        <f>HYPERLINK("https://www.youtube.com/watch?v=r5HN7S00ZQY&amp;t=193s", "Go to time")</f>
        <v/>
      </c>
    </row>
    <row r="6508">
      <c r="A6508">
        <f>HYPERLINK("https://www.youtube.com/watch?v=r5HN7S00ZQY", "Video")</f>
        <v/>
      </c>
      <c r="B6508" t="inlineStr">
        <is>
          <t>8:38</t>
        </is>
      </c>
      <c r="C6508" t="inlineStr">
        <is>
          <t>Bitcoin bro</t>
        </is>
      </c>
      <c r="D6508">
        <f>HYPERLINK("https://www.youtube.com/watch?v=r5HN7S00ZQY&amp;t=518s", "Go to time")</f>
        <v/>
      </c>
    </row>
    <row r="6509">
      <c r="A6509">
        <f>HYPERLINK("https://www.youtube.com/watch?v=vxWSlYCz0WA", "Video")</f>
        <v/>
      </c>
      <c r="B6509" t="inlineStr">
        <is>
          <t>1:48</t>
        </is>
      </c>
      <c r="C6509" t="inlineStr">
        <is>
          <t>I'm just tidying up a little bit.</t>
        </is>
      </c>
      <c r="D6509">
        <f>HYPERLINK("https://www.youtube.com/watch?v=vxWSlYCz0WA&amp;t=108s", "Go to time")</f>
        <v/>
      </c>
    </row>
    <row r="6510">
      <c r="A6510">
        <f>HYPERLINK("https://www.youtube.com/watch?v=8W1vOyrg45Y", "Video")</f>
        <v/>
      </c>
      <c r="B6510" t="inlineStr">
        <is>
          <t>0:08</t>
        </is>
      </c>
      <c r="C6510" t="inlineStr">
        <is>
          <t>it thank you i'm whether it's a bit too</t>
        </is>
      </c>
      <c r="D6510">
        <f>HYPERLINK("https://www.youtube.com/watch?v=8W1vOyrg45Y&amp;t=8s", "Go to time")</f>
        <v/>
      </c>
    </row>
    <row r="6511">
      <c r="A6511">
        <f>HYPERLINK("https://www.youtube.com/watch?v=P5407GiyknU", "Video")</f>
        <v/>
      </c>
      <c r="B6511" t="inlineStr">
        <is>
          <t>0:15</t>
        </is>
      </c>
      <c r="C6511" t="inlineStr">
        <is>
          <t>can can i hear a bit about it</t>
        </is>
      </c>
      <c r="D6511">
        <f>HYPERLINK("https://www.youtube.com/watch?v=P5407GiyknU&amp;t=15s", "Go to time")</f>
        <v/>
      </c>
    </row>
    <row r="6512">
      <c r="A6512">
        <f>HYPERLINK("https://www.youtube.com/watch?v=7fLuYpW7D94", "Video")</f>
        <v/>
      </c>
      <c r="B6512" t="inlineStr">
        <is>
          <t>0:40</t>
        </is>
      </c>
      <c r="C6512" t="inlineStr">
        <is>
          <t>a little bit busy i know i know your job</t>
        </is>
      </c>
      <c r="D6512">
        <f>HYPERLINK("https://www.youtube.com/watch?v=7fLuYpW7D94&amp;t=40s", "Go to time")</f>
        <v/>
      </c>
    </row>
    <row r="6513">
      <c r="A6513">
        <f>HYPERLINK("https://www.youtube.com/watch?v=7fLuYpW7D94", "Video")</f>
        <v/>
      </c>
      <c r="B6513" t="inlineStr">
        <is>
          <t>5:18</t>
        </is>
      </c>
      <c r="C6513" t="inlineStr">
        <is>
          <t>with in any bit of what you've said you</t>
        </is>
      </c>
      <c r="D6513">
        <f>HYPERLINK("https://www.youtube.com/watch?v=7fLuYpW7D94&amp;t=318s", "Go to time")</f>
        <v/>
      </c>
    </row>
    <row r="6514">
      <c r="A6514">
        <f>HYPERLINK("https://www.youtube.com/watch?v=wbxqiIYXX5Q", "Video")</f>
        <v/>
      </c>
      <c r="B6514" t="inlineStr">
        <is>
          <t>1:40</t>
        </is>
      </c>
      <c r="C6514" t="inlineStr">
        <is>
          <t>that kind of fits with the style
of the modern day Jackal - it’s a bit dark.</t>
        </is>
      </c>
      <c r="D6514">
        <f>HYPERLINK("https://www.youtube.com/watch?v=wbxqiIYXX5Q&amp;t=100s", "Go to time")</f>
        <v/>
      </c>
    </row>
    <row r="6515">
      <c r="A6515">
        <f>HYPERLINK("https://www.youtube.com/watch?v=lyZV5SwurDk", "Video")</f>
        <v/>
      </c>
      <c r="B6515" t="inlineStr">
        <is>
          <t>0:00</t>
        </is>
      </c>
      <c r="C6515" t="inlineStr">
        <is>
          <t>punch in a little bit later yeah check</t>
        </is>
      </c>
      <c r="D6515">
        <f>HYPERLINK("https://www.youtube.com/watch?v=lyZV5SwurDk&amp;t=0s", "Go to time")</f>
        <v/>
      </c>
    </row>
    <row r="6516">
      <c r="A6516">
        <f>HYPERLINK("https://www.youtube.com/watch?v=lyZV5SwurDk", "Video")</f>
        <v/>
      </c>
      <c r="B6516" t="inlineStr">
        <is>
          <t>0:11</t>
        </is>
      </c>
      <c r="C6516" t="inlineStr">
        <is>
          <t>i need something a little bit more</t>
        </is>
      </c>
      <c r="D6516">
        <f>HYPERLINK("https://www.youtube.com/watch?v=lyZV5SwurDk&amp;t=11s", "Go to time")</f>
        <v/>
      </c>
    </row>
    <row r="6517">
      <c r="A6517">
        <f>HYPERLINK("https://www.youtube.com/watch?v=YCYSr5Bznts", "Video")</f>
        <v/>
      </c>
      <c r="B6517" t="inlineStr">
        <is>
          <t>1:56</t>
        </is>
      </c>
      <c r="C6517" t="inlineStr">
        <is>
          <t>looks like you got bit in the face by</t>
        </is>
      </c>
      <c r="D6517">
        <f>HYPERLINK("https://www.youtube.com/watch?v=YCYSr5Bznts&amp;t=116s", "Go to time")</f>
        <v/>
      </c>
    </row>
    <row r="6518">
      <c r="A6518">
        <f>HYPERLINK("https://www.youtube.com/watch?v=vxtvWovNKKE", "Video")</f>
        <v/>
      </c>
      <c r="B6518" t="inlineStr">
        <is>
          <t>3:08</t>
        </is>
      </c>
      <c r="C6518" t="inlineStr">
        <is>
          <t>we're going to Lenny for a bite to eat</t>
        </is>
      </c>
      <c r="D6518">
        <f>HYPERLINK("https://www.youtube.com/watch?v=vxtvWovNKKE&amp;t=188s", "Go to time")</f>
        <v/>
      </c>
    </row>
    <row r="6519">
      <c r="A6519">
        <f>HYPERLINK("https://www.youtube.com/watch?v=vxtvWovNKKE", "Video")</f>
        <v/>
      </c>
      <c r="B6519" t="inlineStr">
        <is>
          <t>3:09</t>
        </is>
      </c>
      <c r="C6519" t="inlineStr">
        <is>
          <t>more than a bite if you value my</t>
        </is>
      </c>
      <c r="D6519">
        <f>HYPERLINK("https://www.youtube.com/watch?v=vxtvWovNKKE&amp;t=189s", "Go to time")</f>
        <v/>
      </c>
    </row>
    <row r="6520">
      <c r="A6520">
        <f>HYPERLINK("https://www.youtube.com/watch?v=Q1MyomXOurA", "Video")</f>
        <v/>
      </c>
      <c r="B6520" t="inlineStr">
        <is>
          <t>0:36</t>
        </is>
      </c>
      <c r="C6520" t="inlineStr">
        <is>
          <t>Promise they can get a little bit clingy.</t>
        </is>
      </c>
      <c r="D6520">
        <f>HYPERLINK("https://www.youtube.com/watch?v=Q1MyomXOurA&amp;t=36s", "Go to time")</f>
        <v/>
      </c>
    </row>
    <row r="6521">
      <c r="A6521">
        <f>HYPERLINK("https://www.youtube.com/watch?v=Tsycoa7KYSQ", "Video")</f>
        <v/>
      </c>
      <c r="B6521" t="inlineStr">
        <is>
          <t>2:42</t>
        </is>
      </c>
      <c r="C6521" t="inlineStr">
        <is>
          <t>Bite it Mighty Mouse.</t>
        </is>
      </c>
      <c r="D6521">
        <f>HYPERLINK("https://www.youtube.com/watch?v=Tsycoa7KYSQ&amp;t=162s", "Go to time")</f>
        <v/>
      </c>
    </row>
    <row r="6522">
      <c r="A6522">
        <f>HYPERLINK("https://www.youtube.com/watch?v=abvjZmBJP28", "Video")</f>
        <v/>
      </c>
      <c r="B6522" t="inlineStr">
        <is>
          <t>0:00</t>
        </is>
      </c>
      <c r="C6522" t="inlineStr">
        <is>
          <t>tonight's a little bittersweet it's our</t>
        </is>
      </c>
      <c r="D6522">
        <f>HYPERLINK("https://www.youtube.com/watch?v=abvjZmBJP28&amp;t=0s", "Go to time")</f>
        <v/>
      </c>
    </row>
    <row r="6523">
      <c r="A6523">
        <f>HYPERLINK("https://www.youtube.com/watch?v=hRr8dMkmZoo", "Video")</f>
        <v/>
      </c>
      <c r="B6523" t="inlineStr">
        <is>
          <t>3:54</t>
        </is>
      </c>
      <c r="C6523" t="inlineStr">
        <is>
          <t>little bit more clearly but then my</t>
        </is>
      </c>
      <c r="D6523">
        <f>HYPERLINK("https://www.youtube.com/watch?v=hRr8dMkmZoo&amp;t=234s", "Go to time")</f>
        <v/>
      </c>
    </row>
    <row r="6524">
      <c r="A6524">
        <f>HYPERLINK("https://www.youtube.com/watch?v=jR-WyF_198E", "Video")</f>
        <v/>
      </c>
      <c r="B6524" t="inlineStr">
        <is>
          <t>4:40</t>
        </is>
      </c>
      <c r="C6524" t="inlineStr">
        <is>
          <t>rabbit okay hey what do you say we have</t>
        </is>
      </c>
      <c r="D6524">
        <f>HYPERLINK("https://www.youtube.com/watch?v=jR-WyF_198E&amp;t=280s", "Go to time")</f>
        <v/>
      </c>
    </row>
    <row r="6525">
      <c r="A6525">
        <f>HYPERLINK("https://www.youtube.com/watch?v=CptlEaSoi1M", "Video")</f>
        <v/>
      </c>
      <c r="B6525" t="inlineStr">
        <is>
          <t>0:52</t>
        </is>
      </c>
      <c r="C6525" t="inlineStr">
        <is>
          <t>a bit of a dilemma</t>
        </is>
      </c>
      <c r="D6525">
        <f>HYPERLINK("https://www.youtube.com/watch?v=CptlEaSoi1M&amp;t=52s", "Go to time")</f>
        <v/>
      </c>
    </row>
    <row r="6526">
      <c r="A6526">
        <f>HYPERLINK("https://www.youtube.com/watch?v=11q1Ku_5RvE", "Video")</f>
        <v/>
      </c>
      <c r="B6526" t="inlineStr">
        <is>
          <t>5:25</t>
        </is>
      </c>
      <c r="C6526" t="inlineStr">
        <is>
          <t>What are you doing? He's biting me!</t>
        </is>
      </c>
      <c r="D6526">
        <f>HYPERLINK("https://www.youtube.com/watch?v=11q1Ku_5RvE&amp;t=325s", "Go to time")</f>
        <v/>
      </c>
    </row>
    <row r="6527">
      <c r="A6527">
        <f>HYPERLINK("https://www.youtube.com/watch?v=11q1Ku_5RvE", "Video")</f>
        <v/>
      </c>
      <c r="B6527" t="inlineStr">
        <is>
          <t>5:30</t>
        </is>
      </c>
      <c r="C6527" t="inlineStr">
        <is>
          <t>Oh, that's making him bite me harder.</t>
        </is>
      </c>
      <c r="D6527">
        <f>HYPERLINK("https://www.youtube.com/watch?v=11q1Ku_5RvE&amp;t=330s", "Go to time")</f>
        <v/>
      </c>
    </row>
    <row r="6528">
      <c r="A6528">
        <f>HYPERLINK("https://www.youtube.com/watch?v=VZWNG9SkAX0", "Video")</f>
        <v/>
      </c>
      <c r="B6528" t="inlineStr">
        <is>
          <t>0:38</t>
        </is>
      </c>
      <c r="C6528" t="inlineStr">
        <is>
          <t>his head a little bit and seeing what</t>
        </is>
      </c>
      <c r="D6528">
        <f>HYPERLINK("https://www.youtube.com/watch?v=VZWNG9SkAX0&amp;t=38s", "Go to time")</f>
        <v/>
      </c>
    </row>
    <row r="6529">
      <c r="A6529">
        <f>HYPERLINK("https://www.youtube.com/watch?v=VZWNG9SkAX0", "Video")</f>
        <v/>
      </c>
      <c r="B6529" t="inlineStr">
        <is>
          <t>1:46</t>
        </is>
      </c>
      <c r="C6529" t="inlineStr">
        <is>
          <t>kissing me mhm moaning a little bit cuz</t>
        </is>
      </c>
      <c r="D6529">
        <f>HYPERLINK("https://www.youtube.com/watch?v=VZWNG9SkAX0&amp;t=106s", "Go to time")</f>
        <v/>
      </c>
    </row>
    <row r="6530">
      <c r="A6530">
        <f>HYPERLINK("https://www.youtube.com/watch?v=VZWNG9SkAX0", "Video")</f>
        <v/>
      </c>
      <c r="B6530" t="inlineStr">
        <is>
          <t>4:41</t>
        </is>
      </c>
      <c r="C6530" t="inlineStr">
        <is>
          <t>cute I'm feeling a little bit</t>
        </is>
      </c>
      <c r="D6530">
        <f>HYPERLINK("https://www.youtube.com/watch?v=VZWNG9SkAX0&amp;t=281s", "Go to time")</f>
        <v/>
      </c>
    </row>
    <row r="6531">
      <c r="A6531">
        <f>HYPERLINK("https://www.youtube.com/watch?v=Z9iPPrKUisY", "Video")</f>
        <v/>
      </c>
      <c r="B6531" t="inlineStr">
        <is>
          <t>6:48</t>
        </is>
      </c>
      <c r="C6531" t="inlineStr">
        <is>
          <t>might be a little bit more careful in the
future.</t>
        </is>
      </c>
      <c r="D6531">
        <f>HYPERLINK("https://www.youtube.com/watch?v=Z9iPPrKUisY&amp;t=408s", "Go to time")</f>
        <v/>
      </c>
    </row>
    <row r="6532">
      <c r="A6532">
        <f>HYPERLINK("https://www.youtube.com/watch?v=Z9iPPrKUisY", "Video")</f>
        <v/>
      </c>
      <c r="B6532" t="inlineStr">
        <is>
          <t>9:27</t>
        </is>
      </c>
      <c r="C6532" t="inlineStr">
        <is>
          <t>No, we just got to bite the bullet and get
the stupid vacation over with.</t>
        </is>
      </c>
      <c r="D6532">
        <f>HYPERLINK("https://www.youtube.com/watch?v=Z9iPPrKUisY&amp;t=567s", "Go to time")</f>
        <v/>
      </c>
    </row>
    <row r="6533">
      <c r="A6533">
        <f>HYPERLINK("https://www.youtube.com/watch?v=WyYXTJlB08c", "Video")</f>
        <v/>
      </c>
      <c r="B6533" t="inlineStr">
        <is>
          <t>0:54</t>
        </is>
      </c>
      <c r="C6533" t="inlineStr">
        <is>
          <t>Woo! We got married, bitches!</t>
        </is>
      </c>
      <c r="D6533">
        <f>HYPERLINK("https://www.youtube.com/watch?v=WyYXTJlB08c&amp;t=54s", "Go to time")</f>
        <v/>
      </c>
    </row>
    <row r="6534">
      <c r="A6534">
        <f>HYPERLINK("https://www.youtube.com/watch?v=lZJLtBR96Cg", "Video")</f>
        <v/>
      </c>
      <c r="B6534" t="inlineStr">
        <is>
          <t>2:15</t>
        </is>
      </c>
      <c r="C6534" t="inlineStr">
        <is>
          <t>Should I do this thing where I kind of
trip over it, then I b**** a little bit.</t>
        </is>
      </c>
      <c r="D6534">
        <f>HYPERLINK("https://www.youtube.com/watch?v=lZJLtBR96Cg&amp;t=135s", "Go to time")</f>
        <v/>
      </c>
    </row>
    <row r="6535">
      <c r="A6535">
        <f>HYPERLINK("https://www.youtube.com/watch?v=NiidUuPZxpA", "Video")</f>
        <v/>
      </c>
      <c r="B6535" t="inlineStr">
        <is>
          <t>4:36</t>
        </is>
      </c>
      <c r="C6535" t="inlineStr">
        <is>
          <t>bit you know get out there and it's</t>
        </is>
      </c>
      <c r="D6535">
        <f>HYPERLINK("https://www.youtube.com/watch?v=NiidUuPZxpA&amp;t=276s", "Go to time")</f>
        <v/>
      </c>
    </row>
    <row r="6536">
      <c r="A6536">
        <f>HYPERLINK("https://www.youtube.com/watch?v=NiidUuPZxpA", "Video")</f>
        <v/>
      </c>
      <c r="B6536" t="inlineStr">
        <is>
          <t>17:04</t>
        </is>
      </c>
      <c r="C6536" t="inlineStr">
        <is>
          <t>bit harder cuz you you know you start</t>
        </is>
      </c>
      <c r="D6536">
        <f>HYPERLINK("https://www.youtube.com/watch?v=NiidUuPZxpA&amp;t=1024s", "Go to time")</f>
        <v/>
      </c>
    </row>
    <row r="6537">
      <c r="A6537">
        <f>HYPERLINK("https://www.youtube.com/watch?v=3_IA-XVUSjQ", "Video")</f>
        <v/>
      </c>
      <c r="B6537" t="inlineStr">
        <is>
          <t>1:49</t>
        </is>
      </c>
      <c r="C6537" t="inlineStr">
        <is>
          <t>that dude is he's a cipher a little bit</t>
        </is>
      </c>
      <c r="D6537">
        <f>HYPERLINK("https://www.youtube.com/watch?v=3_IA-XVUSjQ&amp;t=109s", "Go to time")</f>
        <v/>
      </c>
    </row>
    <row r="6538">
      <c r="A6538">
        <f>HYPERLINK("https://www.youtube.com/watch?v=EKnilMm-Gwc", "Video")</f>
        <v/>
      </c>
      <c r="B6538" t="inlineStr">
        <is>
          <t>5:09</t>
        </is>
      </c>
      <c r="C6538" t="inlineStr">
        <is>
          <t>that's cool i took a bite out of it yeah</t>
        </is>
      </c>
      <c r="D6538">
        <f>HYPERLINK("https://www.youtube.com/watch?v=EKnilMm-Gwc&amp;t=309s", "Go to time")</f>
        <v/>
      </c>
    </row>
    <row r="6539">
      <c r="A6539">
        <f>HYPERLINK("https://www.youtube.com/watch?v=EKnilMm-Gwc", "Video")</f>
        <v/>
      </c>
      <c r="B6539" t="inlineStr">
        <is>
          <t>48:22</t>
        </is>
      </c>
      <c r="C6539" t="inlineStr">
        <is>
          <t>looks a little bit like uh jeffrey down</t>
        </is>
      </c>
      <c r="D6539">
        <f>HYPERLINK("https://www.youtube.com/watch?v=EKnilMm-Gwc&amp;t=2902s", "Go to time")</f>
        <v/>
      </c>
    </row>
    <row r="6540">
      <c r="A6540">
        <f>HYPERLINK("https://www.youtube.com/watch?v=AysBfL8P1v0", "Video")</f>
        <v/>
      </c>
      <c r="B6540" t="inlineStr">
        <is>
          <t>0:36</t>
        </is>
      </c>
      <c r="C6540" t="inlineStr">
        <is>
          <t>that a bit now and then more when we</t>
        </is>
      </c>
      <c r="D6540">
        <f>HYPERLINK("https://www.youtube.com/watch?v=AysBfL8P1v0&amp;t=36s", "Go to time")</f>
        <v/>
      </c>
    </row>
    <row r="6541">
      <c r="A6541">
        <f>HYPERLINK("https://www.youtube.com/watch?v=UpDJSBozrwI", "Video")</f>
        <v/>
      </c>
      <c r="B6541" t="inlineStr">
        <is>
          <t>4:23</t>
        </is>
      </c>
      <c r="C6541" t="inlineStr">
        <is>
          <t>we're all a little bit</t>
        </is>
      </c>
      <c r="D6541">
        <f>HYPERLINK("https://www.youtube.com/watch?v=UpDJSBozrwI&amp;t=263s", "Go to time")</f>
        <v/>
      </c>
    </row>
    <row r="6542">
      <c r="A6542">
        <f>HYPERLINK("https://www.youtube.com/watch?v=h1HdPtfWfUM", "Video")</f>
        <v/>
      </c>
      <c r="B6542" t="inlineStr">
        <is>
          <t>0:56</t>
        </is>
      </c>
      <c r="C6542" t="inlineStr">
        <is>
          <t>kind of rewound the clock a little bit</t>
        </is>
      </c>
      <c r="D6542">
        <f>HYPERLINK("https://www.youtube.com/watch?v=h1HdPtfWfUM&amp;t=56s", "Go to time")</f>
        <v/>
      </c>
    </row>
    <row r="6543">
      <c r="A6543">
        <f>HYPERLINK("https://www.youtube.com/watch?v=h1HdPtfWfUM", "Video")</f>
        <v/>
      </c>
      <c r="B6543" t="inlineStr">
        <is>
          <t>3:00</t>
        </is>
      </c>
      <c r="C6543" t="inlineStr">
        <is>
          <t>added a little bit here and there to it</t>
        </is>
      </c>
      <c r="D6543">
        <f>HYPERLINK("https://www.youtube.com/watch?v=h1HdPtfWfUM&amp;t=180s", "Go to time")</f>
        <v/>
      </c>
    </row>
    <row r="6544">
      <c r="A6544">
        <f>HYPERLINK("https://www.youtube.com/watch?v=sJoMdI66Pzc", "Video")</f>
        <v/>
      </c>
      <c r="B6544" t="inlineStr">
        <is>
          <t>3:09</t>
        </is>
      </c>
      <c r="C6544" t="inlineStr">
        <is>
          <t>starts biting it at the table.</t>
        </is>
      </c>
      <c r="D6544">
        <f>HYPERLINK("https://www.youtube.com/watch?v=sJoMdI66Pzc&amp;t=189s", "Go to time")</f>
        <v/>
      </c>
    </row>
    <row r="6545">
      <c r="A6545">
        <f>HYPERLINK("https://www.youtube.com/watch?v=0hjhkYkxMEY", "Video")</f>
        <v/>
      </c>
      <c r="B6545" t="inlineStr">
        <is>
          <t>9:00</t>
        </is>
      </c>
      <c r="C6545" t="inlineStr">
        <is>
          <t>You son of a bitch.</t>
        </is>
      </c>
      <c r="D6545">
        <f>HYPERLINK("https://www.youtube.com/watch?v=0hjhkYkxMEY&amp;t=540s", "Go to time")</f>
        <v/>
      </c>
    </row>
    <row r="6546">
      <c r="A6546">
        <f>HYPERLINK("https://www.youtube.com/watch?v=0hjhkYkxMEY", "Video")</f>
        <v/>
      </c>
      <c r="B6546" t="inlineStr">
        <is>
          <t>9:22</t>
        </is>
      </c>
      <c r="C6546" t="inlineStr">
        <is>
          <t>Did this son of a bitch steal your.</t>
        </is>
      </c>
      <c r="D6546">
        <f>HYPERLINK("https://www.youtube.com/watch?v=0hjhkYkxMEY&amp;t=562s", "Go to time")</f>
        <v/>
      </c>
    </row>
    <row r="6547">
      <c r="A6547">
        <f>HYPERLINK("https://www.youtube.com/watch?v=ZsNwrJe7mI4", "Video")</f>
        <v/>
      </c>
      <c r="B6547" t="inlineStr">
        <is>
          <t>1:21</t>
        </is>
      </c>
      <c r="C6547" t="inlineStr">
        <is>
          <t>Whoa. He changed a little bit.</t>
        </is>
      </c>
      <c r="D6547">
        <f>HYPERLINK("https://www.youtube.com/watch?v=ZsNwrJe7mI4&amp;t=81s", "Go to time")</f>
        <v/>
      </c>
    </row>
    <row r="6548">
      <c r="A6548">
        <f>HYPERLINK("https://www.youtube.com/watch?v=MhvmE9iZmUM", "Video")</f>
        <v/>
      </c>
      <c r="B6548" t="inlineStr">
        <is>
          <t>2:37</t>
        </is>
      </c>
      <c r="C6548" t="inlineStr">
        <is>
          <t>Well, they need a little bit.</t>
        </is>
      </c>
      <c r="D6548">
        <f>HYPERLINK("https://www.youtube.com/watch?v=MhvmE9iZmUM&amp;t=157s", "Go to time")</f>
        <v/>
      </c>
    </row>
    <row r="6549">
      <c r="A6549">
        <f>HYPERLINK("https://www.youtube.com/watch?v=0NpRpeRKwHo", "Video")</f>
        <v/>
      </c>
      <c r="B6549" t="inlineStr">
        <is>
          <t>0:22</t>
        </is>
      </c>
      <c r="C6549" t="inlineStr">
        <is>
          <t>one more bite</t>
        </is>
      </c>
      <c r="D6549">
        <f>HYPERLINK("https://www.youtube.com/watch?v=0NpRpeRKwHo&amp;t=22s", "Go to time")</f>
        <v/>
      </c>
    </row>
    <row r="6550">
      <c r="A6550">
        <f>HYPERLINK("https://www.youtube.com/watch?v=ELutIbHk2UA", "Video")</f>
        <v/>
      </c>
      <c r="B6550" t="inlineStr">
        <is>
          <t>5:38</t>
        </is>
      </c>
      <c r="C6550" t="inlineStr">
        <is>
          <t>had in store for me,
and I didn't like one bit of it.</t>
        </is>
      </c>
      <c r="D6550">
        <f>HYPERLINK("https://www.youtube.com/watch?v=ELutIbHk2UA&amp;t=338s", "Go to time")</f>
        <v/>
      </c>
    </row>
    <row r="6551">
      <c r="A6551">
        <f>HYPERLINK("https://www.youtube.com/watch?v=aUYm81xOSgk", "Video")</f>
        <v/>
      </c>
      <c r="B6551" t="inlineStr">
        <is>
          <t>12:55</t>
        </is>
      </c>
      <c r="C6551" t="inlineStr">
        <is>
          <t>yes a little bit yes</t>
        </is>
      </c>
      <c r="D6551">
        <f>HYPERLINK("https://www.youtube.com/watch?v=aUYm81xOSgk&amp;t=775s", "Go to time")</f>
        <v/>
      </c>
    </row>
    <row r="6552">
      <c r="A6552">
        <f>HYPERLINK("https://www.youtube.com/watch?v=aUYm81xOSgk", "Video")</f>
        <v/>
      </c>
      <c r="B6552" t="inlineStr">
        <is>
          <t>13:39</t>
        </is>
      </c>
      <c r="C6552" t="inlineStr">
        <is>
          <t>i bit my lip at lunch today</t>
        </is>
      </c>
      <c r="D6552">
        <f>HYPERLINK("https://www.youtube.com/watch?v=aUYm81xOSgk&amp;t=819s", "Go to time")</f>
        <v/>
      </c>
    </row>
    <row r="6553">
      <c r="A6553">
        <f>HYPERLINK("https://www.youtube.com/watch?v=UQNGiv37jl4", "Video")</f>
        <v/>
      </c>
      <c r="B6553" t="inlineStr">
        <is>
          <t>9:51</t>
        </is>
      </c>
      <c r="C6553" t="inlineStr">
        <is>
          <t>job at the docks to support my drug habit,</t>
        </is>
      </c>
      <c r="D6553">
        <f>HYPERLINK("https://www.youtube.com/watch?v=UQNGiv37jl4&amp;t=591s", "Go to time")</f>
        <v/>
      </c>
    </row>
    <row r="6554">
      <c r="A6554">
        <f>HYPERLINK("https://www.youtube.com/watch?v=f41BLRPY--Q", "Video")</f>
        <v/>
      </c>
      <c r="B6554" t="inlineStr">
        <is>
          <t>0:27</t>
        </is>
      </c>
      <c r="C6554" t="inlineStr">
        <is>
          <t>Bitch.</t>
        </is>
      </c>
      <c r="D6554">
        <f>HYPERLINK("https://www.youtube.com/watch?v=f41BLRPY--Q&amp;t=27s", "Go to time")</f>
        <v/>
      </c>
    </row>
    <row r="6555">
      <c r="A6555">
        <f>HYPERLINK("https://www.youtube.com/watch?v=f41BLRPY--Q", "Video")</f>
        <v/>
      </c>
      <c r="B6555" t="inlineStr">
        <is>
          <t>0:50</t>
        </is>
      </c>
      <c r="C6555" t="inlineStr">
        <is>
          <t>Drop the bit. This isn't funny.</t>
        </is>
      </c>
      <c r="D6555">
        <f>HYPERLINK("https://www.youtube.com/watch?v=f41BLRPY--Q&amp;t=50s", "Go to time")</f>
        <v/>
      </c>
    </row>
    <row r="6556">
      <c r="A6556">
        <f>HYPERLINK("https://www.youtube.com/watch?v=QnL0UmYV7Jo", "Video")</f>
        <v/>
      </c>
      <c r="B6556" t="inlineStr">
        <is>
          <t>1:23</t>
        </is>
      </c>
      <c r="C6556" t="inlineStr">
        <is>
          <t>i know you're a little bit nervous</t>
        </is>
      </c>
      <c r="D6556">
        <f>HYPERLINK("https://www.youtube.com/watch?v=QnL0UmYV7Jo&amp;t=83s", "Go to time")</f>
        <v/>
      </c>
    </row>
    <row r="6557">
      <c r="A6557">
        <f>HYPERLINK("https://www.youtube.com/watch?v=JEyn3RXFJMM", "Video")</f>
        <v/>
      </c>
      <c r="B6557" t="inlineStr">
        <is>
          <t>7:09</t>
        </is>
      </c>
      <c r="C6557" t="inlineStr">
        <is>
          <t>bit of reason to believe that</t>
        </is>
      </c>
      <c r="D6557">
        <f>HYPERLINK("https://www.youtube.com/watch?v=JEyn3RXFJMM&amp;t=429s", "Go to time")</f>
        <v/>
      </c>
    </row>
    <row r="6558">
      <c r="A6558">
        <f>HYPERLINK("https://www.youtube.com/watch?v=RUjXWbxzqys", "Video")</f>
        <v/>
      </c>
      <c r="B6558" t="inlineStr">
        <is>
          <t>0:57</t>
        </is>
      </c>
      <c r="C6558" t="inlineStr">
        <is>
          <t>would do my hair I'd get in my habit</t>
        </is>
      </c>
      <c r="D6558">
        <f>HYPERLINK("https://www.youtube.com/watch?v=RUjXWbxzqys&amp;t=57s", "Go to time")</f>
        <v/>
      </c>
    </row>
    <row r="6559">
      <c r="A6559">
        <f>HYPERLINK("https://www.youtube.com/watch?v=RUjXWbxzqys", "Video")</f>
        <v/>
      </c>
      <c r="B6559" t="inlineStr">
        <is>
          <t>1:20</t>
        </is>
      </c>
      <c r="C6559" t="inlineStr">
        <is>
          <t>Betty out of a nun habit good to see you</t>
        </is>
      </c>
      <c r="D6559">
        <f>HYPERLINK("https://www.youtube.com/watch?v=RUjXWbxzqys&amp;t=80s", "Go to time")</f>
        <v/>
      </c>
    </row>
    <row r="6560">
      <c r="A6560">
        <f>HYPERLINK("https://www.youtube.com/watch?v=WUydwrPAY-M", "Video")</f>
        <v/>
      </c>
      <c r="B6560" t="inlineStr">
        <is>
          <t>1:43</t>
        </is>
      </c>
      <c r="C6560" t="inlineStr">
        <is>
          <t>it's a bit extreme</t>
        </is>
      </c>
      <c r="D6560">
        <f>HYPERLINK("https://www.youtube.com/watch?v=WUydwrPAY-M&amp;t=103s", "Go to time")</f>
        <v/>
      </c>
    </row>
    <row r="6561">
      <c r="A6561">
        <f>HYPERLINK("https://www.youtube.com/watch?v=MTXcqUQDVBE", "Video")</f>
        <v/>
      </c>
      <c r="B6561" t="inlineStr">
        <is>
          <t>2:40</t>
        </is>
      </c>
      <c r="C6561" t="inlineStr">
        <is>
          <t>once we had a little bit of freedom and</t>
        </is>
      </c>
      <c r="D6561">
        <f>HYPERLINK("https://www.youtube.com/watch?v=MTXcqUQDVBE&amp;t=160s", "Go to time")</f>
        <v/>
      </c>
    </row>
    <row r="6562">
      <c r="A6562">
        <f>HYPERLINK("https://www.youtube.com/watch?v=MTXcqUQDVBE", "Video")</f>
        <v/>
      </c>
      <c r="B6562" t="inlineStr">
        <is>
          <t>6:09</t>
        </is>
      </c>
      <c r="C6562" t="inlineStr">
        <is>
          <t>biting off</t>
        </is>
      </c>
      <c r="D6562">
        <f>HYPERLINK("https://www.youtube.com/watch?v=MTXcqUQDVBE&amp;t=369s", "Go to time")</f>
        <v/>
      </c>
    </row>
    <row r="6563">
      <c r="A6563">
        <f>HYPERLINK("https://www.youtube.com/watch?v=MTXcqUQDVBE", "Video")</f>
        <v/>
      </c>
      <c r="B6563" t="inlineStr">
        <is>
          <t>7:25</t>
        </is>
      </c>
      <c r="C6563" t="inlineStr">
        <is>
          <t>mind a little bit</t>
        </is>
      </c>
      <c r="D6563">
        <f>HYPERLINK("https://www.youtube.com/watch?v=MTXcqUQDVBE&amp;t=445s", "Go to time")</f>
        <v/>
      </c>
    </row>
    <row r="6564">
      <c r="A6564">
        <f>HYPERLINK("https://www.youtube.com/watch?v=MTXcqUQDVBE", "Video")</f>
        <v/>
      </c>
      <c r="B6564" t="inlineStr">
        <is>
          <t>8:31</t>
        </is>
      </c>
      <c r="C6564" t="inlineStr">
        <is>
          <t>him just lose a little bit control and i</t>
        </is>
      </c>
      <c r="D6564">
        <f>HYPERLINK("https://www.youtube.com/watch?v=MTXcqUQDVBE&amp;t=511s", "Go to time")</f>
        <v/>
      </c>
    </row>
    <row r="6565">
      <c r="A6565">
        <f>HYPERLINK("https://www.youtube.com/watch?v=MTXcqUQDVBE", "Video")</f>
        <v/>
      </c>
      <c r="B6565" t="inlineStr">
        <is>
          <t>14:37</t>
        </is>
      </c>
      <c r="C6565" t="inlineStr">
        <is>
          <t>i might shift a little bit from the</t>
        </is>
      </c>
      <c r="D6565">
        <f>HYPERLINK("https://www.youtube.com/watch?v=MTXcqUQDVBE&amp;t=877s", "Go to time")</f>
        <v/>
      </c>
    </row>
    <row r="6566">
      <c r="A6566">
        <f>HYPERLINK("https://www.youtube.com/watch?v=MTXcqUQDVBE", "Video")</f>
        <v/>
      </c>
      <c r="B6566" t="inlineStr">
        <is>
          <t>18:06</t>
        </is>
      </c>
      <c r="C6566" t="inlineStr">
        <is>
          <t>every bit of comedy that's written for</t>
        </is>
      </c>
      <c r="D6566">
        <f>HYPERLINK("https://www.youtube.com/watch?v=MTXcqUQDVBE&amp;t=1086s", "Go to time")</f>
        <v/>
      </c>
    </row>
    <row r="6567">
      <c r="A6567">
        <f>HYPERLINK("https://www.youtube.com/watch?v=ozwbG2dwNkg", "Video")</f>
        <v/>
      </c>
      <c r="B6567" t="inlineStr">
        <is>
          <t>7:41</t>
        </is>
      </c>
      <c r="C6567" t="inlineStr">
        <is>
          <t>starting biting theirs we gotta do it we</t>
        </is>
      </c>
      <c r="D6567">
        <f>HYPERLINK("https://www.youtube.com/watch?v=ozwbG2dwNkg&amp;t=461s", "Go to time")</f>
        <v/>
      </c>
    </row>
    <row r="6568">
      <c r="A6568">
        <f>HYPERLINK("https://www.youtube.com/watch?v=PoBquo2zdGI", "Video")</f>
        <v/>
      </c>
      <c r="B6568" t="inlineStr">
        <is>
          <t>0:35</t>
        </is>
      </c>
      <c r="C6568" t="inlineStr">
        <is>
          <t>Teresa, did you bite into the ball?</t>
        </is>
      </c>
      <c r="D6568">
        <f>HYPERLINK("https://www.youtube.com/watch?v=PoBquo2zdGI&amp;t=35s", "Go to time")</f>
        <v/>
      </c>
    </row>
    <row r="6569">
      <c r="A6569">
        <f>HYPERLINK("https://www.youtube.com/watch?v=PoBquo2zdGI", "Video")</f>
        <v/>
      </c>
      <c r="B6569" t="inlineStr">
        <is>
          <t>1:48</t>
        </is>
      </c>
      <c r="C6569" t="inlineStr">
        <is>
          <t>Teresa said she wasn't biting.</t>
        </is>
      </c>
      <c r="D6569">
        <f>HYPERLINK("https://www.youtube.com/watch?v=PoBquo2zdGI&amp;t=108s", "Go to time")</f>
        <v/>
      </c>
    </row>
    <row r="6570">
      <c r="A6570">
        <f>HYPERLINK("https://www.youtube.com/watch?v=EUnXdPB8E5o", "Video")</f>
        <v/>
      </c>
      <c r="B6570" t="inlineStr">
        <is>
          <t>5:38</t>
        </is>
      </c>
      <c r="C6570" t="inlineStr">
        <is>
          <t>you a little bit to the left</t>
        </is>
      </c>
      <c r="D6570">
        <f>HYPERLINK("https://www.youtube.com/watch?v=EUnXdPB8E5o&amp;t=338s", "Go to time")</f>
        <v/>
      </c>
    </row>
    <row r="6571">
      <c r="A6571">
        <f>HYPERLINK("https://www.youtube.com/watch?v=LMR7L-e-pus", "Video")</f>
        <v/>
      </c>
      <c r="B6571" t="inlineStr">
        <is>
          <t>1:32</t>
        </is>
      </c>
      <c r="C6571" t="inlineStr">
        <is>
          <t>went bananas and bit the gym teacher</t>
        </is>
      </c>
      <c r="D6571">
        <f>HYPERLINK("https://www.youtube.com/watch?v=LMR7L-e-pus&amp;t=92s", "Go to time")</f>
        <v/>
      </c>
    </row>
    <row r="6572">
      <c r="A6572">
        <f>HYPERLINK("https://www.youtube.com/watch?v=RjcezbMvjZk", "Video")</f>
        <v/>
      </c>
      <c r="B6572" t="inlineStr">
        <is>
          <t>0:45</t>
        </is>
      </c>
      <c r="C6572" t="inlineStr">
        <is>
          <t>know like carrying a rabbit's foot might</t>
        </is>
      </c>
      <c r="D6572">
        <f>HYPERLINK("https://www.youtube.com/watch?v=RjcezbMvjZk&amp;t=45s", "Go to time")</f>
        <v/>
      </c>
    </row>
    <row r="6573">
      <c r="A6573">
        <f>HYPERLINK("https://www.youtube.com/watch?v=RjcezbMvjZk", "Video")</f>
        <v/>
      </c>
      <c r="B6573" t="inlineStr">
        <is>
          <t>2:40</t>
        </is>
      </c>
      <c r="C6573" t="inlineStr">
        <is>
          <t>getting got bit by a rattlesnake</t>
        </is>
      </c>
      <c r="D6573">
        <f>HYPERLINK("https://www.youtube.com/watch?v=RjcezbMvjZk&amp;t=160s", "Go to time")</f>
        <v/>
      </c>
    </row>
    <row r="6574">
      <c r="A6574">
        <f>HYPERLINK("https://www.youtube.com/watch?v=RjcezbMvjZk", "Video")</f>
        <v/>
      </c>
      <c r="B6574" t="inlineStr">
        <is>
          <t>2:41</t>
        </is>
      </c>
      <c r="C6574" t="inlineStr">
        <is>
          <t>antivitamin 105 surgeon's getting bit by</t>
        </is>
      </c>
      <c r="D6574">
        <f>HYPERLINK("https://www.youtube.com/watch?v=RjcezbMvjZk&amp;t=161s", "Go to time")</f>
        <v/>
      </c>
    </row>
    <row r="6575">
      <c r="A6575">
        <f>HYPERLINK("https://www.youtube.com/watch?v=RjcezbMvjZk", "Video")</f>
        <v/>
      </c>
      <c r="B6575" t="inlineStr">
        <is>
          <t>4:12</t>
        </is>
      </c>
      <c r="C6575" t="inlineStr">
        <is>
          <t>oh Jesus what happened here I got bit by</t>
        </is>
      </c>
      <c r="D6575">
        <f>HYPERLINK("https://www.youtube.com/watch?v=RjcezbMvjZk&amp;t=252s", "Go to time")</f>
        <v/>
      </c>
    </row>
    <row r="6576">
      <c r="A6576">
        <f>HYPERLINK("https://www.youtube.com/watch?v=RjcezbMvjZk", "Video")</f>
        <v/>
      </c>
      <c r="B6576" t="inlineStr">
        <is>
          <t>4:22</t>
        </is>
      </c>
      <c r="C6576" t="inlineStr">
        <is>
          <t>anti venom for the bite and maybe toss</t>
        </is>
      </c>
      <c r="D6576">
        <f>HYPERLINK("https://www.youtube.com/watch?v=RjcezbMvjZk&amp;t=262s", "Go to time")</f>
        <v/>
      </c>
    </row>
    <row r="6577">
      <c r="A6577">
        <f>HYPERLINK("https://www.youtube.com/watch?v=1ToRi5SLHE4", "Video")</f>
        <v/>
      </c>
      <c r="B6577" t="inlineStr">
        <is>
          <t>0:45</t>
        </is>
      </c>
      <c r="C6577" t="inlineStr">
        <is>
          <t>backwards a little bit</t>
        </is>
      </c>
      <c r="D6577">
        <f>HYPERLINK("https://www.youtube.com/watch?v=1ToRi5SLHE4&amp;t=45s", "Go to time")</f>
        <v/>
      </c>
    </row>
    <row r="6578">
      <c r="A6578">
        <f>HYPERLINK("https://www.youtube.com/watch?v=2U6dVG1dse8", "Video")</f>
        <v/>
      </c>
      <c r="B6578" t="inlineStr">
        <is>
          <t>0:34</t>
        </is>
      </c>
      <c r="C6578" t="inlineStr">
        <is>
          <t>However, I'm gonna do 'em
a little bit different.</t>
        </is>
      </c>
      <c r="D6578">
        <f>HYPERLINK("https://www.youtube.com/watch?v=2U6dVG1dse8&amp;t=34s", "Go to time")</f>
        <v/>
      </c>
    </row>
    <row r="6579">
      <c r="A6579">
        <f>HYPERLINK("https://www.youtube.com/watch?v=Ykd7EIPUAxM", "Video")</f>
        <v/>
      </c>
      <c r="B6579" t="inlineStr">
        <is>
          <t>3:31</t>
        </is>
      </c>
      <c r="C6579" t="inlineStr">
        <is>
          <t>I would recommend you slow down a bit so</t>
        </is>
      </c>
      <c r="D6579">
        <f>HYPERLINK("https://www.youtube.com/watch?v=Ykd7EIPUAxM&amp;t=211s", "Go to time")</f>
        <v/>
      </c>
    </row>
    <row r="6580">
      <c r="A6580">
        <f>HYPERLINK("https://www.youtube.com/watch?v=baaSjb-Cihs", "Video")</f>
        <v/>
      </c>
      <c r="B6580" t="inlineStr">
        <is>
          <t>1:18</t>
        </is>
      </c>
      <c r="C6580" t="inlineStr">
        <is>
          <t>♪ the Loubitons
left blisters ♪</t>
        </is>
      </c>
      <c r="D6580">
        <f>HYPERLINK("https://www.youtube.com/watch?v=baaSjb-Cihs&amp;t=78s", "Go to time")</f>
        <v/>
      </c>
    </row>
    <row r="6581">
      <c r="A6581">
        <f>HYPERLINK("https://www.youtube.com/watch?v=YjOjq6bAGic", "Video")</f>
        <v/>
      </c>
      <c r="B6581" t="inlineStr">
        <is>
          <t>0:06</t>
        </is>
      </c>
      <c r="C6581" t="inlineStr">
        <is>
          <t>offense but maybe that's a little bit of</t>
        </is>
      </c>
      <c r="D6581">
        <f>HYPERLINK("https://www.youtube.com/watch?v=YjOjq6bAGic&amp;t=6s", "Go to time")</f>
        <v/>
      </c>
    </row>
    <row r="6582">
      <c r="A6582">
        <f>HYPERLINK("https://www.youtube.com/watch?v=Qu-_sLY5svA", "Video")</f>
        <v/>
      </c>
      <c r="B6582" t="inlineStr">
        <is>
          <t>2:05</t>
        </is>
      </c>
      <c r="C6582" t="inlineStr">
        <is>
          <t>give us some Shannon. Give us a little bit of</t>
        </is>
      </c>
      <c r="D6582">
        <f>HYPERLINK("https://www.youtube.com/watch?v=Qu-_sLY5svA&amp;t=125s", "Go to time")</f>
        <v/>
      </c>
    </row>
    <row r="6583">
      <c r="A6583">
        <f>HYPERLINK("https://www.youtube.com/watch?v=Qu-_sLY5svA", "Video")</f>
        <v/>
      </c>
      <c r="B6583" t="inlineStr">
        <is>
          <t>2:31</t>
        </is>
      </c>
      <c r="C6583" t="inlineStr">
        <is>
          <t>little bit of Kevin's first reactions when</t>
        </is>
      </c>
      <c r="D6583">
        <f>HYPERLINK("https://www.youtube.com/watch?v=Qu-_sLY5svA&amp;t=151s", "Go to time")</f>
        <v/>
      </c>
    </row>
    <row r="6584">
      <c r="A6584">
        <f>HYPERLINK("https://www.youtube.com/watch?v=Li_e72eih0w", "Video")</f>
        <v/>
      </c>
      <c r="B6584" t="inlineStr">
        <is>
          <t>1:40</t>
        </is>
      </c>
      <c r="C6584" t="inlineStr">
        <is>
          <t>And we put a bit of that into every bar of</t>
        </is>
      </c>
      <c r="D6584">
        <f>HYPERLINK("https://www.youtube.com/watch?v=Li_e72eih0w&amp;t=100s", "Go to time")</f>
        <v/>
      </c>
    </row>
    <row r="6585">
      <c r="A6585">
        <f>HYPERLINK("https://www.youtube.com/watch?v=1diOqOeAimY", "Video")</f>
        <v/>
      </c>
      <c r="B6585" t="inlineStr">
        <is>
          <t>3:42</t>
        </is>
      </c>
      <c r="C6585" t="inlineStr">
        <is>
          <t>- Oh, son of a bitch.</t>
        </is>
      </c>
      <c r="D6585">
        <f>HYPERLINK("https://www.youtube.com/watch?v=1diOqOeAimY&amp;t=222s", "Go to time")</f>
        <v/>
      </c>
    </row>
    <row r="6586">
      <c r="A6586">
        <f>HYPERLINK("https://www.youtube.com/watch?v=1diOqOeAimY", "Video")</f>
        <v/>
      </c>
      <c r="B6586" t="inlineStr">
        <is>
          <t>3:59</t>
        </is>
      </c>
      <c r="C6586" t="inlineStr">
        <is>
          <t>and Boston Rob was probably like,
“This bitch's got to go.”</t>
        </is>
      </c>
      <c r="D6586">
        <f>HYPERLINK("https://www.youtube.com/watch?v=1diOqOeAimY&amp;t=239s", "Go to time")</f>
        <v/>
      </c>
    </row>
    <row r="6587">
      <c r="A6587">
        <f>HYPERLINK("https://www.youtube.com/watch?v=sepez0IT5Nw", "Video")</f>
        <v/>
      </c>
      <c r="B6587" t="inlineStr">
        <is>
          <t>2:56</t>
        </is>
      </c>
      <c r="C6587" t="inlineStr">
        <is>
          <t>how deep the rabbit hole goes</t>
        </is>
      </c>
      <c r="D6587">
        <f>HYPERLINK("https://www.youtube.com/watch?v=sepez0IT5Nw&amp;t=176s", "Go to time")</f>
        <v/>
      </c>
    </row>
    <row r="6588">
      <c r="A6588">
        <f>HYPERLINK("https://www.youtube.com/watch?v=oZapBdgvgy8", "Video")</f>
        <v/>
      </c>
      <c r="B6588" t="inlineStr">
        <is>
          <t>15:56</t>
        </is>
      </c>
      <c r="C6588" t="inlineStr">
        <is>
          <t>hey thanks for bringing him by oh bite</t>
        </is>
      </c>
      <c r="D6588">
        <f>HYPERLINK("https://www.youtube.com/watch?v=oZapBdgvgy8&amp;t=956s", "Go to time")</f>
        <v/>
      </c>
    </row>
    <row r="6589">
      <c r="A6589">
        <f>HYPERLINK("https://www.youtube.com/watch?v=uauhtCRa9Rg", "Video")</f>
        <v/>
      </c>
      <c r="B6589" t="inlineStr">
        <is>
          <t>5:43</t>
        </is>
      </c>
      <c r="C6589" t="inlineStr">
        <is>
          <t>play that slightly treat people a bit</t>
        </is>
      </c>
      <c r="D6589">
        <f>HYPERLINK("https://www.youtube.com/watch?v=uauhtCRa9Rg&amp;t=343s", "Go to time")</f>
        <v/>
      </c>
    </row>
    <row r="6590">
      <c r="A6590">
        <f>HYPERLINK("https://www.youtube.com/watch?v=uauhtCRa9Rg", "Video")</f>
        <v/>
      </c>
      <c r="B6590" t="inlineStr">
        <is>
          <t>15:59</t>
        </is>
      </c>
      <c r="C6590" t="inlineStr">
        <is>
          <t>bit</t>
        </is>
      </c>
      <c r="D6590">
        <f>HYPERLINK("https://www.youtube.com/watch?v=uauhtCRa9Rg&amp;t=959s", "Go to time")</f>
        <v/>
      </c>
    </row>
    <row r="6591">
      <c r="A6591">
        <f>HYPERLINK("https://www.youtube.com/watch?v=uauhtCRa9Rg", "Video")</f>
        <v/>
      </c>
      <c r="B6591" t="inlineStr">
        <is>
          <t>20:01</t>
        </is>
      </c>
      <c r="C6591" t="inlineStr">
        <is>
          <t>can you talk about that a little bit</t>
        </is>
      </c>
      <c r="D6591">
        <f>HYPERLINK("https://www.youtube.com/watch?v=uauhtCRa9Rg&amp;t=1201s", "Go to time")</f>
        <v/>
      </c>
    </row>
    <row r="6592">
      <c r="A6592">
        <f>HYPERLINK("https://www.youtube.com/watch?v=uauhtCRa9Rg", "Video")</f>
        <v/>
      </c>
      <c r="B6592" t="inlineStr">
        <is>
          <t>21:10</t>
        </is>
      </c>
      <c r="C6592" t="inlineStr">
        <is>
          <t>learning a bit more you know but then as</t>
        </is>
      </c>
      <c r="D6592">
        <f>HYPERLINK("https://www.youtube.com/watch?v=uauhtCRa9Rg&amp;t=1270s", "Go to time")</f>
        <v/>
      </c>
    </row>
    <row r="6593">
      <c r="A6593">
        <f>HYPERLINK("https://www.youtube.com/watch?v=uauhtCRa9Rg", "Video")</f>
        <v/>
      </c>
      <c r="B6593" t="inlineStr">
        <is>
          <t>22:13</t>
        </is>
      </c>
      <c r="C6593" t="inlineStr">
        <is>
          <t>i've worked quite a bit on shakespeare</t>
        </is>
      </c>
      <c r="D6593">
        <f>HYPERLINK("https://www.youtube.com/watch?v=uauhtCRa9Rg&amp;t=1333s", "Go to time")</f>
        <v/>
      </c>
    </row>
    <row r="6594">
      <c r="A6594">
        <f>HYPERLINK("https://www.youtube.com/watch?v=_U6_opoLInQ", "Video")</f>
        <v/>
      </c>
      <c r="B6594" t="inlineStr">
        <is>
          <t>0:05</t>
        </is>
      </c>
      <c r="C6594" t="inlineStr">
        <is>
          <t>at that point were you bit by the acting</t>
        </is>
      </c>
      <c r="D6594">
        <f>HYPERLINK("https://www.youtube.com/watch?v=_U6_opoLInQ&amp;t=5s", "Go to time")</f>
        <v/>
      </c>
    </row>
    <row r="6595">
      <c r="A6595">
        <f>HYPERLINK("https://www.youtube.com/watch?v=tGnVTzTUcKQ", "Video")</f>
        <v/>
      </c>
      <c r="B6595" t="inlineStr">
        <is>
          <t>1:33</t>
        </is>
      </c>
      <c r="C6595" t="inlineStr">
        <is>
          <t>for a little bit we'll find you i love</t>
        </is>
      </c>
      <c r="D6595">
        <f>HYPERLINK("https://www.youtube.com/watch?v=tGnVTzTUcKQ&amp;t=93s", "Go to time")</f>
        <v/>
      </c>
    </row>
    <row r="6596">
      <c r="A6596">
        <f>HYPERLINK("https://www.youtube.com/watch?v=m5282zXJdBo", "Video")</f>
        <v/>
      </c>
      <c r="B6596" t="inlineStr">
        <is>
          <t>9:01</t>
        </is>
      </c>
      <c r="C6596" t="inlineStr">
        <is>
          <t>i think it'll take you a little bit</t>
        </is>
      </c>
      <c r="D6596">
        <f>HYPERLINK("https://www.youtube.com/watch?v=m5282zXJdBo&amp;t=541s", "Go to time")</f>
        <v/>
      </c>
    </row>
    <row r="6597">
      <c r="A6597">
        <f>HYPERLINK("https://www.youtube.com/watch?v=m5282zXJdBo", "Video")</f>
        <v/>
      </c>
      <c r="B6597" t="inlineStr">
        <is>
          <t>9:41</t>
        </is>
      </c>
      <c r="C6597" t="inlineStr">
        <is>
          <t>it's actually caused a bit of a traffic</t>
        </is>
      </c>
      <c r="D6597">
        <f>HYPERLINK("https://www.youtube.com/watch?v=m5282zXJdBo&amp;t=581s", "Go to time")</f>
        <v/>
      </c>
    </row>
    <row r="6598">
      <c r="A6598">
        <f>HYPERLINK("https://www.youtube.com/watch?v=0pbZ_LGehXQ", "Video")</f>
        <v/>
      </c>
      <c r="B6598" t="inlineStr">
        <is>
          <t>0:36</t>
        </is>
      </c>
      <c r="C6598" t="inlineStr">
        <is>
          <t>rabbit hole online and then like six</t>
        </is>
      </c>
      <c r="D6598">
        <f>HYPERLINK("https://www.youtube.com/watch?v=0pbZ_LGehXQ&amp;t=36s", "Go to time")</f>
        <v/>
      </c>
    </row>
    <row r="6599">
      <c r="A6599">
        <f>HYPERLINK("https://www.youtube.com/watch?v=Y7kEXCrsgpw", "Video")</f>
        <v/>
      </c>
      <c r="B6599" t="inlineStr">
        <is>
          <t>2:46</t>
        </is>
      </c>
      <c r="C6599" t="inlineStr">
        <is>
          <t>a bite of her pasta and then the whole</t>
        </is>
      </c>
      <c r="D6599">
        <f>HYPERLINK("https://www.youtube.com/watch?v=Y7kEXCrsgpw&amp;t=166s", "Go to time")</f>
        <v/>
      </c>
    </row>
    <row r="6600">
      <c r="A6600">
        <f>HYPERLINK("https://www.youtube.com/watch?v=76tWYL4pTxE", "Video")</f>
        <v/>
      </c>
      <c r="B6600" t="inlineStr">
        <is>
          <t>4:00</t>
        </is>
      </c>
      <c r="C6600" t="inlineStr">
        <is>
          <t>habit it's a habit that compels you in</t>
        </is>
      </c>
      <c r="D6600">
        <f>HYPERLINK("https://www.youtube.com/watch?v=76tWYL4pTxE&amp;t=240s", "Go to time")</f>
        <v/>
      </c>
    </row>
    <row r="6601">
      <c r="A6601">
        <f>HYPERLINK("https://www.youtube.com/watch?v=k6zelIUi2AQ", "Video")</f>
        <v/>
      </c>
      <c r="B6601" t="inlineStr">
        <is>
          <t>3:38</t>
        </is>
      </c>
      <c r="C6601" t="inlineStr">
        <is>
          <t>bit back before it.</t>
        </is>
      </c>
      <c r="D6601">
        <f>HYPERLINK("https://www.youtube.com/watch?v=k6zelIUi2AQ&amp;t=218s", "Go to time")</f>
        <v/>
      </c>
    </row>
    <row r="6602">
      <c r="A6602">
        <f>HYPERLINK("https://www.youtube.com/watch?v=gasIZ9QQy0w", "Video")</f>
        <v/>
      </c>
      <c r="B6602" t="inlineStr">
        <is>
          <t>2:55</t>
        </is>
      </c>
      <c r="C6602" t="inlineStr">
        <is>
          <t>hopefully study a little bit</t>
        </is>
      </c>
      <c r="D6602">
        <f>HYPERLINK("https://www.youtube.com/watch?v=gasIZ9QQy0w&amp;t=175s", "Go to time")</f>
        <v/>
      </c>
    </row>
    <row r="6603">
      <c r="A6603">
        <f>HYPERLINK("https://www.youtube.com/watch?v=UJInK0dbRNk", "Video")</f>
        <v/>
      </c>
      <c r="B6603" t="inlineStr">
        <is>
          <t>0:02</t>
        </is>
      </c>
      <c r="C6603" t="inlineStr">
        <is>
          <t>a little bit of magic</t>
        </is>
      </c>
      <c r="D6603">
        <f>HYPERLINK("https://www.youtube.com/watch?v=UJInK0dbRNk&amp;t=2s", "Go to time")</f>
        <v/>
      </c>
    </row>
    <row r="6604">
      <c r="A6604">
        <f>HYPERLINK("https://www.youtube.com/watch?v=dJq7P3yAY08", "Video")</f>
        <v/>
      </c>
      <c r="B6604" t="inlineStr">
        <is>
          <t>0:44</t>
        </is>
      </c>
      <c r="C6604" t="inlineStr">
        <is>
          <t>don't we don't have to bite each other's</t>
        </is>
      </c>
      <c r="D6604">
        <f>HYPERLINK("https://www.youtube.com/watch?v=dJq7P3yAY08&amp;t=44s", "Go to time")</f>
        <v/>
      </c>
    </row>
    <row r="6605">
      <c r="A6605">
        <f>HYPERLINK("https://www.youtube.com/watch?v=dJq7P3yAY08", "Video")</f>
        <v/>
      </c>
      <c r="B6605" t="inlineStr">
        <is>
          <t>2:03</t>
        </is>
      </c>
      <c r="C6605" t="inlineStr">
        <is>
          <t>bitty yams</t>
        </is>
      </c>
      <c r="D6605">
        <f>HYPERLINK("https://www.youtube.com/watch?v=dJq7P3yAY08&amp;t=123s", "Go to time")</f>
        <v/>
      </c>
    </row>
    <row r="6606">
      <c r="A6606">
        <f>HYPERLINK("https://www.youtube.com/watch?v=KsQaALIaNOk", "Video")</f>
        <v/>
      </c>
      <c r="B6606" t="inlineStr">
        <is>
          <t>0:33</t>
        </is>
      </c>
      <c r="C6606" t="inlineStr">
        <is>
          <t>it's my most ambitious one yet</t>
        </is>
      </c>
      <c r="D6606">
        <f>HYPERLINK("https://www.youtube.com/watch?v=KsQaALIaNOk&amp;t=33s", "Go to time")</f>
        <v/>
      </c>
    </row>
    <row r="6607">
      <c r="A6607">
        <f>HYPERLINK("https://www.youtube.com/watch?v=yclY0K-8qwU", "Video")</f>
        <v/>
      </c>
      <c r="B6607" t="inlineStr">
        <is>
          <t>0:58</t>
        </is>
      </c>
      <c r="C6607" t="inlineStr">
        <is>
          <t>a cone around his head so he doesn't bite at</t>
        </is>
      </c>
      <c r="D6607">
        <f>HYPERLINK("https://www.youtube.com/watch?v=yclY0K-8qwU&amp;t=58s", "Go to time")</f>
        <v/>
      </c>
    </row>
    <row r="6608">
      <c r="A6608">
        <f>HYPERLINK("https://www.youtube.com/watch?v=QHcluvQfxCw", "Video")</f>
        <v/>
      </c>
      <c r="B6608" t="inlineStr">
        <is>
          <t>0:03</t>
        </is>
      </c>
      <c r="C6608" t="inlineStr">
        <is>
          <t>rabbit I get paid by creeps online to</t>
        </is>
      </c>
      <c r="D6608">
        <f>HYPERLINK("https://www.youtube.com/watch?v=QHcluvQfxCw&amp;t=3s", "Go to time")</f>
        <v/>
      </c>
    </row>
    <row r="6609">
      <c r="A6609">
        <f>HYPERLINK("https://www.youtube.com/watch?v=QHcluvQfxCw", "Video")</f>
        <v/>
      </c>
      <c r="B6609" t="inlineStr">
        <is>
          <t>2:23</t>
        </is>
      </c>
      <c r="C6609" t="inlineStr">
        <is>
          <t>like big hot dogs that can bite you or</t>
        </is>
      </c>
      <c r="D6609">
        <f>HYPERLINK("https://www.youtube.com/watch?v=QHcluvQfxCw&amp;t=143s", "Go to time")</f>
        <v/>
      </c>
    </row>
    <row r="6610">
      <c r="A6610">
        <f>HYPERLINK("https://www.youtube.com/watch?v=RXNSW-Cy0Mo", "Video")</f>
        <v/>
      </c>
      <c r="B6610" t="inlineStr">
        <is>
          <t>5:05</t>
        </is>
      </c>
      <c r="C6610" t="inlineStr">
        <is>
          <t>and today just doing a wee bit of viral</t>
        </is>
      </c>
      <c r="D6610">
        <f>HYPERLINK("https://www.youtube.com/watch?v=RXNSW-Cy0Mo&amp;t=305s", "Go to time")</f>
        <v/>
      </c>
    </row>
    <row r="6611">
      <c r="A6611">
        <f>HYPERLINK("https://www.youtube.com/watch?v=lNxDdDhfuMI", "Video")</f>
        <v/>
      </c>
      <c r="B6611" t="inlineStr">
        <is>
          <t>1:13</t>
        </is>
      </c>
      <c r="C6611" t="inlineStr">
        <is>
          <t>we can't just stop doing bits we've been</t>
        </is>
      </c>
      <c r="D6611">
        <f>HYPERLINK("https://www.youtube.com/watch?v=lNxDdDhfuMI&amp;t=73s", "Go to time")</f>
        <v/>
      </c>
    </row>
    <row r="6612">
      <c r="A6612">
        <f>HYPERLINK("https://www.youtube.com/watch?v=lNxDdDhfuMI", "Video")</f>
        <v/>
      </c>
      <c r="B6612" t="inlineStr">
        <is>
          <t>6:20</t>
        </is>
      </c>
      <c r="C6612" t="inlineStr">
        <is>
          <t>by the rules watch a little bit I think</t>
        </is>
      </c>
      <c r="D6612">
        <f>HYPERLINK("https://www.youtube.com/watch?v=lNxDdDhfuMI&amp;t=380s", "Go to time")</f>
        <v/>
      </c>
    </row>
    <row r="6613">
      <c r="A6613">
        <f>HYPERLINK("https://www.youtube.com/watch?v=1dCeXbQCLvA", "Video")</f>
        <v/>
      </c>
      <c r="B6613" t="inlineStr">
        <is>
          <t>2:23</t>
        </is>
      </c>
      <c r="C6613" t="inlineStr">
        <is>
          <t>Still little bitty parts.</t>
        </is>
      </c>
      <c r="D6613">
        <f>HYPERLINK("https://www.youtube.com/watch?v=1dCeXbQCLvA&amp;t=143s", "Go to time")</f>
        <v/>
      </c>
    </row>
    <row r="6614">
      <c r="A6614">
        <f>HYPERLINK("https://www.youtube.com/watch?v=q8LP-7X4B-Q", "Video")</f>
        <v/>
      </c>
      <c r="B6614" t="inlineStr">
        <is>
          <t>1:03</t>
        </is>
      </c>
      <c r="C6614" t="inlineStr">
        <is>
          <t>dog on his first bite. Anything less</t>
        </is>
      </c>
      <c r="D6614">
        <f>HYPERLINK("https://www.youtube.com/watch?v=q8LP-7X4B-Q&amp;t=63s", "Go to time")</f>
        <v/>
      </c>
    </row>
    <row r="6615">
      <c r="A6615">
        <f>HYPERLINK("https://www.youtube.com/watch?v=z0en7AMzZt4", "Video")</f>
        <v/>
      </c>
      <c r="B6615" t="inlineStr">
        <is>
          <t>1:28</t>
        </is>
      </c>
      <c r="C6615" t="inlineStr">
        <is>
          <t>because you get a little bit squirrely</t>
        </is>
      </c>
      <c r="D6615">
        <f>HYPERLINK("https://www.youtube.com/watch?v=z0en7AMzZt4&amp;t=88s", "Go to time")</f>
        <v/>
      </c>
    </row>
    <row r="6616">
      <c r="A6616">
        <f>HYPERLINK("https://www.youtube.com/watch?v=Um8g11nk51s", "Video")</f>
        <v/>
      </c>
      <c r="B6616" t="inlineStr">
        <is>
          <t>0:27</t>
        </is>
      </c>
      <c r="C6616" t="inlineStr">
        <is>
          <t>we're gonna add a little bit of spice</t>
        </is>
      </c>
      <c r="D6616">
        <f>HYPERLINK("https://www.youtube.com/watch?v=Um8g11nk51s&amp;t=27s", "Go to time")</f>
        <v/>
      </c>
    </row>
    <row r="6617">
      <c r="A6617">
        <f>HYPERLINK("https://www.youtube.com/watch?v=2Urs9QY68xE", "Video")</f>
        <v/>
      </c>
      <c r="B6617" t="inlineStr">
        <is>
          <t>3:54</t>
        </is>
      </c>
      <c r="C6617" t="inlineStr">
        <is>
          <t>little bit more control so it's not</t>
        </is>
      </c>
      <c r="D6617">
        <f>HYPERLINK("https://www.youtube.com/watch?v=2Urs9QY68xE&amp;t=234s", "Go to time")</f>
        <v/>
      </c>
    </row>
    <row r="6618">
      <c r="A6618">
        <f>HYPERLINK("https://www.youtube.com/watch?v=2Urs9QY68xE", "Video")</f>
        <v/>
      </c>
      <c r="B6618" t="inlineStr">
        <is>
          <t>5:43</t>
        </is>
      </c>
      <c r="C6618" t="inlineStr">
        <is>
          <t>blend it into the green a little bit and</t>
        </is>
      </c>
      <c r="D6618">
        <f>HYPERLINK("https://www.youtube.com/watch?v=2Urs9QY68xE&amp;t=343s", "Go to time")</f>
        <v/>
      </c>
    </row>
    <row r="6619">
      <c r="A6619">
        <f>HYPERLINK("https://www.youtube.com/watch?v=2Urs9QY68xE", "Video")</f>
        <v/>
      </c>
      <c r="B6619" t="inlineStr">
        <is>
          <t>6:27</t>
        </is>
      </c>
      <c r="C6619" t="inlineStr">
        <is>
          <t>buffing that blue around a little bit so</t>
        </is>
      </c>
      <c r="D6619">
        <f>HYPERLINK("https://www.youtube.com/watch?v=2Urs9QY68xE&amp;t=387s", "Go to time")</f>
        <v/>
      </c>
    </row>
    <row r="6620">
      <c r="A6620">
        <f>HYPERLINK("https://www.youtube.com/watch?v=2Urs9QY68xE", "Video")</f>
        <v/>
      </c>
      <c r="B6620" t="inlineStr">
        <is>
          <t>7:58</t>
        </is>
      </c>
      <c r="C6620" t="inlineStr">
        <is>
          <t>brush a little bit and just kind of</t>
        </is>
      </c>
      <c r="D6620">
        <f>HYPERLINK("https://www.youtube.com/watch?v=2Urs9QY68xE&amp;t=478s", "Go to time")</f>
        <v/>
      </c>
    </row>
    <row r="6621">
      <c r="A6621">
        <f>HYPERLINK("https://www.youtube.com/watch?v=2Urs9QY68xE", "Video")</f>
        <v/>
      </c>
      <c r="B6621" t="inlineStr">
        <is>
          <t>10:02</t>
        </is>
      </c>
      <c r="C6621" t="inlineStr">
        <is>
          <t>bitchin</t>
        </is>
      </c>
      <c r="D6621">
        <f>HYPERLINK("https://www.youtube.com/watch?v=2Urs9QY68xE&amp;t=602s", "Go to time")</f>
        <v/>
      </c>
    </row>
    <row r="6622">
      <c r="A6622">
        <f>HYPERLINK("https://www.youtube.com/watch?v=2Urs9QY68xE", "Video")</f>
        <v/>
      </c>
      <c r="B6622" t="inlineStr">
        <is>
          <t>11:57</t>
        </is>
      </c>
      <c r="C6622" t="inlineStr">
        <is>
          <t>little bit teeny bit there just don't</t>
        </is>
      </c>
      <c r="D6622">
        <f>HYPERLINK("https://www.youtube.com/watch?v=2Urs9QY68xE&amp;t=717s", "Go to time")</f>
        <v/>
      </c>
    </row>
    <row r="6623">
      <c r="A6623">
        <f>HYPERLINK("https://www.youtube.com/watch?v=2Urs9QY68xE", "Video")</f>
        <v/>
      </c>
      <c r="B6623" t="inlineStr">
        <is>
          <t>16:37</t>
        </is>
      </c>
      <c r="C6623" t="inlineStr">
        <is>
          <t>glitter alright a little bit of it right</t>
        </is>
      </c>
      <c r="D6623">
        <f>HYPERLINK("https://www.youtube.com/watch?v=2Urs9QY68xE&amp;t=997s", "Go to time")</f>
        <v/>
      </c>
    </row>
    <row r="6624">
      <c r="A6624">
        <f>HYPERLINK("https://www.youtube.com/watch?v=2Urs9QY68xE", "Video")</f>
        <v/>
      </c>
      <c r="B6624" t="inlineStr">
        <is>
          <t>17:15</t>
        </is>
      </c>
      <c r="C6624" t="inlineStr">
        <is>
          <t>bit of something-something</t>
        </is>
      </c>
      <c r="D6624">
        <f>HYPERLINK("https://www.youtube.com/watch?v=2Urs9QY68xE&amp;t=1035s", "Go to time")</f>
        <v/>
      </c>
    </row>
    <row r="6625">
      <c r="A6625">
        <f>HYPERLINK("https://www.youtube.com/watch?v=2Urs9QY68xE", "Video")</f>
        <v/>
      </c>
      <c r="B6625" t="inlineStr">
        <is>
          <t>18:39</t>
        </is>
      </c>
      <c r="C6625" t="inlineStr">
        <is>
          <t>little bit should be tacky before you</t>
        </is>
      </c>
      <c r="D6625">
        <f>HYPERLINK("https://www.youtube.com/watch?v=2Urs9QY68xE&amp;t=1119s", "Go to time")</f>
        <v/>
      </c>
    </row>
    <row r="6626">
      <c r="A6626">
        <f>HYPERLINK("https://www.youtube.com/watch?v=2Urs9QY68xE", "Video")</f>
        <v/>
      </c>
      <c r="B6626" t="inlineStr">
        <is>
          <t>21:58</t>
        </is>
      </c>
      <c r="C6626" t="inlineStr">
        <is>
          <t>bit hello</t>
        </is>
      </c>
      <c r="D6626">
        <f>HYPERLINK("https://www.youtube.com/watch?v=2Urs9QY68xE&amp;t=1318s", "Go to time")</f>
        <v/>
      </c>
    </row>
    <row r="6627">
      <c r="A6627">
        <f>HYPERLINK("https://www.youtube.com/watch?v=2Urs9QY68xE", "Video")</f>
        <v/>
      </c>
      <c r="B6627" t="inlineStr">
        <is>
          <t>27:14</t>
        </is>
      </c>
      <c r="C6627" t="inlineStr">
        <is>
          <t>bit just so we can get some sparkle on</t>
        </is>
      </c>
      <c r="D6627">
        <f>HYPERLINK("https://www.youtube.com/watch?v=2Urs9QY68xE&amp;t=1634s", "Go to time")</f>
        <v/>
      </c>
    </row>
    <row r="6628">
      <c r="A6628">
        <f>HYPERLINK("https://www.youtube.com/watch?v=2Urs9QY68xE", "Video")</f>
        <v/>
      </c>
      <c r="B6628" t="inlineStr">
        <is>
          <t>27:25</t>
        </is>
      </c>
      <c r="C6628" t="inlineStr">
        <is>
          <t>bit okay now I want you to take it like</t>
        </is>
      </c>
      <c r="D6628">
        <f>HYPERLINK("https://www.youtube.com/watch?v=2Urs9QY68xE&amp;t=1645s", "Go to time")</f>
        <v/>
      </c>
    </row>
    <row r="6629">
      <c r="A6629">
        <f>HYPERLINK("https://www.youtube.com/watch?v=2Urs9QY68xE", "Video")</f>
        <v/>
      </c>
      <c r="B6629" t="inlineStr">
        <is>
          <t>27:37</t>
        </is>
      </c>
      <c r="C6629" t="inlineStr">
        <is>
          <t>your your face with it a little bit yeah</t>
        </is>
      </c>
      <c r="D6629">
        <f>HYPERLINK("https://www.youtube.com/watch?v=2Urs9QY68xE&amp;t=1657s", "Go to time")</f>
        <v/>
      </c>
    </row>
    <row r="6630">
      <c r="A6630">
        <f>HYPERLINK("https://www.youtube.com/watch?v=fAEZBNR2d00", "Video")</f>
        <v/>
      </c>
      <c r="B6630" t="inlineStr">
        <is>
          <t>1:43</t>
        </is>
      </c>
      <c r="C6630" t="inlineStr">
        <is>
          <t>lost my confidence a little bit in the</t>
        </is>
      </c>
      <c r="D6630">
        <f>HYPERLINK("https://www.youtube.com/watch?v=fAEZBNR2d00&amp;t=103s", "Go to time")</f>
        <v/>
      </c>
    </row>
    <row r="6631">
      <c r="A6631">
        <f>HYPERLINK("https://www.youtube.com/watch?v=fAEZBNR2d00", "Video")</f>
        <v/>
      </c>
      <c r="B6631" t="inlineStr">
        <is>
          <t>2:22</t>
        </is>
      </c>
      <c r="C6631" t="inlineStr">
        <is>
          <t>little bit more intense as you know we</t>
        </is>
      </c>
      <c r="D6631">
        <f>HYPERLINK("https://www.youtube.com/watch?v=fAEZBNR2d00&amp;t=142s", "Go to time")</f>
        <v/>
      </c>
    </row>
    <row r="6632">
      <c r="A6632">
        <f>HYPERLINK("https://www.youtube.com/watch?v=XNhii_kfBzE", "Video")</f>
        <v/>
      </c>
      <c r="B6632" t="inlineStr">
        <is>
          <t>5:33</t>
        </is>
      </c>
      <c r="C6632" t="inlineStr">
        <is>
          <t>and that is not a bit this man</t>
        </is>
      </c>
      <c r="D6632">
        <f>HYPERLINK("https://www.youtube.com/watch?v=XNhii_kfBzE&amp;t=333s", "Go to time")</f>
        <v/>
      </c>
    </row>
    <row r="6633">
      <c r="A6633">
        <f>HYPERLINK("https://www.youtube.com/watch?v=kFHAiRSay1s", "Video")</f>
        <v/>
      </c>
      <c r="B6633" t="inlineStr">
        <is>
          <t>0:55</t>
        </is>
      </c>
      <c r="C6633" t="inlineStr">
        <is>
          <t>little bit of an excuse for not acting on</t>
        </is>
      </c>
      <c r="D6633">
        <f>HYPERLINK("https://www.youtube.com/watch?v=kFHAiRSay1s&amp;t=55s", "Go to time")</f>
        <v/>
      </c>
    </row>
    <row r="6634">
      <c r="A6634">
        <f>HYPERLINK("https://www.youtube.com/watch?v=KeYHJmUjAbE", "Video")</f>
        <v/>
      </c>
      <c r="B6634" t="inlineStr">
        <is>
          <t>1:35</t>
        </is>
      </c>
      <c r="C6634" t="inlineStr">
        <is>
          <t>little bit more when do you sing</t>
        </is>
      </c>
      <c r="D6634">
        <f>HYPERLINK("https://www.youtube.com/watch?v=KeYHJmUjAbE&amp;t=95s", "Go to time")</f>
        <v/>
      </c>
    </row>
    <row r="6635">
      <c r="A6635">
        <f>HYPERLINK("https://www.youtube.com/watch?v=ZKziQ53-cmU", "Video")</f>
        <v/>
      </c>
      <c r="B6635" t="inlineStr">
        <is>
          <t>8:33</t>
        </is>
      </c>
      <c r="C6635" t="inlineStr">
        <is>
          <t>would be phrased a little bit</t>
        </is>
      </c>
      <c r="D6635">
        <f>HYPERLINK("https://www.youtube.com/watch?v=ZKziQ53-cmU&amp;t=513s", "Go to time")</f>
        <v/>
      </c>
    </row>
    <row r="6636">
      <c r="A6636">
        <f>HYPERLINK("https://www.youtube.com/watch?v=XxvJkh6-cck", "Video")</f>
        <v/>
      </c>
      <c r="B6636" t="inlineStr">
        <is>
          <t>0:12</t>
        </is>
      </c>
      <c r="C6636" t="inlineStr">
        <is>
          <t>You can't turn a lion into a rabbit
at the end of the day,</t>
        </is>
      </c>
      <c r="D6636">
        <f>HYPERLINK("https://www.youtube.com/watch?v=XxvJkh6-cck&amp;t=12s", "Go to time")</f>
        <v/>
      </c>
    </row>
    <row r="6637">
      <c r="A6637">
        <f>HYPERLINK("https://www.youtube.com/watch?v=XxvJkh6-cck", "Video")</f>
        <v/>
      </c>
      <c r="B6637" t="inlineStr">
        <is>
          <t>3:36</t>
        </is>
      </c>
      <c r="C6637" t="inlineStr">
        <is>
          <t>which may be her strength
and someone that seemed like a little bit,</t>
        </is>
      </c>
      <c r="D6637">
        <f>HYPERLINK("https://www.youtube.com/watch?v=XxvJkh6-cck&amp;t=216s", "Go to time")</f>
        <v/>
      </c>
    </row>
    <row r="6638">
      <c r="A6638">
        <f>HYPERLINK("https://www.youtube.com/watch?v=XxvJkh6-cck", "Video")</f>
        <v/>
      </c>
      <c r="B6638" t="inlineStr">
        <is>
          <t>3:40</t>
        </is>
      </c>
      <c r="C6638" t="inlineStr">
        <is>
          <t>and I love you Danielle,
but a little bit complaining.</t>
        </is>
      </c>
      <c r="D6638">
        <f>HYPERLINK("https://www.youtube.com/watch?v=XxvJkh6-cck&amp;t=220s", "Go to time")</f>
        <v/>
      </c>
    </row>
    <row r="6639">
      <c r="A6639">
        <f>HYPERLINK("https://www.youtube.com/watch?v=XxvJkh6-cck", "Video")</f>
        <v/>
      </c>
      <c r="B6639" t="inlineStr">
        <is>
          <t>5:18</t>
        </is>
      </c>
      <c r="C6639" t="inlineStr">
        <is>
          <t>so they probably thought,
“Oh, she's a little bit too curious,”</t>
        </is>
      </c>
      <c r="D6639">
        <f>HYPERLINK("https://www.youtube.com/watch?v=XxvJkh6-cck&amp;t=318s", "Go to time")</f>
        <v/>
      </c>
    </row>
    <row r="6640">
      <c r="A6640">
        <f>HYPERLINK("https://www.youtube.com/watch?v=vVtLdIBtcJY", "Video")</f>
        <v/>
      </c>
      <c r="B6640" t="inlineStr">
        <is>
          <t>2:46</t>
        </is>
      </c>
      <c r="C6640" t="inlineStr">
        <is>
          <t>kind of going a bit green</t>
        </is>
      </c>
      <c r="D6640">
        <f>HYPERLINK("https://www.youtube.com/watch?v=vVtLdIBtcJY&amp;t=166s", "Go to time")</f>
        <v/>
      </c>
    </row>
    <row r="6641">
      <c r="A6641">
        <f>HYPERLINK("https://www.youtube.com/watch?v=6v5e-5lAObs", "Video")</f>
        <v/>
      </c>
      <c r="B6641" t="inlineStr">
        <is>
          <t>3:47</t>
        </is>
      </c>
      <c r="C6641" t="inlineStr">
        <is>
          <t>your knees a little bit and then just</t>
        </is>
      </c>
      <c r="D6641">
        <f>HYPERLINK("https://www.youtube.com/watch?v=6v5e-5lAObs&amp;t=227s", "Go to time")</f>
        <v/>
      </c>
    </row>
    <row r="6642">
      <c r="A6642">
        <f>HYPERLINK("https://www.youtube.com/watch?v=rrZ8cp0xUpY", "Video")</f>
        <v/>
      </c>
      <c r="B6642" t="inlineStr">
        <is>
          <t>2:08</t>
        </is>
      </c>
      <c r="C6642" t="inlineStr">
        <is>
          <t>bit all righty well once again I'll see</t>
        </is>
      </c>
      <c r="D6642">
        <f>HYPERLINK("https://www.youtube.com/watch?v=rrZ8cp0xUpY&amp;t=128s", "Go to time")</f>
        <v/>
      </c>
    </row>
    <row r="6643">
      <c r="A6643">
        <f>HYPERLINK("https://www.youtube.com/watch?v=rrZ8cp0xUpY", "Video")</f>
        <v/>
      </c>
      <c r="B6643" t="inlineStr">
        <is>
          <t>2:18</t>
        </is>
      </c>
      <c r="C6643" t="inlineStr">
        <is>
          <t>third step atoria is a little ambitious</t>
        </is>
      </c>
      <c r="D6643">
        <f>HYPERLINK("https://www.youtube.com/watch?v=rrZ8cp0xUpY&amp;t=138s", "Go to time")</f>
        <v/>
      </c>
    </row>
    <row r="6644">
      <c r="A6644">
        <f>HYPERLINK("https://www.youtube.com/watch?v=WqGjLUeEIls", "Video")</f>
        <v/>
      </c>
      <c r="B6644" t="inlineStr">
        <is>
          <t>7:36</t>
        </is>
      </c>
      <c r="C6644" t="inlineStr">
        <is>
          <t>familiar with and expanded it a bit more</t>
        </is>
      </c>
      <c r="D6644">
        <f>HYPERLINK("https://www.youtube.com/watch?v=WqGjLUeEIls&amp;t=456s", "Go to time")</f>
        <v/>
      </c>
    </row>
    <row r="6645">
      <c r="A6645">
        <f>HYPERLINK("https://www.youtube.com/watch?v=Y_s25wEyYGI", "Video")</f>
        <v/>
      </c>
      <c r="B6645" t="inlineStr">
        <is>
          <t>0:43</t>
        </is>
      </c>
      <c r="C6645" t="inlineStr">
        <is>
          <t>big tuna is a super ambitious guy you</t>
        </is>
      </c>
      <c r="D6645">
        <f>HYPERLINK("https://www.youtube.com/watch?v=Y_s25wEyYGI&amp;t=43s", "Go to time")</f>
        <v/>
      </c>
    </row>
    <row r="6646">
      <c r="A6646">
        <f>HYPERLINK("https://www.youtube.com/watch?v=Y_s25wEyYGI", "Video")</f>
        <v/>
      </c>
      <c r="B6646" t="inlineStr">
        <is>
          <t>7:05</t>
        </is>
      </c>
      <c r="C6646" t="inlineStr">
        <is>
          <t>beautiful exhibit thank you i know that</t>
        </is>
      </c>
      <c r="D6646">
        <f>HYPERLINK("https://www.youtube.com/watch?v=Y_s25wEyYGI&amp;t=425s", "Go to time")</f>
        <v/>
      </c>
    </row>
    <row r="6647">
      <c r="A6647">
        <f>HYPERLINK("https://www.youtube.com/watch?v=Y_s25wEyYGI", "Video")</f>
        <v/>
      </c>
      <c r="B6647" t="inlineStr">
        <is>
          <t>7:15</t>
        </is>
      </c>
      <c r="C6647" t="inlineStr">
        <is>
          <t>also a bit of an apology for just not</t>
        </is>
      </c>
      <c r="D6647">
        <f>HYPERLINK("https://www.youtube.com/watch?v=Y_s25wEyYGI&amp;t=435s", "Go to time")</f>
        <v/>
      </c>
    </row>
    <row r="6648">
      <c r="A6648">
        <f>HYPERLINK("https://www.youtube.com/watch?v=aEK86uOMfIk", "Video")</f>
        <v/>
      </c>
      <c r="B6648" t="inlineStr">
        <is>
          <t>0:12</t>
        </is>
      </c>
      <c r="C6648" t="inlineStr">
        <is>
          <t>are you sure you didn't have any bits
left over when you finish rewiring them</t>
        </is>
      </c>
      <c r="D6648">
        <f>HYPERLINK("https://www.youtube.com/watch?v=aEK86uOMfIk&amp;t=12s", "Go to time")</f>
        <v/>
      </c>
    </row>
    <row r="6649">
      <c r="A6649">
        <f>HYPERLINK("https://www.youtube.com/watch?v=jmKNqv5s9xM", "Video")</f>
        <v/>
      </c>
      <c r="B6649" t="inlineStr">
        <is>
          <t>7:08</t>
        </is>
      </c>
      <c r="C6649" t="inlineStr">
        <is>
          <t>bitch. Diaz sent us the list of favors she</t>
        </is>
      </c>
      <c r="D6649">
        <f>HYPERLINK("https://www.youtube.com/watch?v=jmKNqv5s9xM&amp;t=428s", "Go to time")</f>
        <v/>
      </c>
    </row>
    <row r="6650">
      <c r="A6650">
        <f>HYPERLINK("https://www.youtube.com/watch?v=RJ0q5kliK7E", "Video")</f>
        <v/>
      </c>
      <c r="B6650" t="inlineStr">
        <is>
          <t>1:46</t>
        </is>
      </c>
      <c r="C6650" t="inlineStr">
        <is>
          <t>a bit insensitive everybody knows how</t>
        </is>
      </c>
      <c r="D6650">
        <f>HYPERLINK("https://www.youtube.com/watch?v=RJ0q5kliK7E&amp;t=106s", "Go to time")</f>
        <v/>
      </c>
    </row>
    <row r="6651">
      <c r="A6651">
        <f>HYPERLINK("https://www.youtube.com/watch?v=rNn0TNW-_bY", "Video")</f>
        <v/>
      </c>
      <c r="B6651" t="inlineStr">
        <is>
          <t>9:29</t>
        </is>
      </c>
      <c r="C6651" t="inlineStr">
        <is>
          <t>We have dogs, cats, rabbits.</t>
        </is>
      </c>
      <c r="D6651">
        <f>HYPERLINK("https://www.youtube.com/watch?v=rNn0TNW-_bY&amp;t=569s", "Go to time")</f>
        <v/>
      </c>
    </row>
    <row r="6652">
      <c r="A6652">
        <f>HYPERLINK("https://www.youtube.com/watch?v=OHZIHsXD5q8", "Video")</f>
        <v/>
      </c>
      <c r="B6652" t="inlineStr">
        <is>
          <t>27:04</t>
        </is>
      </c>
      <c r="C6652" t="inlineStr">
        <is>
          <t>see just how deep the rabbit hole</t>
        </is>
      </c>
      <c r="D6652">
        <f>HYPERLINK("https://www.youtube.com/watch?v=OHZIHsXD5q8&amp;t=1624s", "Go to time")</f>
        <v/>
      </c>
    </row>
    <row r="6653">
      <c r="A6653">
        <f>HYPERLINK("https://www.youtube.com/watch?v=rn_Gxu_bqzI", "Video")</f>
        <v/>
      </c>
      <c r="B6653" t="inlineStr">
        <is>
          <t>6:32</t>
        </is>
      </c>
      <c r="C6653" t="inlineStr">
        <is>
          <t>day yes bit of a tough day</t>
        </is>
      </c>
      <c r="D6653">
        <f>HYPERLINK("https://www.youtube.com/watch?v=rn_Gxu_bqzI&amp;t=392s", "Go to time")</f>
        <v/>
      </c>
    </row>
    <row r="6654">
      <c r="A6654">
        <f>HYPERLINK("https://www.youtube.com/watch?v=d9sp5m0Komc", "Video")</f>
        <v/>
      </c>
      <c r="B6654" t="inlineStr">
        <is>
          <t>0:29</t>
        </is>
      </c>
      <c r="C6654" t="inlineStr">
        <is>
          <t>you just seem a little bit like</t>
        </is>
      </c>
      <c r="D6654">
        <f>HYPERLINK("https://www.youtube.com/watch?v=d9sp5m0Komc&amp;t=29s", "Go to time")</f>
        <v/>
      </c>
    </row>
    <row r="6655">
      <c r="A6655">
        <f>HYPERLINK("https://www.youtube.com/watch?v=d9sp5m0Komc", "Video")</f>
        <v/>
      </c>
      <c r="B6655" t="inlineStr">
        <is>
          <t>1:10</t>
        </is>
      </c>
      <c r="C6655" t="inlineStr">
        <is>
          <t>you're a little bit like slow to</t>
        </is>
      </c>
      <c r="D6655">
        <f>HYPERLINK("https://www.youtube.com/watch?v=d9sp5m0Komc&amp;t=70s", "Go to time")</f>
        <v/>
      </c>
    </row>
    <row r="6656">
      <c r="A6656">
        <f>HYPERLINK("https://www.youtube.com/watch?v=d9sp5m0Komc", "Video")</f>
        <v/>
      </c>
      <c r="B6656" t="inlineStr">
        <is>
          <t>1:22</t>
        </is>
      </c>
      <c r="C6656" t="inlineStr">
        <is>
          <t>her frustration is a little bit more</t>
        </is>
      </c>
      <c r="D6656">
        <f>HYPERLINK("https://www.youtube.com/watch?v=d9sp5m0Komc&amp;t=82s", "Go to time")</f>
        <v/>
      </c>
    </row>
    <row r="6657">
      <c r="A6657">
        <f>HYPERLINK("https://www.youtube.com/watch?v=d9sp5m0Komc", "Video")</f>
        <v/>
      </c>
      <c r="B6657" t="inlineStr">
        <is>
          <t>1:47</t>
        </is>
      </c>
      <c r="C6657" t="inlineStr">
        <is>
          <t>a little bit just a little woo-woo not a</t>
        </is>
      </c>
      <c r="D6657">
        <f>HYPERLINK("https://www.youtube.com/watch?v=d9sp5m0Komc&amp;t=107s", "Go to time")</f>
        <v/>
      </c>
    </row>
    <row r="6658">
      <c r="A6658">
        <f>HYPERLINK("https://www.youtube.com/watch?v=d9sp5m0Komc", "Video")</f>
        <v/>
      </c>
      <c r="B6658" t="inlineStr">
        <is>
          <t>5:19</t>
        </is>
      </c>
      <c r="C6658" t="inlineStr">
        <is>
          <t>bit more</t>
        </is>
      </c>
      <c r="D6658">
        <f>HYPERLINK("https://www.youtube.com/watch?v=d9sp5m0Komc&amp;t=319s", "Go to time")</f>
        <v/>
      </c>
    </row>
    <row r="6659">
      <c r="A6659">
        <f>HYPERLINK("https://www.youtube.com/watch?v=d9sp5m0Komc", "Video")</f>
        <v/>
      </c>
      <c r="B6659" t="inlineStr">
        <is>
          <t>5:22</t>
        </is>
      </c>
      <c r="C6659" t="inlineStr">
        <is>
          <t>little bit more the cameras are there</t>
        </is>
      </c>
      <c r="D6659">
        <f>HYPERLINK("https://www.youtube.com/watch?v=d9sp5m0Komc&amp;t=322s", "Go to time")</f>
        <v/>
      </c>
    </row>
    <row r="6660">
      <c r="A6660">
        <f>HYPERLINK("https://www.youtube.com/watch?v=b8QnsPzfHTk", "Video")</f>
        <v/>
      </c>
      <c r="B6660" t="inlineStr">
        <is>
          <t>0:07</t>
        </is>
      </c>
      <c r="C6660" t="inlineStr">
        <is>
          <t>little bit because I am like, I'm a by</t>
        </is>
      </c>
      <c r="D6660">
        <f>HYPERLINK("https://www.youtube.com/watch?v=b8QnsPzfHTk&amp;t=7s", "Go to time")</f>
        <v/>
      </c>
    </row>
    <row r="6661">
      <c r="A6661">
        <f>HYPERLINK("https://www.youtube.com/watch?v=b8QnsPzfHTk", "Video")</f>
        <v/>
      </c>
      <c r="B6661" t="inlineStr">
        <is>
          <t>1:31</t>
        </is>
      </c>
      <c r="C6661" t="inlineStr">
        <is>
          <t>little bit of everything.</t>
        </is>
      </c>
      <c r="D6661">
        <f>HYPERLINK("https://www.youtube.com/watch?v=b8QnsPzfHTk&amp;t=91s", "Go to time")</f>
        <v/>
      </c>
    </row>
    <row r="6662">
      <c r="A6662">
        <f>HYPERLINK("https://www.youtube.com/watch?v=GKriUqHOjyc", "Video")</f>
        <v/>
      </c>
      <c r="B6662" t="inlineStr">
        <is>
          <t>1:45</t>
        </is>
      </c>
      <c r="C6662" t="inlineStr">
        <is>
          <t>bit that everybody thinks it's my</t>
        </is>
      </c>
      <c r="D6662">
        <f>HYPERLINK("https://www.youtube.com/watch?v=GKriUqHOjyc&amp;t=105s", "Go to time")</f>
        <v/>
      </c>
    </row>
    <row r="6663">
      <c r="A6663">
        <f>HYPERLINK("https://www.youtube.com/watch?v=5YGZVZcJKrg", "Video")</f>
        <v/>
      </c>
      <c r="B6663" t="inlineStr">
        <is>
          <t>1:46</t>
        </is>
      </c>
      <c r="C6663" t="inlineStr">
        <is>
          <t>little bit obsessive and then I'll just</t>
        </is>
      </c>
      <c r="D6663">
        <f>HYPERLINK("https://www.youtube.com/watch?v=5YGZVZcJKrg&amp;t=106s", "Go to time")</f>
        <v/>
      </c>
    </row>
    <row r="6664">
      <c r="A6664">
        <f>HYPERLINK("https://www.youtube.com/watch?v=5YGZVZcJKrg", "Video")</f>
        <v/>
      </c>
      <c r="B6664" t="inlineStr">
        <is>
          <t>1:54</t>
        </is>
      </c>
      <c r="C6664" t="inlineStr">
        <is>
          <t>in my orbit has to listen to the same</t>
        </is>
      </c>
      <c r="D6664">
        <f>HYPERLINK("https://www.youtube.com/watch?v=5YGZVZcJKrg&amp;t=114s", "Go to time")</f>
        <v/>
      </c>
    </row>
    <row r="6665">
      <c r="A6665">
        <f>HYPERLINK("https://www.youtube.com/watch?v=5YGZVZcJKrg", "Video")</f>
        <v/>
      </c>
      <c r="B6665" t="inlineStr">
        <is>
          <t>9:18</t>
        </is>
      </c>
      <c r="C6665" t="inlineStr">
        <is>
          <t>with a bit of self forgiveness because</t>
        </is>
      </c>
      <c r="D6665">
        <f>HYPERLINK("https://www.youtube.com/watch?v=5YGZVZcJKrg&amp;t=558s", "Go to time")</f>
        <v/>
      </c>
    </row>
    <row r="6666">
      <c r="A6666">
        <f>HYPERLINK("https://www.youtube.com/watch?v=uJ1UsmRyoYE", "Video")</f>
        <v/>
      </c>
      <c r="B6666" t="inlineStr">
        <is>
          <t>4:37</t>
        </is>
      </c>
      <c r="C6666" t="inlineStr">
        <is>
          <t>little bit okay okay love you guys love</t>
        </is>
      </c>
      <c r="D6666">
        <f>HYPERLINK("https://www.youtube.com/watch?v=uJ1UsmRyoYE&amp;t=277s", "Go to time")</f>
        <v/>
      </c>
    </row>
    <row r="6667">
      <c r="A6667">
        <f>HYPERLINK("https://www.youtube.com/watch?v=WCmgMtdBfNg", "Video")</f>
        <v/>
      </c>
      <c r="B6667" t="inlineStr">
        <is>
          <t>1:12</t>
        </is>
      </c>
      <c r="C6667" t="inlineStr">
        <is>
          <t>I kept looking at her, a little bit too much.</t>
        </is>
      </c>
      <c r="D6667">
        <f>HYPERLINK("https://www.youtube.com/watch?v=WCmgMtdBfNg&amp;t=72s", "Go to time")</f>
        <v/>
      </c>
    </row>
    <row r="6668">
      <c r="A6668">
        <f>HYPERLINK("https://www.youtube.com/watch?v=mkTfsjCovUk", "Video")</f>
        <v/>
      </c>
      <c r="B6668" t="inlineStr">
        <is>
          <t>2:39</t>
        </is>
      </c>
      <c r="C6668" t="inlineStr">
        <is>
          <t>She's going to tell you in a little bit.</t>
        </is>
      </c>
      <c r="D6668">
        <f>HYPERLINK("https://www.youtube.com/watch?v=mkTfsjCovUk&amp;t=159s", "Go to time")</f>
        <v/>
      </c>
    </row>
    <row r="6669">
      <c r="A6669">
        <f>HYPERLINK("https://www.youtube.com/watch?v=FcUBmqPd1bE", "Video")</f>
        <v/>
      </c>
      <c r="B6669" t="inlineStr">
        <is>
          <t>0:52</t>
        </is>
      </c>
      <c r="C6669" t="inlineStr">
        <is>
          <t>did manage to capture a tiny bit of</t>
        </is>
      </c>
      <c r="D6669">
        <f>HYPERLINK("https://www.youtube.com/watch?v=FcUBmqPd1bE&amp;t=52s", "Go to time")</f>
        <v/>
      </c>
    </row>
    <row r="6670">
      <c r="A6670">
        <f>HYPERLINK("https://www.youtube.com/watch?v=vs0yby4YKr4", "Video")</f>
        <v/>
      </c>
      <c r="B6670" t="inlineStr">
        <is>
          <t>3:19</t>
        </is>
      </c>
      <c r="C6670" t="inlineStr">
        <is>
          <t>warnock came a little bit later</t>
        </is>
      </c>
      <c r="D6670">
        <f>HYPERLINK("https://www.youtube.com/watch?v=vs0yby4YKr4&amp;t=199s", "Go to time")</f>
        <v/>
      </c>
    </row>
    <row r="6671">
      <c r="A6671">
        <f>HYPERLINK("https://www.youtube.com/watch?v=eiefbUDLAOo", "Video")</f>
        <v/>
      </c>
      <c r="B6671" t="inlineStr">
        <is>
          <t>0:49</t>
        </is>
      </c>
      <c r="C6671" t="inlineStr">
        <is>
          <t>for a bit. Then you're going to turn.</t>
        </is>
      </c>
      <c r="D6671">
        <f>HYPERLINK("https://www.youtube.com/watch?v=eiefbUDLAOo&amp;t=49s", "Go to time")</f>
        <v/>
      </c>
    </row>
    <row r="6672">
      <c r="A6672">
        <f>HYPERLINK("https://www.youtube.com/watch?v=eiefbUDLAOo", "Video")</f>
        <v/>
      </c>
      <c r="B6672" t="inlineStr">
        <is>
          <t>1:37</t>
        </is>
      </c>
      <c r="C6672" t="inlineStr">
        <is>
          <t>All right. Although Ted's took a little bit</t>
        </is>
      </c>
      <c r="D6672">
        <f>HYPERLINK("https://www.youtube.com/watch?v=eiefbUDLAOo&amp;t=97s", "Go to time")</f>
        <v/>
      </c>
    </row>
    <row r="6673">
      <c r="A6673">
        <f>HYPERLINK("https://www.youtube.com/watch?v=EcqkHpSMEHk", "Video")</f>
        <v/>
      </c>
      <c r="B6673" t="inlineStr">
        <is>
          <t>0:21</t>
        </is>
      </c>
      <c r="C6673" t="inlineStr">
        <is>
          <t>bit of sunscreen in the morning. They think</t>
        </is>
      </c>
      <c r="D6673">
        <f>HYPERLINK("https://www.youtube.com/watch?v=EcqkHpSMEHk&amp;t=21s", "Go to time")</f>
        <v/>
      </c>
    </row>
    <row r="6674">
      <c r="A6674">
        <f>HYPERLINK("https://www.youtube.com/watch?v=EcqkHpSMEHk", "Video")</f>
        <v/>
      </c>
      <c r="B6674" t="inlineStr">
        <is>
          <t>3:05</t>
        </is>
      </c>
      <c r="C6674" t="inlineStr">
        <is>
          <t>her itsy bitsy bikini.</t>
        </is>
      </c>
      <c r="D6674">
        <f>HYPERLINK("https://www.youtube.com/watch?v=EcqkHpSMEHk&amp;t=185s", "Go to time")</f>
        <v/>
      </c>
    </row>
    <row r="6675">
      <c r="A6675">
        <f>HYPERLINK("https://www.youtube.com/watch?v=EcqkHpSMEHk", "Video")</f>
        <v/>
      </c>
      <c r="B6675" t="inlineStr">
        <is>
          <t>3:38</t>
        </is>
      </c>
      <c r="C6675" t="inlineStr">
        <is>
          <t>No, that was more about a weird mall habit</t>
        </is>
      </c>
      <c r="D6675">
        <f>HYPERLINK("https://www.youtube.com/watch?v=EcqkHpSMEHk&amp;t=218s", "Go to time")</f>
        <v/>
      </c>
    </row>
    <row r="6676">
      <c r="A6676">
        <f>HYPERLINK("https://www.youtube.com/watch?v=n6y9KKOajtY", "Video")</f>
        <v/>
      </c>
      <c r="B6676" t="inlineStr">
        <is>
          <t>5:49</t>
        </is>
      </c>
      <c r="C6676" t="inlineStr">
        <is>
          <t>please read exhibit c the transcript of</t>
        </is>
      </c>
      <c r="D6676">
        <f>HYPERLINK("https://www.youtube.com/watch?v=n6y9KKOajtY&amp;t=349s", "Go to time")</f>
        <v/>
      </c>
    </row>
    <row r="6677">
      <c r="A6677">
        <f>HYPERLINK("https://www.youtube.com/watch?v=0vh8qJrvYCw", "Video")</f>
        <v/>
      </c>
      <c r="B6677" t="inlineStr">
        <is>
          <t>0:13</t>
        </is>
      </c>
      <c r="C6677" t="inlineStr">
        <is>
          <t>Nathan, you had a little
bit of a rough patch,</t>
        </is>
      </c>
      <c r="D6677">
        <f>HYPERLINK("https://www.youtube.com/watch?v=0vh8qJrvYCw&amp;t=13s", "Go to time")</f>
        <v/>
      </c>
    </row>
    <row r="6678">
      <c r="A6678">
        <f>HYPERLINK("https://www.youtube.com/watch?v=usYWT1tC7bs", "Video")</f>
        <v/>
      </c>
      <c r="B6678" t="inlineStr">
        <is>
          <t>8:40</t>
        </is>
      </c>
      <c r="C6678" t="inlineStr">
        <is>
          <t>pillow once and i got bit</t>
        </is>
      </c>
      <c r="D6678">
        <f>HYPERLINK("https://www.youtube.com/watch?v=usYWT1tC7bs&amp;t=520s", "Go to time")</f>
        <v/>
      </c>
    </row>
    <row r="6679">
      <c r="A6679">
        <f>HYPERLINK("https://www.youtube.com/watch?v=aUxTLFDDjBY", "Video")</f>
        <v/>
      </c>
      <c r="B6679" t="inlineStr">
        <is>
          <t>0:52</t>
        </is>
      </c>
      <c r="C6679" t="inlineStr">
        <is>
          <t>are you sure you didn't have any bits</t>
        </is>
      </c>
      <c r="D6679">
        <f>HYPERLINK("https://www.youtube.com/watch?v=aUxTLFDDjBY&amp;t=52s", "Go to time")</f>
        <v/>
      </c>
    </row>
    <row r="6680">
      <c r="A6680">
        <f>HYPERLINK("https://www.youtube.com/watch?v=8kt_b-xyXFQ", "Video")</f>
        <v/>
      </c>
      <c r="B6680" t="inlineStr">
        <is>
          <t>3:13</t>
        </is>
      </c>
      <c r="C6680" t="inlineStr">
        <is>
          <t>i think it's a little bit out of left</t>
        </is>
      </c>
      <c r="D6680">
        <f>HYPERLINK("https://www.youtube.com/watch?v=8kt_b-xyXFQ&amp;t=193s", "Go to time")</f>
        <v/>
      </c>
    </row>
    <row r="6681">
      <c r="A6681">
        <f>HYPERLINK("https://www.youtube.com/watch?v=JFdxp-8bwUE", "Video")</f>
        <v/>
      </c>
      <c r="B6681" t="inlineStr">
        <is>
          <t>2:52</t>
        </is>
      </c>
      <c r="C6681" t="inlineStr">
        <is>
          <t>this guy's like, I'm feeling like I could
use a little bit of a new challenge, you</t>
        </is>
      </c>
      <c r="D6681">
        <f>HYPERLINK("https://www.youtube.com/watch?v=JFdxp-8bwUE&amp;t=172s", "Go to time")</f>
        <v/>
      </c>
    </row>
    <row r="6682">
      <c r="A6682">
        <f>HYPERLINK("https://www.youtube.com/watch?v=JFdxp-8bwUE", "Video")</f>
        <v/>
      </c>
      <c r="B6682" t="inlineStr">
        <is>
          <t>2:56</t>
        </is>
      </c>
      <c r="C6682" t="inlineStr">
        <is>
          <t>Yeah, you're you're you're you're tapping
into the same bits.</t>
        </is>
      </c>
      <c r="D6682">
        <f>HYPERLINK("https://www.youtube.com/watch?v=JFdxp-8bwUE&amp;t=176s", "Go to time")</f>
        <v/>
      </c>
    </row>
    <row r="6683">
      <c r="A6683">
        <f>HYPERLINK("https://www.youtube.com/watch?v=FQdSm--Ofp0", "Video")</f>
        <v/>
      </c>
      <c r="B6683" t="inlineStr">
        <is>
          <t>1:27</t>
        </is>
      </c>
      <c r="C6683" t="inlineStr">
        <is>
          <t>Can I grab a little bit of this candy for my</t>
        </is>
      </c>
      <c r="D6683">
        <f>HYPERLINK("https://www.youtube.com/watch?v=FQdSm--Ofp0&amp;t=87s", "Go to time")</f>
        <v/>
      </c>
    </row>
    <row r="6684">
      <c r="A6684">
        <f>HYPERLINK("https://www.youtube.com/watch?v=Rgcp9pFuYYM", "Video")</f>
        <v/>
      </c>
      <c r="B6684" t="inlineStr">
        <is>
          <t>1:59</t>
        </is>
      </c>
      <c r="C6684" t="inlineStr">
        <is>
          <t>bites his own heart</t>
        </is>
      </c>
      <c r="D6684">
        <f>HYPERLINK("https://www.youtube.com/watch?v=Rgcp9pFuYYM&amp;t=119s", "Go to time")</f>
        <v/>
      </c>
    </row>
    <row r="6685">
      <c r="A6685">
        <f>HYPERLINK("https://www.youtube.com/watch?v=IGCYYN-8f6I", "Video")</f>
        <v/>
      </c>
      <c r="B6685" t="inlineStr">
        <is>
          <t>3:33</t>
        </is>
      </c>
      <c r="C6685" t="inlineStr">
        <is>
          <t>I pushed it a little bit on that one.</t>
        </is>
      </c>
      <c r="D6685">
        <f>HYPERLINK("https://www.youtube.com/watch?v=IGCYYN-8f6I&amp;t=213s", "Go to time")</f>
        <v/>
      </c>
    </row>
    <row r="6686">
      <c r="A6686">
        <f>HYPERLINK("https://www.youtube.com/watch?v=pkZF54FpRcY", "Video")</f>
        <v/>
      </c>
      <c r="B6686" t="inlineStr">
        <is>
          <t>1:46</t>
        </is>
      </c>
      <c r="C6686" t="inlineStr">
        <is>
          <t>I just do a little bit of a nod sort of</t>
        </is>
      </c>
      <c r="D6686">
        <f>HYPERLINK("https://www.youtube.com/watch?v=pkZF54FpRcY&amp;t=106s", "Go to time")</f>
        <v/>
      </c>
    </row>
    <row r="6687">
      <c r="A6687">
        <f>HYPERLINK("https://www.youtube.com/watch?v=PVKdoj7APbE", "Video")</f>
        <v/>
      </c>
      <c r="B6687" t="inlineStr">
        <is>
          <t>4:47</t>
        </is>
      </c>
      <c r="C6687" t="inlineStr">
        <is>
          <t>a little bit and then we compromise</t>
        </is>
      </c>
      <c r="D6687">
        <f>HYPERLINK("https://www.youtube.com/watch?v=PVKdoj7APbE&amp;t=287s", "Go to time")</f>
        <v/>
      </c>
    </row>
    <row r="6688">
      <c r="A6688">
        <f>HYPERLINK("https://www.youtube.com/watch?v=PVKdoj7APbE", "Video")</f>
        <v/>
      </c>
      <c r="B6688" t="inlineStr">
        <is>
          <t>10:02</t>
        </is>
      </c>
      <c r="C6688" t="inlineStr">
        <is>
          <t>bananas and bit the gym teacher where in</t>
        </is>
      </c>
      <c r="D6688">
        <f>HYPERLINK("https://www.youtube.com/watch?v=PVKdoj7APbE&amp;t=602s", "Go to time")</f>
        <v/>
      </c>
    </row>
    <row r="6689">
      <c r="A6689">
        <f>HYPERLINK("https://www.youtube.com/watch?v=PVKdoj7APbE", "Video")</f>
        <v/>
      </c>
      <c r="B6689" t="inlineStr">
        <is>
          <t>14:04</t>
        </is>
      </c>
      <c r="C6689" t="inlineStr">
        <is>
          <t>panic and a little bit of makeup no</t>
        </is>
      </c>
      <c r="D6689">
        <f>HYPERLINK("https://www.youtube.com/watch?v=PVKdoj7APbE&amp;t=844s", "Go to time")</f>
        <v/>
      </c>
    </row>
    <row r="6690">
      <c r="A6690">
        <f>HYPERLINK("https://www.youtube.com/watch?v=PVKdoj7APbE", "Video")</f>
        <v/>
      </c>
      <c r="B6690" t="inlineStr">
        <is>
          <t>22:13</t>
        </is>
      </c>
      <c r="C6690" t="inlineStr">
        <is>
          <t>arbitrary Goodbye</t>
        </is>
      </c>
      <c r="D6690">
        <f>HYPERLINK("https://www.youtube.com/watch?v=PVKdoj7APbE&amp;t=1333s", "Go to time")</f>
        <v/>
      </c>
    </row>
    <row r="6691">
      <c r="A6691">
        <f>HYPERLINK("https://www.youtube.com/watch?v=Fha58hUppWk", "Video")</f>
        <v/>
      </c>
      <c r="B6691" t="inlineStr">
        <is>
          <t>6:46</t>
        </is>
      </c>
      <c r="C6691" t="inlineStr">
        <is>
          <t>relationship down a little bit.</t>
        </is>
      </c>
      <c r="D6691">
        <f>HYPERLINK("https://www.youtube.com/watch?v=Fha58hUppWk&amp;t=406s", "Go to time")</f>
        <v/>
      </c>
    </row>
    <row r="6692">
      <c r="A6692">
        <f>HYPERLINK("https://www.youtube.com/watch?v=Fha58hUppWk", "Video")</f>
        <v/>
      </c>
      <c r="B6692" t="inlineStr">
        <is>
          <t>11:19</t>
        </is>
      </c>
      <c r="C6692" t="inlineStr">
        <is>
          <t>You just got here during a bit of a.</t>
        </is>
      </c>
      <c r="D6692">
        <f>HYPERLINK("https://www.youtube.com/watch?v=Fha58hUppWk&amp;t=679s", "Go to time")</f>
        <v/>
      </c>
    </row>
    <row r="6693">
      <c r="A6693">
        <f>HYPERLINK("https://www.youtube.com/watch?v=uyz8lYvNvpo", "Video")</f>
        <v/>
      </c>
      <c r="B6693" t="inlineStr">
        <is>
          <t>2:19</t>
        </is>
      </c>
      <c r="C6693" t="inlineStr">
        <is>
          <t>was just too much a little bit closer no</t>
        </is>
      </c>
      <c r="D6693">
        <f>HYPERLINK("https://www.youtube.com/watch?v=uyz8lYvNvpo&amp;t=139s", "Go to time")</f>
        <v/>
      </c>
    </row>
    <row r="6694">
      <c r="A6694">
        <f>HYPERLINK("https://www.youtube.com/watch?v=zxklPbt0t9E", "Video")</f>
        <v/>
      </c>
      <c r="B6694" t="inlineStr">
        <is>
          <t>0:46</t>
        </is>
      </c>
      <c r="C6694" t="inlineStr">
        <is>
          <t>And it's a little bit of a bribe.</t>
        </is>
      </c>
      <c r="D6694">
        <f>HYPERLINK("https://www.youtube.com/watch?v=zxklPbt0t9E&amp;t=46s", "Go to time")</f>
        <v/>
      </c>
    </row>
    <row r="6695">
      <c r="A6695">
        <f>HYPERLINK("https://www.youtube.com/watch?v=aiFWSNXNF-U", "Video")</f>
        <v/>
      </c>
      <c r="B6695" t="inlineStr">
        <is>
          <t>2:08</t>
        </is>
      </c>
      <c r="C6695" t="inlineStr">
        <is>
          <t>see just how deep the rabbit hole</t>
        </is>
      </c>
      <c r="D6695">
        <f>HYPERLINK("https://www.youtube.com/watch?v=aiFWSNXNF-U&amp;t=128s", "Go to time")</f>
        <v/>
      </c>
    </row>
    <row r="6696">
      <c r="A6696">
        <f>HYPERLINK("https://www.youtube.com/watch?v=aiFWSNXNF-U", "Video")</f>
        <v/>
      </c>
      <c r="B6696" t="inlineStr">
        <is>
          <t>6:42</t>
        </is>
      </c>
      <c r="C6696" t="inlineStr">
        <is>
          <t>bit longer than that really if I can</t>
        </is>
      </c>
      <c r="D6696">
        <f>HYPERLINK("https://www.youtube.com/watch?v=aiFWSNXNF-U&amp;t=402s", "Go to time")</f>
        <v/>
      </c>
    </row>
    <row r="6697">
      <c r="A6697">
        <f>HYPERLINK("https://www.youtube.com/watch?v=aiFWSNXNF-U", "Video")</f>
        <v/>
      </c>
      <c r="B6697" t="inlineStr">
        <is>
          <t>13:06</t>
        </is>
      </c>
      <c r="C6697" t="inlineStr">
        <is>
          <t>habit I'm afraid I'm going</t>
        </is>
      </c>
      <c r="D6697">
        <f>HYPERLINK("https://www.youtube.com/watch?v=aiFWSNXNF-U&amp;t=786s", "Go to time")</f>
        <v/>
      </c>
    </row>
    <row r="6698">
      <c r="A6698">
        <f>HYPERLINK("https://www.youtube.com/watch?v=W8H-q8hT5LA", "Video")</f>
        <v/>
      </c>
      <c r="B6698" t="inlineStr">
        <is>
          <t>0:40</t>
        </is>
      </c>
      <c r="C6698" t="inlineStr">
        <is>
          <t>I am gonna walk down here a
little bit because I see something.</t>
        </is>
      </c>
      <c r="D6698">
        <f>HYPERLINK("https://www.youtube.com/watch?v=W8H-q8hT5LA&amp;t=40s", "Go to time")</f>
        <v/>
      </c>
    </row>
    <row r="6699">
      <c r="A6699">
        <f>HYPERLINK("https://www.youtube.com/watch?v=kjtobhSRiN0", "Video")</f>
        <v/>
      </c>
      <c r="B6699" t="inlineStr">
        <is>
          <t>1:28</t>
        </is>
      </c>
      <c r="C6699" t="inlineStr">
        <is>
          <t>bonded a little bit.</t>
        </is>
      </c>
      <c r="D6699">
        <f>HYPERLINK("https://www.youtube.com/watch?v=kjtobhSRiN0&amp;t=88s", "Go to time")</f>
        <v/>
      </c>
    </row>
    <row r="6700">
      <c r="A6700">
        <f>HYPERLINK("https://www.youtube.com/watch?v=NmOuCurA__I", "Video")</f>
        <v/>
      </c>
      <c r="B6700" t="inlineStr">
        <is>
          <t>0:35</t>
        </is>
      </c>
      <c r="C6700" t="inlineStr">
        <is>
          <t>after that the night's just bits and</t>
        </is>
      </c>
      <c r="D6700">
        <f>HYPERLINK("https://www.youtube.com/watch?v=NmOuCurA__I&amp;t=35s", "Go to time")</f>
        <v/>
      </c>
    </row>
    <row r="6701">
      <c r="A6701">
        <f>HYPERLINK("https://www.youtube.com/watch?v=NmOuCurA__I", "Video")</f>
        <v/>
      </c>
      <c r="B6701" t="inlineStr">
        <is>
          <t>3:25</t>
        </is>
      </c>
      <c r="C6701" t="inlineStr">
        <is>
          <t>get for 30 we'll see you in a bit that</t>
        </is>
      </c>
      <c r="D6701">
        <f>HYPERLINK("https://www.youtube.com/watch?v=NmOuCurA__I&amp;t=205s", "Go to time")</f>
        <v/>
      </c>
    </row>
    <row r="6702">
      <c r="A6702">
        <f>HYPERLINK("https://www.youtube.com/watch?v=HsItWo7eF5s", "Video")</f>
        <v/>
      </c>
      <c r="B6702" t="inlineStr">
        <is>
          <t>1:13</t>
        </is>
      </c>
      <c r="C6702" t="inlineStr">
        <is>
          <t>can't just stop doing bits we've been</t>
        </is>
      </c>
      <c r="D6702">
        <f>HYPERLINK("https://www.youtube.com/watch?v=HsItWo7eF5s&amp;t=73s", "Go to time")</f>
        <v/>
      </c>
    </row>
    <row r="6703">
      <c r="A6703">
        <f>HYPERLINK("https://www.youtube.com/watch?v=9yiLhEaLvl0", "Video")</f>
        <v/>
      </c>
      <c r="B6703" t="inlineStr">
        <is>
          <t>2:36</t>
        </is>
      </c>
      <c r="C6703" t="inlineStr">
        <is>
          <t>Okay, I'm just going to pull your shorts down
a little bit.</t>
        </is>
      </c>
      <c r="D6703">
        <f>HYPERLINK("https://www.youtube.com/watch?v=9yiLhEaLvl0&amp;t=156s", "Go to time")</f>
        <v/>
      </c>
    </row>
    <row r="6704">
      <c r="A6704">
        <f>HYPERLINK("https://www.youtube.com/watch?v=9bI1D6ZfNDg", "Video")</f>
        <v/>
      </c>
      <c r="B6704" t="inlineStr">
        <is>
          <t>2:41</t>
        </is>
      </c>
      <c r="C6704" t="inlineStr">
        <is>
          <t>a little bit.</t>
        </is>
      </c>
      <c r="D6704">
        <f>HYPERLINK("https://www.youtube.com/watch?v=9bI1D6ZfNDg&amp;t=161s", "Go to time")</f>
        <v/>
      </c>
    </row>
    <row r="6705">
      <c r="A6705">
        <f>HYPERLINK("https://www.youtube.com/watch?v=9bI1D6ZfNDg", "Video")</f>
        <v/>
      </c>
      <c r="B6705" t="inlineStr">
        <is>
          <t>2:44</t>
        </is>
      </c>
      <c r="C6705" t="inlineStr">
        <is>
          <t>Oh. This is more than a little bit.</t>
        </is>
      </c>
      <c r="D6705">
        <f>HYPERLINK("https://www.youtube.com/watch?v=9bI1D6ZfNDg&amp;t=164s", "Go to time")</f>
        <v/>
      </c>
    </row>
    <row r="6706">
      <c r="A6706">
        <f>HYPERLINK("https://www.youtube.com/watch?v=UBBEY1IlTO0", "Video")</f>
        <v/>
      </c>
      <c r="B6706" t="inlineStr">
        <is>
          <t>3:32</t>
        </is>
      </c>
      <c r="C6706" t="inlineStr">
        <is>
          <t>can you talk a little bit more about</t>
        </is>
      </c>
      <c r="D6706">
        <f>HYPERLINK("https://www.youtube.com/watch?v=UBBEY1IlTO0&amp;t=212s", "Go to time")</f>
        <v/>
      </c>
    </row>
    <row r="6707">
      <c r="A6707">
        <f>HYPERLINK("https://www.youtube.com/watch?v=gW5jeCGCfgo", "Video")</f>
        <v/>
      </c>
      <c r="B6707" t="inlineStr">
        <is>
          <t>11:42</t>
        </is>
      </c>
      <c r="C6707" t="inlineStr">
        <is>
          <t>James as we talk a little bit about</t>
        </is>
      </c>
      <c r="D6707">
        <f>HYPERLINK("https://www.youtube.com/watch?v=gW5jeCGCfgo&amp;t=702s", "Go to time")</f>
        <v/>
      </c>
    </row>
    <row r="6708">
      <c r="A6708">
        <f>HYPERLINK("https://www.youtube.com/watch?v=AD4raVw11xU", "Video")</f>
        <v/>
      </c>
      <c r="B6708" t="inlineStr">
        <is>
          <t>4:44</t>
        </is>
      </c>
      <c r="C6708" t="inlineStr">
        <is>
          <t>you be doing that. I said, Bitch, what</t>
        </is>
      </c>
      <c r="D6708">
        <f>HYPERLINK("https://www.youtube.com/watch?v=AD4raVw11xU&amp;t=284s", "Go to time")</f>
        <v/>
      </c>
    </row>
    <row r="6709">
      <c r="A6709">
        <f>HYPERLINK("https://www.youtube.com/watch?v=O_6hi0qPsQQ", "Video")</f>
        <v/>
      </c>
      <c r="B6709" t="inlineStr">
        <is>
          <t>11:30</t>
        </is>
      </c>
      <c r="C6709" t="inlineStr">
        <is>
          <t>cabin inspector yeah I'm a bit shaking I</t>
        </is>
      </c>
      <c r="D6709">
        <f>HYPERLINK("https://www.youtube.com/watch?v=O_6hi0qPsQQ&amp;t=690s", "Go to time")</f>
        <v/>
      </c>
    </row>
    <row r="6710">
      <c r="A6710">
        <f>HYPERLINK("https://www.youtube.com/watch?v=Oh6UtFi_BDc", "Video")</f>
        <v/>
      </c>
      <c r="B6710" t="inlineStr">
        <is>
          <t>5:27</t>
        </is>
      </c>
      <c r="C6710" t="inlineStr">
        <is>
          <t>You're just killing yourself with all this
bitterness.</t>
        </is>
      </c>
      <c r="D6710">
        <f>HYPERLINK("https://www.youtube.com/watch?v=Oh6UtFi_BDc&amp;t=327s", "Go to time")</f>
        <v/>
      </c>
    </row>
    <row r="6711">
      <c r="A6711">
        <f>HYPERLINK("https://www.youtube.com/watch?v=55smhC3ASvI", "Video")</f>
        <v/>
      </c>
      <c r="B6711" t="inlineStr">
        <is>
          <t>0:45</t>
        </is>
      </c>
      <c r="C6711" t="inlineStr">
        <is>
          <t>freak out a little bit quirky olympia</t>
        </is>
      </c>
      <c r="D6711">
        <f>HYPERLINK("https://www.youtube.com/watch?v=55smhC3ASvI&amp;t=45s", "Go to time")</f>
        <v/>
      </c>
    </row>
    <row r="6712">
      <c r="A6712">
        <f>HYPERLINK("https://www.youtube.com/watch?v=5OG2qklv_wY", "Video")</f>
        <v/>
      </c>
      <c r="B6712" t="inlineStr">
        <is>
          <t>1:05</t>
        </is>
      </c>
      <c r="C6712" t="inlineStr">
        <is>
          <t>These bitches look like ants.</t>
        </is>
      </c>
      <c r="D6712">
        <f>HYPERLINK("https://www.youtube.com/watch?v=5OG2qklv_wY&amp;t=65s", "Go to time")</f>
        <v/>
      </c>
    </row>
    <row r="6713">
      <c r="A6713">
        <f>HYPERLINK("https://www.youtube.com/watch?v=5OG2qklv_wY", "Video")</f>
        <v/>
      </c>
      <c r="B6713" t="inlineStr">
        <is>
          <t>2:19</t>
        </is>
      </c>
      <c r="C6713" t="inlineStr">
        <is>
          <t>It's a f***ing forehead, bitch.</t>
        </is>
      </c>
      <c r="D6713">
        <f>HYPERLINK("https://www.youtube.com/watch?v=5OG2qklv_wY&amp;t=139s", "Go to time")</f>
        <v/>
      </c>
    </row>
    <row r="6714">
      <c r="A6714">
        <f>HYPERLINK("https://www.youtube.com/watch?v=5OG2qklv_wY", "Video")</f>
        <v/>
      </c>
      <c r="B6714" t="inlineStr">
        <is>
          <t>3:28</t>
        </is>
      </c>
      <c r="C6714" t="inlineStr">
        <is>
          <t>in that bitch with all his confidence.</t>
        </is>
      </c>
      <c r="D6714">
        <f>HYPERLINK("https://www.youtube.com/watch?v=5OG2qklv_wY&amp;t=208s", "Go to time")</f>
        <v/>
      </c>
    </row>
    <row r="6715">
      <c r="A6715">
        <f>HYPERLINK("https://www.youtube.com/watch?v=pvh_9HAlDtM", "Video")</f>
        <v/>
      </c>
      <c r="B6715" t="inlineStr">
        <is>
          <t>8:42</t>
        </is>
      </c>
      <c r="C6715" t="inlineStr">
        <is>
          <t>Probably a little bit impulsive, but it's
not.</t>
        </is>
      </c>
      <c r="D6715">
        <f>HYPERLINK("https://www.youtube.com/watch?v=pvh_9HAlDtM&amp;t=522s", "Go to time")</f>
        <v/>
      </c>
    </row>
    <row r="6716">
      <c r="A6716">
        <f>HYPERLINK("https://www.youtube.com/watch?v=6Q4l4bjKvZw", "Video")</f>
        <v/>
      </c>
      <c r="B6716" t="inlineStr">
        <is>
          <t>0:30</t>
        </is>
      </c>
      <c r="C6716" t="inlineStr">
        <is>
          <t>Wow. So much ambition.</t>
        </is>
      </c>
      <c r="D6716">
        <f>HYPERLINK("https://www.youtube.com/watch?v=6Q4l4bjKvZw&amp;t=30s", "Go to time")</f>
        <v/>
      </c>
    </row>
    <row r="6717">
      <c r="A6717">
        <f>HYPERLINK("https://www.youtube.com/watch?v=6Q4l4bjKvZw", "Video")</f>
        <v/>
      </c>
      <c r="B6717" t="inlineStr">
        <is>
          <t>6:26</t>
        </is>
      </c>
      <c r="C6717" t="inlineStr">
        <is>
          <t>Uh maybe a little bit.</t>
        </is>
      </c>
      <c r="D6717">
        <f>HYPERLINK("https://www.youtube.com/watch?v=6Q4l4bjKvZw&amp;t=386s", "Go to time")</f>
        <v/>
      </c>
    </row>
    <row r="6718">
      <c r="A6718">
        <f>HYPERLINK("https://www.youtube.com/watch?v=JZsKQvyQjCs", "Video")</f>
        <v/>
      </c>
      <c r="B6718" t="inlineStr">
        <is>
          <t>2:10</t>
        </is>
      </c>
      <c r="C6718" t="inlineStr">
        <is>
          <t>in town to grab a bite every single day</t>
        </is>
      </c>
      <c r="D6718">
        <f>HYPERLINK("https://www.youtube.com/watch?v=JZsKQvyQjCs&amp;t=130s", "Go to time")</f>
        <v/>
      </c>
    </row>
    <row r="6719">
      <c r="A6719">
        <f>HYPERLINK("https://www.youtube.com/watch?v=1VVLca2BYoQ", "Video")</f>
        <v/>
      </c>
      <c r="B6719" t="inlineStr">
        <is>
          <t>0:29</t>
        </is>
      </c>
      <c r="C6719" t="inlineStr">
        <is>
          <t>as many of you know bayside has a bitter</t>
        </is>
      </c>
      <c r="D6719">
        <f>HYPERLINK("https://www.youtube.com/watch?v=1VVLca2BYoQ&amp;t=29s", "Go to time")</f>
        <v/>
      </c>
    </row>
    <row r="6720">
      <c r="A6720">
        <f>HYPERLINK("https://www.youtube.com/watch?v=nVuy8XIjQcQ", "Video")</f>
        <v/>
      </c>
      <c r="B6720" t="inlineStr">
        <is>
          <t>4:54</t>
        </is>
      </c>
      <c r="C6720" t="inlineStr">
        <is>
          <t>things a little bit more clearly but</t>
        </is>
      </c>
      <c r="D6720">
        <f>HYPERLINK("https://www.youtube.com/watch?v=nVuy8XIjQcQ&amp;t=294s", "Go to time")</f>
        <v/>
      </c>
    </row>
    <row r="6721">
      <c r="A6721">
        <f>HYPERLINK("https://www.youtube.com/watch?v=d8BIwN6GKyA", "Video")</f>
        <v/>
      </c>
      <c r="B6721" t="inlineStr">
        <is>
          <t>2:05</t>
        </is>
      </c>
      <c r="C6721" t="inlineStr">
        <is>
          <t>and I I was a little bit I didn't know</t>
        </is>
      </c>
      <c r="D6721">
        <f>HYPERLINK("https://www.youtube.com/watch?v=d8BIwN6GKyA&amp;t=125s", "Go to time")</f>
        <v/>
      </c>
    </row>
    <row r="6722">
      <c r="A6722">
        <f>HYPERLINK("https://www.youtube.com/watch?v=inMfb3osCkw", "Video")</f>
        <v/>
      </c>
      <c r="B6722" t="inlineStr">
        <is>
          <t>6:58</t>
        </is>
      </c>
      <c r="C6722" t="inlineStr">
        <is>
          <t>bite it</t>
        </is>
      </c>
      <c r="D6722">
        <f>HYPERLINK("https://www.youtube.com/watch?v=inMfb3osCkw&amp;t=418s", "Go to time")</f>
        <v/>
      </c>
    </row>
    <row r="6723">
      <c r="A6723">
        <f>HYPERLINK("https://www.youtube.com/watch?v=ZA9-HYUgIPc", "Video")</f>
        <v/>
      </c>
      <c r="B6723" t="inlineStr">
        <is>
          <t>12:56</t>
        </is>
      </c>
      <c r="C6723" t="inlineStr">
        <is>
          <t>bite your dog The other way The other</t>
        </is>
      </c>
      <c r="D6723">
        <f>HYPERLINK("https://www.youtube.com/watch?v=ZA9-HYUgIPc&amp;t=776s", "Go to time")</f>
        <v/>
      </c>
    </row>
    <row r="6724">
      <c r="A6724">
        <f>HYPERLINK("https://www.youtube.com/watch?v=zMSEUdM4sxg", "Video")</f>
        <v/>
      </c>
      <c r="B6724" t="inlineStr">
        <is>
          <t>5:09</t>
        </is>
      </c>
      <c r="C6724" t="inlineStr">
        <is>
          <t>feel a little bit bad about that</t>
        </is>
      </c>
      <c r="D6724">
        <f>HYPERLINK("https://www.youtube.com/watch?v=zMSEUdM4sxg&amp;t=309s", "Go to time")</f>
        <v/>
      </c>
    </row>
    <row r="6725">
      <c r="A6725">
        <f>HYPERLINK("https://www.youtube.com/watch?v=jjeYvhHcbi8", "Video")</f>
        <v/>
      </c>
      <c r="B6725" t="inlineStr">
        <is>
          <t>3:09</t>
        </is>
      </c>
      <c r="C6725" t="inlineStr">
        <is>
          <t>just knock him around a little bit teach</t>
        </is>
      </c>
      <c r="D6725">
        <f>HYPERLINK("https://www.youtube.com/watch?v=jjeYvhHcbi8&amp;t=189s", "Go to time")</f>
        <v/>
      </c>
    </row>
    <row r="6726">
      <c r="A6726">
        <f>HYPERLINK("https://www.youtube.com/watch?v=jjeYvhHcbi8", "Video")</f>
        <v/>
      </c>
      <c r="B6726" t="inlineStr">
        <is>
          <t>13:32</t>
        </is>
      </c>
      <c r="C6726" t="inlineStr">
        <is>
          <t>convinced he had been bitten by a</t>
        </is>
      </c>
      <c r="D6726">
        <f>HYPERLINK("https://www.youtube.com/watch?v=jjeYvhHcbi8&amp;t=812s", "Go to time")</f>
        <v/>
      </c>
    </row>
    <row r="6727">
      <c r="A6727">
        <f>HYPERLINK("https://www.youtube.com/watch?v=SQZ75K1KR5s", "Video")</f>
        <v/>
      </c>
      <c r="B6727" t="inlineStr">
        <is>
          <t>1:38</t>
        </is>
      </c>
      <c r="C6727" t="inlineStr">
        <is>
          <t>This whole janitor gambit was designed to</t>
        </is>
      </c>
      <c r="D6727">
        <f>HYPERLINK("https://www.youtube.com/watch?v=SQZ75K1KR5s&amp;t=98s", "Go to time")</f>
        <v/>
      </c>
    </row>
    <row r="6728">
      <c r="A6728">
        <f>HYPERLINK("https://www.youtube.com/watch?v=SQZ75K1KR5s", "Video")</f>
        <v/>
      </c>
      <c r="B6728" t="inlineStr">
        <is>
          <t>4:52</t>
        </is>
      </c>
      <c r="C6728" t="inlineStr">
        <is>
          <t>Just went downstairs for a bit, but he should</t>
        </is>
      </c>
      <c r="D6728">
        <f>HYPERLINK("https://www.youtube.com/watch?v=SQZ75K1KR5s&amp;t=292s", "Go to time")</f>
        <v/>
      </c>
    </row>
    <row r="6729">
      <c r="A6729">
        <f>HYPERLINK("https://www.youtube.com/watch?v=SQZ75K1KR5s", "Video")</f>
        <v/>
      </c>
      <c r="B6729" t="inlineStr">
        <is>
          <t>7:38</t>
        </is>
      </c>
      <c r="C6729" t="inlineStr">
        <is>
          <t>He bit a guy's butt off at a WNBA game.</t>
        </is>
      </c>
      <c r="D6729">
        <f>HYPERLINK("https://www.youtube.com/watch?v=SQZ75K1KR5s&amp;t=458s", "Go to time")</f>
        <v/>
      </c>
    </row>
    <row r="6730">
      <c r="A6730">
        <f>HYPERLINK("https://www.youtube.com/watch?v=lfPv6f_LUNM", "Video")</f>
        <v/>
      </c>
      <c r="B6730" t="inlineStr">
        <is>
          <t>2:24</t>
        </is>
      </c>
      <c r="C6730" t="inlineStr">
        <is>
          <t>since I kick my habit yeah I'm glad I</t>
        </is>
      </c>
      <c r="D6730">
        <f>HYPERLINK("https://www.youtube.com/watch?v=lfPv6f_LUNM&amp;t=144s", "Go to time")</f>
        <v/>
      </c>
    </row>
    <row r="6731">
      <c r="A6731">
        <f>HYPERLINK("https://www.youtube.com/watch?v=xbmPBq2b4bA", "Video")</f>
        <v/>
      </c>
      <c r="B6731" t="inlineStr">
        <is>
          <t>2:45</t>
        </is>
      </c>
      <c r="C6731" t="inlineStr">
        <is>
          <t>I'm a bit worried about them.</t>
        </is>
      </c>
      <c r="D6731">
        <f>HYPERLINK("https://www.youtube.com/watch?v=xbmPBq2b4bA&amp;t=165s", "Go to time")</f>
        <v/>
      </c>
    </row>
    <row r="6732">
      <c r="A6732">
        <f>HYPERLINK("https://www.youtube.com/watch?v=xbmPBq2b4bA", "Video")</f>
        <v/>
      </c>
      <c r="B6732" t="inlineStr">
        <is>
          <t>3:21</t>
        </is>
      </c>
      <c r="C6732" t="inlineStr">
        <is>
          <t>Nine years of jujitsu, bitch.</t>
        </is>
      </c>
      <c r="D6732">
        <f>HYPERLINK("https://www.youtube.com/watch?v=xbmPBq2b4bA&amp;t=201s", "Go to time")</f>
        <v/>
      </c>
    </row>
    <row r="6733">
      <c r="A6733">
        <f>HYPERLINK("https://www.youtube.com/watch?v=IEAqEhQyHRo", "Video")</f>
        <v/>
      </c>
      <c r="B6733" t="inlineStr">
        <is>
          <t>2:52</t>
        </is>
      </c>
      <c r="C6733" t="inlineStr">
        <is>
          <t>bitched are you crazy finally like I</t>
        </is>
      </c>
      <c r="D6733">
        <f>HYPERLINK("https://www.youtube.com/watch?v=IEAqEhQyHRo&amp;t=172s", "Go to time")</f>
        <v/>
      </c>
    </row>
    <row r="6734">
      <c r="A6734">
        <f>HYPERLINK("https://www.youtube.com/watch?v=RlDMZX69Aoc", "Video")</f>
        <v/>
      </c>
      <c r="B6734" t="inlineStr">
        <is>
          <t>2:47</t>
        </is>
      </c>
      <c r="C6734" t="inlineStr">
        <is>
          <t>The bat. I mean, I know I felt it bite me,</t>
        </is>
      </c>
      <c r="D6734">
        <f>HYPERLINK("https://www.youtube.com/watch?v=RlDMZX69Aoc&amp;t=167s", "Go to time")</f>
        <v/>
      </c>
    </row>
    <row r="6735">
      <c r="A6735">
        <f>HYPERLINK("https://www.youtube.com/watch?v=RlDMZX69Aoc", "Video")</f>
        <v/>
      </c>
      <c r="B6735" t="inlineStr">
        <is>
          <t>12:47</t>
        </is>
      </c>
      <c r="C6735" t="inlineStr">
        <is>
          <t>I think I'll take you a little bit longer</t>
        </is>
      </c>
      <c r="D6735">
        <f>HYPERLINK("https://www.youtube.com/watch?v=RlDMZX69Aoc&amp;t=767s", "Go to time")</f>
        <v/>
      </c>
    </row>
    <row r="6736">
      <c r="A6736">
        <f>HYPERLINK("https://www.youtube.com/watch?v=j95MDnwpbVo", "Video")</f>
        <v/>
      </c>
      <c r="B6736" t="inlineStr">
        <is>
          <t>2:04</t>
        </is>
      </c>
      <c r="C6736" t="inlineStr">
        <is>
          <t>but it's a little bit different when</t>
        </is>
      </c>
      <c r="D6736">
        <f>HYPERLINK("https://www.youtube.com/watch?v=j95MDnwpbVo&amp;t=124s", "Go to time")</f>
        <v/>
      </c>
    </row>
    <row r="6737">
      <c r="A6737">
        <f>HYPERLINK("https://www.youtube.com/watch?v=DWBiZ7iSAe4", "Video")</f>
        <v/>
      </c>
      <c r="B6737" t="inlineStr">
        <is>
          <t>3:30</t>
        </is>
      </c>
      <c r="C6737" t="inlineStr">
        <is>
          <t>things a little bit better we should</t>
        </is>
      </c>
      <c r="D6737">
        <f>HYPERLINK("https://www.youtube.com/watch?v=DWBiZ7iSAe4&amp;t=210s", "Go to time")</f>
        <v/>
      </c>
    </row>
    <row r="6738">
      <c r="A6738">
        <f>HYPERLINK("https://www.youtube.com/watch?v=DWBiZ7iSAe4", "Video")</f>
        <v/>
      </c>
      <c r="B6738" t="inlineStr">
        <is>
          <t>4:00</t>
        </is>
      </c>
      <c r="C6738" t="inlineStr">
        <is>
          <t>catch him in between bites oh</t>
        </is>
      </c>
      <c r="D6738">
        <f>HYPERLINK("https://www.youtube.com/watch?v=DWBiZ7iSAe4&amp;t=240s", "Go to time")</f>
        <v/>
      </c>
    </row>
    <row r="6739">
      <c r="A6739">
        <f>HYPERLINK("https://www.youtube.com/watch?v=cITna4IOlzg", "Video")</f>
        <v/>
      </c>
      <c r="B6739" t="inlineStr">
        <is>
          <t>0:58</t>
        </is>
      </c>
      <c r="C6739" t="inlineStr">
        <is>
          <t>sorry you just got here during a bit of</t>
        </is>
      </c>
      <c r="D6739">
        <f>HYPERLINK("https://www.youtube.com/watch?v=cITna4IOlzg&amp;t=58s", "Go to time")</f>
        <v/>
      </c>
    </row>
    <row r="6740">
      <c r="A6740">
        <f>HYPERLINK("https://www.youtube.com/watch?v=54ZwZg0A8j0", "Video")</f>
        <v/>
      </c>
      <c r="B6740" t="inlineStr">
        <is>
          <t>1:34</t>
        </is>
      </c>
      <c r="C6740" t="inlineStr">
        <is>
          <t>it's it's routine i'm just a little bit</t>
        </is>
      </c>
      <c r="D6740">
        <f>HYPERLINK("https://www.youtube.com/watch?v=54ZwZg0A8j0&amp;t=94s", "Go to time")</f>
        <v/>
      </c>
    </row>
    <row r="6741">
      <c r="A6741">
        <f>HYPERLINK("https://www.youtube.com/watch?v=WVuDZk3Es3E", "Video")</f>
        <v/>
      </c>
      <c r="B6741" t="inlineStr">
        <is>
          <t>3:08</t>
        </is>
      </c>
      <c r="C6741" t="inlineStr">
        <is>
          <t>I'll take a little bit. Looks like I'm</t>
        </is>
      </c>
      <c r="D6741">
        <f>HYPERLINK("https://www.youtube.com/watch?v=WVuDZk3Es3E&amp;t=188s", "Go to time")</f>
        <v/>
      </c>
    </row>
    <row r="6742">
      <c r="A6742">
        <f>HYPERLINK("https://www.youtube.com/watch?v=F-wMBVwZad4", "Video")</f>
        <v/>
      </c>
      <c r="B6742" t="inlineStr">
        <is>
          <t>0:26</t>
        </is>
      </c>
      <c r="C6742" t="inlineStr">
        <is>
          <t>Thanks. I don't usually drink before noon,
but I'm going through a little bit of a rough</t>
        </is>
      </c>
      <c r="D6742">
        <f>HYPERLINK("https://www.youtube.com/watch?v=F-wMBVwZad4&amp;t=26s", "Go to time")</f>
        <v/>
      </c>
    </row>
    <row r="6743">
      <c r="A6743">
        <f>HYPERLINK("https://www.youtube.com/watch?v=5JJq-7GOrzU", "Video")</f>
        <v/>
      </c>
      <c r="B6743" t="inlineStr">
        <is>
          <t>7:02</t>
        </is>
      </c>
      <c r="C6743" t="inlineStr">
        <is>
          <t>splash of water come and bite out</t>
        </is>
      </c>
      <c r="D6743">
        <f>HYPERLINK("https://www.youtube.com/watch?v=5JJq-7GOrzU&amp;t=422s", "Go to time")</f>
        <v/>
      </c>
    </row>
    <row r="6744">
      <c r="A6744">
        <f>HYPERLINK("https://www.youtube.com/watch?v=CptGNaNekpY", "Video")</f>
        <v/>
      </c>
      <c r="B6744" t="inlineStr">
        <is>
          <t>1:37</t>
        </is>
      </c>
      <c r="C6744" t="inlineStr">
        <is>
          <t>log yeah I've always been a bit of an</t>
        </is>
      </c>
      <c r="D6744">
        <f>HYPERLINK("https://www.youtube.com/watch?v=CptGNaNekpY&amp;t=97s", "Go to time")</f>
        <v/>
      </c>
    </row>
    <row r="6745">
      <c r="A6745">
        <f>HYPERLINK("https://www.youtube.com/watch?v=CptGNaNekpY", "Video")</f>
        <v/>
      </c>
      <c r="B6745" t="inlineStr">
        <is>
          <t>2:32</t>
        </is>
      </c>
      <c r="C6745" t="inlineStr">
        <is>
          <t>wa so let me tell you a little bit about</t>
        </is>
      </c>
      <c r="D6745">
        <f>HYPERLINK("https://www.youtube.com/watch?v=CptGNaNekpY&amp;t=152s", "Go to time")</f>
        <v/>
      </c>
    </row>
    <row r="6746">
      <c r="A6746">
        <f>HYPERLINK("https://www.youtube.com/watch?v=yjSo_AQPOdU", "Video")</f>
        <v/>
      </c>
      <c r="B6746" t="inlineStr">
        <is>
          <t>18:13</t>
        </is>
      </c>
      <c r="C6746" t="inlineStr">
        <is>
          <t>No. So we're just grabbing dinner and then
heading to Ryan's for a bit?</t>
        </is>
      </c>
      <c r="D6746">
        <f>HYPERLINK("https://www.youtube.com/watch?v=yjSo_AQPOdU&amp;t=1093s", "Go to time")</f>
        <v/>
      </c>
    </row>
    <row r="6747">
      <c r="A6747">
        <f>HYPERLINK("https://www.youtube.com/watch?v=tQFN9ePrA0M", "Video")</f>
        <v/>
      </c>
      <c r="B6747" t="inlineStr">
        <is>
          <t>0:14</t>
        </is>
      </c>
      <c r="C6747" t="inlineStr">
        <is>
          <t>and we like hop in drinking a little bit</t>
        </is>
      </c>
      <c r="D6747">
        <f>HYPERLINK("https://www.youtube.com/watch?v=tQFN9ePrA0M&amp;t=14s", "Go to time")</f>
        <v/>
      </c>
    </row>
    <row r="6748">
      <c r="A6748">
        <f>HYPERLINK("https://www.youtube.com/watch?v=tQFN9ePrA0M", "Video")</f>
        <v/>
      </c>
      <c r="B6748" t="inlineStr">
        <is>
          <t>1:41</t>
        </is>
      </c>
      <c r="C6748" t="inlineStr">
        <is>
          <t>just a little bit far-fetched but also</t>
        </is>
      </c>
      <c r="D6748">
        <f>HYPERLINK("https://www.youtube.com/watch?v=tQFN9ePrA0M&amp;t=101s", "Go to time")</f>
        <v/>
      </c>
    </row>
    <row r="6749">
      <c r="A6749">
        <f>HYPERLINK("https://www.youtube.com/watch?v=C-YZqQnCFDQ", "Video")</f>
        <v/>
      </c>
      <c r="B6749" t="inlineStr">
        <is>
          <t>3:46</t>
        </is>
      </c>
      <c r="C6749" t="inlineStr">
        <is>
          <t>So we're in a little bit of a thing right
now, but you're a best cleaner</t>
        </is>
      </c>
      <c r="D6749">
        <f>HYPERLINK("https://www.youtube.com/watch?v=C-YZqQnCFDQ&amp;t=226s", "Go to time")</f>
        <v/>
      </c>
    </row>
    <row r="6750">
      <c r="A6750">
        <f>HYPERLINK("https://www.youtube.com/watch?v=arjpleZCbFY", "Video")</f>
        <v/>
      </c>
      <c r="B6750" t="inlineStr">
        <is>
          <t>0:56</t>
        </is>
      </c>
      <c r="C6750" t="inlineStr">
        <is>
          <t>bite down when did you you know first</t>
        </is>
      </c>
      <c r="D6750">
        <f>HYPERLINK("https://www.youtube.com/watch?v=arjpleZCbFY&amp;t=56s", "Go to time")</f>
        <v/>
      </c>
    </row>
    <row r="6751">
      <c r="A6751">
        <f>HYPERLINK("https://www.youtube.com/watch?v=PZ2fPntwfmE", "Video")</f>
        <v/>
      </c>
      <c r="B6751" t="inlineStr">
        <is>
          <t>5:42</t>
        </is>
      </c>
      <c r="C6751" t="inlineStr">
        <is>
          <t>Three nail biting laps around the block on
your riding mower.</t>
        </is>
      </c>
      <c r="D6751">
        <f>HYPERLINK("https://www.youtube.com/watch?v=PZ2fPntwfmE&amp;t=342s", "Go to time")</f>
        <v/>
      </c>
    </row>
    <row r="6752">
      <c r="A6752">
        <f>HYPERLINK("https://www.youtube.com/watch?v=uJfZPtc3TX0", "Video")</f>
        <v/>
      </c>
      <c r="B6752" t="inlineStr">
        <is>
          <t>5:55</t>
        </is>
      </c>
      <c r="C6752" t="inlineStr">
        <is>
          <t>who have that same ambition it's really</t>
        </is>
      </c>
      <c r="D6752">
        <f>HYPERLINK("https://www.youtube.com/watch?v=uJfZPtc3TX0&amp;t=355s", "Go to time")</f>
        <v/>
      </c>
    </row>
    <row r="6753">
      <c r="A6753">
        <f>HYPERLINK("https://www.youtube.com/watch?v=c3j3DcKHt-s", "Video")</f>
        <v/>
      </c>
      <c r="B6753" t="inlineStr">
        <is>
          <t>0:32</t>
        </is>
      </c>
      <c r="C6753" t="inlineStr">
        <is>
          <t>I've been a bit reckless.</t>
        </is>
      </c>
      <c r="D6753">
        <f>HYPERLINK("https://www.youtube.com/watch?v=c3j3DcKHt-s&amp;t=32s", "Go to time")</f>
        <v/>
      </c>
    </row>
    <row r="6754">
      <c r="A6754">
        <f>HYPERLINK("https://www.youtube.com/watch?v=RckaAHgsw3U", "Video")</f>
        <v/>
      </c>
      <c r="B6754" t="inlineStr">
        <is>
          <t>1:45</t>
        </is>
      </c>
      <c r="C6754" t="inlineStr">
        <is>
          <t>aisles are a bit too close together and</t>
        </is>
      </c>
      <c r="D6754">
        <f>HYPERLINK("https://www.youtube.com/watch?v=RckaAHgsw3U&amp;t=105s", "Go to time")</f>
        <v/>
      </c>
    </row>
    <row r="6755">
      <c r="A6755">
        <f>HYPERLINK("https://www.youtube.com/watch?v=N3tyZ4-pBdE", "Video")</f>
        <v/>
      </c>
      <c r="B6755" t="inlineStr">
        <is>
          <t>3:14</t>
        </is>
      </c>
      <c r="C6755" t="inlineStr">
        <is>
          <t>man you haven't changed a bit</t>
        </is>
      </c>
      <c r="D6755">
        <f>HYPERLINK("https://www.youtube.com/watch?v=N3tyZ4-pBdE&amp;t=194s", "Go to time")</f>
        <v/>
      </c>
    </row>
    <row r="6756">
      <c r="A6756">
        <f>HYPERLINK("https://www.youtube.com/watch?v=5U-C8Icj-ew", "Video")</f>
        <v/>
      </c>
      <c r="B6756" t="inlineStr">
        <is>
          <t>0:17</t>
        </is>
      </c>
      <c r="C6756" t="inlineStr">
        <is>
          <t>I speak hyperbolically quite a bit</t>
        </is>
      </c>
      <c r="D6756">
        <f>HYPERLINK("https://www.youtube.com/watch?v=5U-C8Icj-ew&amp;t=17s", "Go to time")</f>
        <v/>
      </c>
    </row>
    <row r="6757">
      <c r="A6757">
        <f>HYPERLINK("https://www.youtube.com/watch?v=3xicjEoJUj8", "Video")</f>
        <v/>
      </c>
      <c r="B6757" t="inlineStr">
        <is>
          <t>1:57</t>
        </is>
      </c>
      <c r="C6757" t="inlineStr">
        <is>
          <t>bit, just didn't really know what I was</t>
        </is>
      </c>
      <c r="D6757">
        <f>HYPERLINK("https://www.youtube.com/watch?v=3xicjEoJUj8&amp;t=117s", "Go to time")</f>
        <v/>
      </c>
    </row>
    <row r="6758">
      <c r="A6758">
        <f>HYPERLINK("https://www.youtube.com/watch?v=HLKWPQnPshc", "Video")</f>
        <v/>
      </c>
      <c r="B6758" t="inlineStr">
        <is>
          <t>0:44</t>
        </is>
      </c>
      <c r="C6758" t="inlineStr">
        <is>
          <t>at his core he's a bit of a chess</t>
        </is>
      </c>
      <c r="D6758">
        <f>HYPERLINK("https://www.youtube.com/watch?v=HLKWPQnPshc&amp;t=44s", "Go to time")</f>
        <v/>
      </c>
    </row>
    <row r="6759">
      <c r="A6759">
        <f>HYPERLINK("https://www.youtube.com/watch?v=HLKWPQnPshc", "Video")</f>
        <v/>
      </c>
      <c r="B6759" t="inlineStr">
        <is>
          <t>2:33</t>
        </is>
      </c>
      <c r="C6759" t="inlineStr">
        <is>
          <t>chameleon really in the film it was bits</t>
        </is>
      </c>
      <c r="D6759">
        <f>HYPERLINK("https://www.youtube.com/watch?v=HLKWPQnPshc&amp;t=153s", "Go to time")</f>
        <v/>
      </c>
    </row>
    <row r="6760">
      <c r="A6760">
        <f>HYPERLINK("https://www.youtube.com/watch?v=HLKWPQnPshc", "Video")</f>
        <v/>
      </c>
      <c r="B6760" t="inlineStr">
        <is>
          <t>5:28</t>
        </is>
      </c>
      <c r="C6760" t="inlineStr">
        <is>
          <t>tourism speak a bit of French and I was</t>
        </is>
      </c>
      <c r="D6760">
        <f>HYPERLINK("https://www.youtube.com/watch?v=HLKWPQnPshc&amp;t=328s", "Go to time")</f>
        <v/>
      </c>
    </row>
    <row r="6761">
      <c r="A6761">
        <f>HYPERLINK("https://www.youtube.com/watch?v=77OrlNImuCA", "Video")</f>
        <v/>
      </c>
      <c r="B6761" t="inlineStr">
        <is>
          <t>1:09</t>
        </is>
      </c>
      <c r="C6761" t="inlineStr">
        <is>
          <t>little bit off</t>
        </is>
      </c>
      <c r="D6761">
        <f>HYPERLINK("https://www.youtube.com/watch?v=77OrlNImuCA&amp;t=69s", "Go to time")</f>
        <v/>
      </c>
    </row>
    <row r="6762">
      <c r="A6762">
        <f>HYPERLINK("https://www.youtube.com/watch?v=2CSDVvVgydE", "Video")</f>
        <v/>
      </c>
      <c r="B6762" t="inlineStr">
        <is>
          <t>0:50</t>
        </is>
      </c>
      <c r="C6762" t="inlineStr">
        <is>
          <t>little bit because of Covid and the</t>
        </is>
      </c>
      <c r="D6762">
        <f>HYPERLINK("https://www.youtube.com/watch?v=2CSDVvVgydE&amp;t=50s", "Go to time")</f>
        <v/>
      </c>
    </row>
    <row r="6763">
      <c r="A6763">
        <f>HYPERLINK("https://www.youtube.com/watch?v=2CSDVvVgydE", "Video")</f>
        <v/>
      </c>
      <c r="B6763" t="inlineStr">
        <is>
          <t>2:21</t>
        </is>
      </c>
      <c r="C6763" t="inlineStr">
        <is>
          <t>of course, that you are very ambitious</t>
        </is>
      </c>
      <c r="D6763">
        <f>HYPERLINK("https://www.youtube.com/watch?v=2CSDVvVgydE&amp;t=141s", "Go to time")</f>
        <v/>
      </c>
    </row>
    <row r="6764">
      <c r="A6764">
        <f>HYPERLINK("https://www.youtube.com/watch?v=2CSDVvVgydE", "Video")</f>
        <v/>
      </c>
      <c r="B6764" t="inlineStr">
        <is>
          <t>3:31</t>
        </is>
      </c>
      <c r="C6764" t="inlineStr">
        <is>
          <t>that lens, it makes things a little bit</t>
        </is>
      </c>
      <c r="D6764">
        <f>HYPERLINK("https://www.youtube.com/watch?v=2CSDVvVgydE&amp;t=211s", "Go to time")</f>
        <v/>
      </c>
    </row>
    <row r="6765">
      <c r="A6765">
        <f>HYPERLINK("https://www.youtube.com/watch?v=l-pwIXMp9K8", "Video")</f>
        <v/>
      </c>
      <c r="B6765" t="inlineStr">
        <is>
          <t>1:05</t>
        </is>
      </c>
      <c r="C6765" t="inlineStr">
        <is>
          <t>talk a little bit about addiction</t>
        </is>
      </c>
      <c r="D6765">
        <f>HYPERLINK("https://www.youtube.com/watch?v=l-pwIXMp9K8&amp;t=65s", "Go to time")</f>
        <v/>
      </c>
    </row>
    <row r="6766">
      <c r="A6766">
        <f>HYPERLINK("https://www.youtube.com/watch?v=IjZPAkz0GSs", "Video")</f>
        <v/>
      </c>
      <c r="B6766" t="inlineStr">
        <is>
          <t>1:07</t>
        </is>
      </c>
      <c r="C6766" t="inlineStr">
        <is>
          <t>I am a little bit weird, like I.</t>
        </is>
      </c>
      <c r="D6766">
        <f>HYPERLINK("https://www.youtube.com/watch?v=IjZPAkz0GSs&amp;t=67s", "Go to time")</f>
        <v/>
      </c>
    </row>
    <row r="6767">
      <c r="A6767">
        <f>HYPERLINK("https://www.youtube.com/watch?v=kWH5G2eU9Fw", "Video")</f>
        <v/>
      </c>
      <c r="B6767" t="inlineStr">
        <is>
          <t>2:52</t>
        </is>
      </c>
      <c r="C6767" t="inlineStr">
        <is>
          <t>And I think Giselle enjoys it a little bit</t>
        </is>
      </c>
      <c r="D6767">
        <f>HYPERLINK("https://www.youtube.com/watch?v=kWH5G2eU9Fw&amp;t=172s", "Go to time")</f>
        <v/>
      </c>
    </row>
    <row r="6768">
      <c r="A6768">
        <f>HYPERLINK("https://www.youtube.com/watch?v=TaT7D2PCwqs", "Video")</f>
        <v/>
      </c>
      <c r="B6768" t="inlineStr">
        <is>
          <t>7:01</t>
        </is>
      </c>
      <c r="C6768" t="inlineStr">
        <is>
          <t>taste he bit a guy's butt off at a WNBA</t>
        </is>
      </c>
      <c r="D6768">
        <f>HYPERLINK("https://www.youtube.com/watch?v=TaT7D2PCwqs&amp;t=421s", "Go to time")</f>
        <v/>
      </c>
    </row>
    <row r="6769">
      <c r="A6769">
        <f>HYPERLINK("https://www.youtube.com/watch?v=JWJBm1bGdDI", "Video")</f>
        <v/>
      </c>
      <c r="B6769" t="inlineStr">
        <is>
          <t>9:25</t>
        </is>
      </c>
      <c r="C6769" t="inlineStr">
        <is>
          <t>You hear that, bitches?</t>
        </is>
      </c>
      <c r="D6769">
        <f>HYPERLINK("https://www.youtube.com/watch?v=JWJBm1bGdDI&amp;t=565s", "Go to time")</f>
        <v/>
      </c>
    </row>
    <row r="6770">
      <c r="A6770">
        <f>HYPERLINK("https://www.youtube.com/watch?v=JWJBm1bGdDI", "Video")</f>
        <v/>
      </c>
      <c r="B6770" t="inlineStr">
        <is>
          <t>11:42</t>
        </is>
      </c>
      <c r="C6770" t="inlineStr">
        <is>
          <t>You sick son of a bitch.</t>
        </is>
      </c>
      <c r="D6770">
        <f>HYPERLINK("https://www.youtube.com/watch?v=JWJBm1bGdDI&amp;t=702s", "Go to time")</f>
        <v/>
      </c>
    </row>
    <row r="6771">
      <c r="A6771">
        <f>HYPERLINK("https://www.youtube.com/watch?v=LxjB0kF9WLQ", "Video")</f>
        <v/>
      </c>
      <c r="B6771" t="inlineStr">
        <is>
          <t>1:25</t>
        </is>
      </c>
      <c r="C6771" t="inlineStr">
        <is>
          <t>shock it really got me it took a bit of</t>
        </is>
      </c>
      <c r="D6771">
        <f>HYPERLINK("https://www.youtube.com/watch?v=LxjB0kF9WLQ&amp;t=85s", "Go to time")</f>
        <v/>
      </c>
    </row>
    <row r="6772">
      <c r="A6772">
        <f>HYPERLINK("https://www.youtube.com/watch?v=LxjB0kF9WLQ", "Video")</f>
        <v/>
      </c>
      <c r="B6772" t="inlineStr">
        <is>
          <t>2:53</t>
        </is>
      </c>
      <c r="C6772" t="inlineStr">
        <is>
          <t>in real life her ambition</t>
        </is>
      </c>
      <c r="D6772">
        <f>HYPERLINK("https://www.youtube.com/watch?v=LxjB0kF9WLQ&amp;t=173s", "Go to time")</f>
        <v/>
      </c>
    </row>
    <row r="6773">
      <c r="A6773">
        <f>HYPERLINK("https://www.youtube.com/watch?v=BAUgeWdYNAM", "Video")</f>
        <v/>
      </c>
      <c r="B6773" t="inlineStr">
        <is>
          <t>0:52</t>
        </is>
      </c>
      <c r="C6773" t="inlineStr">
        <is>
          <t>Okay, we'll be over in a little bit.</t>
        </is>
      </c>
      <c r="D6773">
        <f>HYPERLINK("https://www.youtube.com/watch?v=BAUgeWdYNAM&amp;t=52s", "Go to time")</f>
        <v/>
      </c>
    </row>
    <row r="6774">
      <c r="A6774">
        <f>HYPERLINK("https://www.youtube.com/watch?v=jOPBF8r0cwU", "Video")</f>
        <v/>
      </c>
      <c r="B6774" t="inlineStr">
        <is>
          <t>12:35</t>
        </is>
      </c>
      <c r="C6774" t="inlineStr">
        <is>
          <t>Bits of it split off, circulated through his</t>
        </is>
      </c>
      <c r="D6774">
        <f>HYPERLINK("https://www.youtube.com/watch?v=jOPBF8r0cwU&amp;t=755s", "Go to time")</f>
        <v/>
      </c>
    </row>
    <row r="6775">
      <c r="A6775">
        <f>HYPERLINK("https://www.youtube.com/watch?v=eEiMdw3eA-4", "Video")</f>
        <v/>
      </c>
      <c r="B6775" t="inlineStr">
        <is>
          <t>0:54</t>
        </is>
      </c>
      <c r="C6775" t="inlineStr">
        <is>
          <t>a little bit yeah maybe a little bit</t>
        </is>
      </c>
      <c r="D6775">
        <f>HYPERLINK("https://www.youtube.com/watch?v=eEiMdw3eA-4&amp;t=54s", "Go to time")</f>
        <v/>
      </c>
    </row>
    <row r="6776">
      <c r="A6776">
        <f>HYPERLINK("https://www.youtube.com/watch?v=uoBZi-2D7cg", "Video")</f>
        <v/>
      </c>
      <c r="B6776" t="inlineStr">
        <is>
          <t>4:31</t>
        </is>
      </c>
      <c r="C6776" t="inlineStr">
        <is>
          <t>everybody to line up and take a bite to</t>
        </is>
      </c>
      <c r="D6776">
        <f>HYPERLINK("https://www.youtube.com/watch?v=uoBZi-2D7cg&amp;t=271s", "Go to time")</f>
        <v/>
      </c>
    </row>
    <row r="6777">
      <c r="A6777">
        <f>HYPERLINK("https://www.youtube.com/watch?v=8LsT0z2utUI", "Video")</f>
        <v/>
      </c>
      <c r="B6777" t="inlineStr">
        <is>
          <t>1:04</t>
        </is>
      </c>
      <c r="C6777" t="inlineStr">
        <is>
          <t>just a tiny bit different as well when</t>
        </is>
      </c>
      <c r="D6777">
        <f>HYPERLINK("https://www.youtube.com/watch?v=8LsT0z2utUI&amp;t=64s", "Go to time")</f>
        <v/>
      </c>
    </row>
    <row r="6778">
      <c r="A6778">
        <f>HYPERLINK("https://www.youtube.com/watch?v=dhj5rZk9tmg", "Video")</f>
        <v/>
      </c>
      <c r="B6778" t="inlineStr">
        <is>
          <t>0:33</t>
        </is>
      </c>
      <c r="C6778" t="inlineStr">
        <is>
          <t>I myself had a little bit
of a scare</t>
        </is>
      </c>
      <c r="D6778">
        <f>HYPERLINK("https://www.youtube.com/watch?v=dhj5rZk9tmg&amp;t=33s", "Go to time")</f>
        <v/>
      </c>
    </row>
    <row r="6779">
      <c r="A6779">
        <f>HYPERLINK("https://www.youtube.com/watch?v=V4oBm4cWvgo", "Video")</f>
        <v/>
      </c>
      <c r="B6779" t="inlineStr">
        <is>
          <t>5:57</t>
        </is>
      </c>
      <c r="C6779" t="inlineStr">
        <is>
          <t>is part of that a little bit on the</t>
        </is>
      </c>
      <c r="D6779">
        <f>HYPERLINK("https://www.youtube.com/watch?v=V4oBm4cWvgo&amp;t=357s", "Go to time")</f>
        <v/>
      </c>
    </row>
    <row r="6780">
      <c r="A6780">
        <f>HYPERLINK("https://www.youtube.com/watch?v=V4oBm4cWvgo", "Video")</f>
        <v/>
      </c>
      <c r="B6780" t="inlineStr">
        <is>
          <t>7:10</t>
        </is>
      </c>
      <c r="C6780" t="inlineStr">
        <is>
          <t>it was just a little bit different</t>
        </is>
      </c>
      <c r="D6780">
        <f>HYPERLINK("https://www.youtube.com/watch?v=V4oBm4cWvgo&amp;t=430s", "Go to time")</f>
        <v/>
      </c>
    </row>
    <row r="6781">
      <c r="A6781">
        <f>HYPERLINK("https://www.youtube.com/watch?v=3GHtPvwtbaQ", "Video")</f>
        <v/>
      </c>
      <c r="B6781" t="inlineStr">
        <is>
          <t>0:15</t>
        </is>
      </c>
      <c r="C6781" t="inlineStr">
        <is>
          <t>come here quite a bit I have a few other</t>
        </is>
      </c>
      <c r="D6781">
        <f>HYPERLINK("https://www.youtube.com/watch?v=3GHtPvwtbaQ&amp;t=15s", "Go to time")</f>
        <v/>
      </c>
    </row>
    <row r="6782">
      <c r="A6782">
        <f>HYPERLINK("https://www.youtube.com/watch?v=2jgN_Ag-tcU", "Video")</f>
        <v/>
      </c>
      <c r="B6782" t="inlineStr">
        <is>
          <t>2:08</t>
        </is>
      </c>
      <c r="C6782" t="inlineStr">
        <is>
          <t>or making them feel a little bit more</t>
        </is>
      </c>
      <c r="D6782">
        <f>HYPERLINK("https://www.youtube.com/watch?v=2jgN_Ag-tcU&amp;t=128s", "Go to time")</f>
        <v/>
      </c>
    </row>
    <row r="6783">
      <c r="A6783">
        <f>HYPERLINK("https://www.youtube.com/watch?v=-HDLYb81kXo", "Video")</f>
        <v/>
      </c>
      <c r="B6783" t="inlineStr">
        <is>
          <t>9:09</t>
        </is>
      </c>
      <c r="C6783" t="inlineStr">
        <is>
          <t>yield my time you are prohibited from</t>
        </is>
      </c>
      <c r="D6783">
        <f>HYPERLINK("https://www.youtube.com/watch?v=-HDLYb81kXo&amp;t=549s", "Go to time")</f>
        <v/>
      </c>
    </row>
    <row r="6784">
      <c r="A6784">
        <f>HYPERLINK("https://www.youtube.com/watch?v=4JiGuxd7AWw", "Video")</f>
        <v/>
      </c>
      <c r="B6784" t="inlineStr">
        <is>
          <t>2:41</t>
        </is>
      </c>
      <c r="C6784" t="inlineStr">
        <is>
          <t>own thank you for exhibiting exactly why</t>
        </is>
      </c>
      <c r="D6784">
        <f>HYPERLINK("https://www.youtube.com/watch?v=4JiGuxd7AWw&amp;t=161s", "Go to time")</f>
        <v/>
      </c>
    </row>
    <row r="6785">
      <c r="A6785">
        <f>HYPERLINK("https://www.youtube.com/watch?v=4JiGuxd7AWw", "Video")</f>
        <v/>
      </c>
      <c r="B6785" t="inlineStr">
        <is>
          <t>9:02</t>
        </is>
      </c>
      <c r="C6785" t="inlineStr">
        <is>
          <t>Raymond Olivia you have a little bit</t>
        </is>
      </c>
      <c r="D6785">
        <f>HYPERLINK("https://www.youtube.com/watch?v=4JiGuxd7AWw&amp;t=542s", "Go to time")</f>
        <v/>
      </c>
    </row>
    <row r="6786">
      <c r="A6786">
        <f>HYPERLINK("https://www.youtube.com/watch?v=88y_HARZERM", "Video")</f>
        <v/>
      </c>
      <c r="B6786" t="inlineStr">
        <is>
          <t>11:29</t>
        </is>
      </c>
      <c r="C6786" t="inlineStr">
        <is>
          <t>oh you're specifically prohibited from</t>
        </is>
      </c>
      <c r="D6786">
        <f>HYPERLINK("https://www.youtube.com/watch?v=88y_HARZERM&amp;t=689s", "Go to time")</f>
        <v/>
      </c>
    </row>
    <row r="6787">
      <c r="A6787">
        <f>HYPERLINK("https://www.youtube.com/watch?v=5CRaqOh_AFI", "Video")</f>
        <v/>
      </c>
      <c r="B6787" t="inlineStr">
        <is>
          <t>2:08</t>
        </is>
      </c>
      <c r="C6787" t="inlineStr">
        <is>
          <t>confident but also pretty biting at</t>
        </is>
      </c>
      <c r="D6787">
        <f>HYPERLINK("https://www.youtube.com/watch?v=5CRaqOh_AFI&amp;t=128s", "Go to time")</f>
        <v/>
      </c>
    </row>
    <row r="6788">
      <c r="A6788">
        <f>HYPERLINK("https://www.youtube.com/watch?v=0-0zm1-qO-I", "Video")</f>
        <v/>
      </c>
      <c r="B6788" t="inlineStr">
        <is>
          <t>1:31</t>
        </is>
      </c>
      <c r="C6788" t="inlineStr">
        <is>
          <t>kind of ambition and energy right now.</t>
        </is>
      </c>
      <c r="D6788">
        <f>HYPERLINK("https://www.youtube.com/watch?v=0-0zm1-qO-I&amp;t=91s", "Go to time")</f>
        <v/>
      </c>
    </row>
    <row r="6789">
      <c r="A6789">
        <f>HYPERLINK("https://www.youtube.com/watch?v=nxmC3Ij9K1U", "Video")</f>
        <v/>
      </c>
      <c r="B6789" t="inlineStr">
        <is>
          <t>5:37</t>
        </is>
      </c>
      <c r="C6789" t="inlineStr">
        <is>
          <t>I think it'll take you a little bit longer than that.</t>
        </is>
      </c>
      <c r="D6789">
        <f>HYPERLINK("https://www.youtube.com/watch?v=nxmC3Ij9K1U&amp;t=337s", "Go to time")</f>
        <v/>
      </c>
    </row>
    <row r="6790">
      <c r="A6790">
        <f>HYPERLINK("https://www.youtube.com/watch?v=VYYcjdHcJR0", "Video")</f>
        <v/>
      </c>
      <c r="B6790" t="inlineStr">
        <is>
          <t>0:18</t>
        </is>
      </c>
      <c r="C6790" t="inlineStr">
        <is>
          <t>people interact with you starts to change a
little bit, when you're when the expectation</t>
        </is>
      </c>
      <c r="D6790">
        <f>HYPERLINK("https://www.youtube.com/watch?v=VYYcjdHcJR0&amp;t=18s", "Go to time")</f>
        <v/>
      </c>
    </row>
    <row r="6791">
      <c r="A6791">
        <f>HYPERLINK("https://www.youtube.com/watch?v=J7SME8tgVrs", "Video")</f>
        <v/>
      </c>
      <c r="B6791" t="inlineStr">
        <is>
          <t>2:24</t>
        </is>
      </c>
      <c r="C6791" t="inlineStr">
        <is>
          <t>That's why dog bites can be so nasty.</t>
        </is>
      </c>
      <c r="D6791">
        <f>HYPERLINK("https://www.youtube.com/watch?v=J7SME8tgVrs&amp;t=144s", "Go to time")</f>
        <v/>
      </c>
    </row>
    <row r="6792">
      <c r="A6792">
        <f>HYPERLINK("https://www.youtube.com/watch?v=2gN2Gzu74qU", "Video")</f>
        <v/>
      </c>
      <c r="B6792" t="inlineStr">
        <is>
          <t>2:19</t>
        </is>
      </c>
      <c r="C6792" t="inlineStr">
        <is>
          <t>This is going to come as a little bit of a shock.</t>
        </is>
      </c>
      <c r="D6792">
        <f>HYPERLINK("https://www.youtube.com/watch?v=2gN2Gzu74qU&amp;t=139s", "Go to time")</f>
        <v/>
      </c>
    </row>
    <row r="6793">
      <c r="A6793">
        <f>HYPERLINK("https://www.youtube.com/watch?v=4BoBqcPtwnQ", "Video")</f>
        <v/>
      </c>
      <c r="B6793" t="inlineStr">
        <is>
          <t>5:29</t>
        </is>
      </c>
      <c r="C6793" t="inlineStr">
        <is>
          <t>biting it.</t>
        </is>
      </c>
      <c r="D6793">
        <f>HYPERLINK("https://www.youtube.com/watch?v=4BoBqcPtwnQ&amp;t=329s", "Go to time")</f>
        <v/>
      </c>
    </row>
    <row r="6794">
      <c r="A6794">
        <f>HYPERLINK("https://www.youtube.com/watch?v=4BoBqcPtwnQ", "Video")</f>
        <v/>
      </c>
      <c r="B6794" t="inlineStr">
        <is>
          <t>13:23</t>
        </is>
      </c>
      <c r="C6794" t="inlineStr">
        <is>
          <t>Time is a son of a bitch.</t>
        </is>
      </c>
      <c r="D6794">
        <f>HYPERLINK("https://www.youtube.com/watch?v=4BoBqcPtwnQ&amp;t=803s", "Go to time")</f>
        <v/>
      </c>
    </row>
    <row r="6795">
      <c r="A6795">
        <f>HYPERLINK("https://www.youtube.com/watch?v=lARrFyAfBac", "Video")</f>
        <v/>
      </c>
      <c r="B6795" t="inlineStr">
        <is>
          <t>1:23</t>
        </is>
      </c>
      <c r="C6795" t="inlineStr">
        <is>
          <t>Doesn't it make you a tiny bit anxious?</t>
        </is>
      </c>
      <c r="D6795">
        <f>HYPERLINK("https://www.youtube.com/watch?v=lARrFyAfBac&amp;t=83s", "Go to time")</f>
        <v/>
      </c>
    </row>
    <row r="6796">
      <c r="A6796">
        <f>HYPERLINK("https://www.youtube.com/watch?v=lARrFyAfBac", "Video")</f>
        <v/>
      </c>
      <c r="B6796" t="inlineStr">
        <is>
          <t>1:47</t>
        </is>
      </c>
      <c r="C6796" t="inlineStr">
        <is>
          <t>Oh, I am so sorry that Phyllis hates you and hates your body, but Santa remembers a reindeer that was just a tiny bit different as well.</t>
        </is>
      </c>
      <c r="D6796">
        <f>HYPERLINK("https://www.youtube.com/watch?v=lARrFyAfBac&amp;t=107s", "Go to time")</f>
        <v/>
      </c>
    </row>
    <row r="6797">
      <c r="A6797">
        <f>HYPERLINK("https://www.youtube.com/watch?v=MPqzoAjxvl4", "Video")</f>
        <v/>
      </c>
      <c r="B6797" t="inlineStr">
        <is>
          <t>0:33</t>
        </is>
      </c>
      <c r="C6797" t="inlineStr">
        <is>
          <t>who would have thought that our orbits</t>
        </is>
      </c>
      <c r="D6797">
        <f>HYPERLINK("https://www.youtube.com/watch?v=MPqzoAjxvl4&amp;t=33s", "Go to time")</f>
        <v/>
      </c>
    </row>
    <row r="6798">
      <c r="A6798">
        <f>HYPERLINK("https://www.youtube.com/watch?v=nFA2iQfNekc", "Video")</f>
        <v/>
      </c>
      <c r="B6798" t="inlineStr">
        <is>
          <t>1:10</t>
        </is>
      </c>
      <c r="C6798" t="inlineStr">
        <is>
          <t>little bit but today when yuzuru hanyu</t>
        </is>
      </c>
      <c r="D6798">
        <f>HYPERLINK("https://www.youtube.com/watch?v=nFA2iQfNekc&amp;t=70s", "Go to time")</f>
        <v/>
      </c>
    </row>
    <row r="6799">
      <c r="A6799">
        <f>HYPERLINK("https://www.youtube.com/watch?v=fPSoLCpY1qA", "Video")</f>
        <v/>
      </c>
      <c r="B6799" t="inlineStr">
        <is>
          <t>3:30</t>
        </is>
      </c>
      <c r="C6799" t="inlineStr">
        <is>
          <t>little bit of this I can't believe a</t>
        </is>
      </c>
      <c r="D6799">
        <f>HYPERLINK("https://www.youtube.com/watch?v=fPSoLCpY1qA&amp;t=210s", "Go to time")</f>
        <v/>
      </c>
    </row>
    <row r="6800">
      <c r="A6800">
        <f>HYPERLINK("https://www.youtube.com/watch?v=3OJ4C1r-qiM", "Video")</f>
        <v/>
      </c>
      <c r="B6800" t="inlineStr">
        <is>
          <t>1:36</t>
        </is>
      </c>
      <c r="C6800" t="inlineStr">
        <is>
          <t>god rest her soul who was in a bit of a</t>
        </is>
      </c>
      <c r="D6800">
        <f>HYPERLINK("https://www.youtube.com/watch?v=3OJ4C1r-qiM&amp;t=96s", "Go to time")</f>
        <v/>
      </c>
    </row>
    <row r="6801">
      <c r="A6801">
        <f>HYPERLINK("https://www.youtube.com/watch?v=QeHSwPRWYNU", "Video")</f>
        <v/>
      </c>
      <c r="B6801" t="inlineStr">
        <is>
          <t>0:10</t>
        </is>
      </c>
      <c r="C6801" t="inlineStr">
        <is>
          <t>parties for a little bit right you were</t>
        </is>
      </c>
      <c r="D6801">
        <f>HYPERLINK("https://www.youtube.com/watch?v=QeHSwPRWYNU&amp;t=10s", "Go to time")</f>
        <v/>
      </c>
    </row>
    <row r="6802">
      <c r="A6802">
        <f>HYPERLINK("https://www.youtube.com/watch?v=-FA4Rp9mOL4", "Video")</f>
        <v/>
      </c>
      <c r="B6802" t="inlineStr">
        <is>
          <t>6:21</t>
        </is>
      </c>
      <c r="C6802" t="inlineStr">
        <is>
          <t>the road's got a little bit of bump in</t>
        </is>
      </c>
      <c r="D6802">
        <f>HYPERLINK("https://www.youtube.com/watch?v=-FA4Rp9mOL4&amp;t=381s", "Go to time")</f>
        <v/>
      </c>
    </row>
    <row r="6803">
      <c r="A6803">
        <f>HYPERLINK("https://www.youtube.com/watch?v=HZzy92ldIjc", "Video")</f>
        <v/>
      </c>
      <c r="B6803" t="inlineStr">
        <is>
          <t>1:42</t>
        </is>
      </c>
      <c r="C6803" t="inlineStr">
        <is>
          <t>choke on it princess bite me [ __ ]</t>
        </is>
      </c>
      <c r="D6803">
        <f>HYPERLINK("https://www.youtube.com/watch?v=HZzy92ldIjc&amp;t=102s", "Go to time")</f>
        <v/>
      </c>
    </row>
    <row r="6804">
      <c r="A6804">
        <f>HYPERLINK("https://www.youtube.com/watch?v=HZzy92ldIjc", "Video")</f>
        <v/>
      </c>
      <c r="B6804" t="inlineStr">
        <is>
          <t>7:43</t>
        </is>
      </c>
      <c r="C6804" t="inlineStr">
        <is>
          <t>bite me in the ass so where you</t>
        </is>
      </c>
      <c r="D6804">
        <f>HYPERLINK("https://www.youtube.com/watch?v=HZzy92ldIjc&amp;t=463s", "Go to time")</f>
        <v/>
      </c>
    </row>
    <row r="6805">
      <c r="A6805">
        <f>HYPERLINK("https://www.youtube.com/watch?v=bQUJR0_9kDo", "Video")</f>
        <v/>
      </c>
      <c r="B6805" t="inlineStr">
        <is>
          <t>1:09</t>
        </is>
      </c>
      <c r="C6805" t="inlineStr">
        <is>
          <t>offered the bite</t>
        </is>
      </c>
      <c r="D6805">
        <f>HYPERLINK("https://www.youtube.com/watch?v=bQUJR0_9kDo&amp;t=69s", "Go to time")</f>
        <v/>
      </c>
    </row>
    <row r="6806">
      <c r="A6806">
        <f>HYPERLINK("https://www.youtube.com/watch?v=uXRwPZ75990", "Video")</f>
        <v/>
      </c>
      <c r="B6806" t="inlineStr">
        <is>
          <t>0:00</t>
        </is>
      </c>
      <c r="C6806" t="inlineStr">
        <is>
          <t>And I started to have ambitions.</t>
        </is>
      </c>
      <c r="D6806">
        <f>HYPERLINK("https://www.youtube.com/watch?v=uXRwPZ75990&amp;t=0s", "Go to time")</f>
        <v/>
      </c>
    </row>
    <row r="6807">
      <c r="A6807">
        <f>HYPERLINK("https://www.youtube.com/watch?v=YjfqCyjfEq8", "Video")</f>
        <v/>
      </c>
      <c r="B6807" t="inlineStr">
        <is>
          <t>5:40</t>
        </is>
      </c>
      <c r="C6807" t="inlineStr">
        <is>
          <t>for a little bit let me put these fine</t>
        </is>
      </c>
      <c r="D6807">
        <f>HYPERLINK("https://www.youtube.com/watch?v=YjfqCyjfEq8&amp;t=340s", "Go to time")</f>
        <v/>
      </c>
    </row>
    <row r="6808">
      <c r="A6808">
        <f>HYPERLINK("https://www.youtube.com/watch?v=YjfqCyjfEq8", "Video")</f>
        <v/>
      </c>
      <c r="B6808" t="inlineStr">
        <is>
          <t>15:18</t>
        </is>
      </c>
      <c r="C6808" t="inlineStr">
        <is>
          <t>yeah it's a little bit of a hot Breeze</t>
        </is>
      </c>
      <c r="D6808">
        <f>HYPERLINK("https://www.youtube.com/watch?v=YjfqCyjfEq8&amp;t=918s", "Go to time")</f>
        <v/>
      </c>
    </row>
    <row r="6809">
      <c r="A6809">
        <f>HYPERLINK("https://www.youtube.com/watch?v=fj1wRCfiO6g", "Video")</f>
        <v/>
      </c>
      <c r="B6809" t="inlineStr">
        <is>
          <t>0:36</t>
        </is>
      </c>
      <c r="C6809" t="inlineStr">
        <is>
          <t>a little bit of different maybe class</t>
        </is>
      </c>
      <c r="D6809">
        <f>HYPERLINK("https://www.youtube.com/watch?v=fj1wRCfiO6g&amp;t=36s", "Go to time")</f>
        <v/>
      </c>
    </row>
    <row r="6810">
      <c r="A6810">
        <f>HYPERLINK("https://www.youtube.com/watch?v=fj1wRCfiO6g", "Video")</f>
        <v/>
      </c>
      <c r="B6810" t="inlineStr">
        <is>
          <t>3:09</t>
        </is>
      </c>
      <c r="C6810" t="inlineStr">
        <is>
          <t>bit spoiled cuz we had the weekend Nanny</t>
        </is>
      </c>
      <c r="D6810">
        <f>HYPERLINK("https://www.youtube.com/watch?v=fj1wRCfiO6g&amp;t=189s", "Go to time")</f>
        <v/>
      </c>
    </row>
    <row r="6811">
      <c r="A6811">
        <f>HYPERLINK("https://www.youtube.com/watch?v=X7wPYYMFGlw", "Video")</f>
        <v/>
      </c>
      <c r="B6811" t="inlineStr">
        <is>
          <t>3:21</t>
        </is>
      </c>
      <c r="C6811" t="inlineStr">
        <is>
          <t>an arbitrary line drawn by bun of</t>
        </is>
      </c>
      <c r="D6811">
        <f>HYPERLINK("https://www.youtube.com/watch?v=X7wPYYMFGlw&amp;t=201s", "Go to time")</f>
        <v/>
      </c>
    </row>
    <row r="6812">
      <c r="A6812">
        <f>HYPERLINK("https://www.youtube.com/watch?v=HrmzY7O_ETo", "Video")</f>
        <v/>
      </c>
      <c r="B6812" t="inlineStr">
        <is>
          <t>21:52</t>
        </is>
      </c>
      <c r="C6812" t="inlineStr">
        <is>
          <t>Why don't you go go play around the water a little bit?</t>
        </is>
      </c>
      <c r="D6812">
        <f>HYPERLINK("https://www.youtube.com/watch?v=HrmzY7O_ETo&amp;t=1312s", "Go to time")</f>
        <v/>
      </c>
    </row>
    <row r="6813">
      <c r="A6813">
        <f>HYPERLINK("https://www.youtube.com/watch?v=ZHX9QaTvItU", "Video")</f>
        <v/>
      </c>
      <c r="B6813" t="inlineStr">
        <is>
          <t>1:18</t>
        </is>
      </c>
      <c r="C6813" t="inlineStr">
        <is>
          <t>- A little bit.</t>
        </is>
      </c>
      <c r="D6813">
        <f>HYPERLINK("https://www.youtube.com/watch?v=ZHX9QaTvItU&amp;t=78s", "Go to time")</f>
        <v/>
      </c>
    </row>
    <row r="6814">
      <c r="A6814">
        <f>HYPERLINK("https://www.youtube.com/watch?v=Dnxq8lonIBU", "Video")</f>
        <v/>
      </c>
      <c r="B6814" t="inlineStr">
        <is>
          <t>2:47</t>
        </is>
      </c>
      <c r="C6814" t="inlineStr">
        <is>
          <t>truth a little bit.</t>
        </is>
      </c>
      <c r="D6814">
        <f>HYPERLINK("https://www.youtube.com/watch?v=Dnxq8lonIBU&amp;t=167s", "Go to time")</f>
        <v/>
      </c>
    </row>
    <row r="6815">
      <c r="A6815">
        <f>HYPERLINK("https://www.youtube.com/watch?v=YqepZz25ekA", "Video")</f>
        <v/>
      </c>
      <c r="B6815" t="inlineStr">
        <is>
          <t>1:12</t>
        </is>
      </c>
      <c r="C6815" t="inlineStr">
        <is>
          <t>three times a week it's always a bit of</t>
        </is>
      </c>
      <c r="D6815">
        <f>HYPERLINK("https://www.youtube.com/watch?v=YqepZz25ekA&amp;t=72s", "Go to time")</f>
        <v/>
      </c>
    </row>
    <row r="6816">
      <c r="A6816">
        <f>HYPERLINK("https://www.youtube.com/watch?v=BjzEwlXtK-w", "Video")</f>
        <v/>
      </c>
      <c r="B6816" t="inlineStr">
        <is>
          <t>0:12</t>
        </is>
      </c>
      <c r="C6816" t="inlineStr">
        <is>
          <t>I was given a little bit of money from</t>
        </is>
      </c>
      <c r="D6816">
        <f>HYPERLINK("https://www.youtube.com/watch?v=BjzEwlXtK-w&amp;t=12s", "Go to time")</f>
        <v/>
      </c>
    </row>
    <row r="6817">
      <c r="A6817">
        <f>HYPERLINK("https://www.youtube.com/watch?v=x9pmEr6cVQc", "Video")</f>
        <v/>
      </c>
      <c r="B6817" t="inlineStr">
        <is>
          <t>4:54</t>
        </is>
      </c>
      <c r="C6817" t="inlineStr">
        <is>
          <t>frankie smoked a little bit too much his</t>
        </is>
      </c>
      <c r="D6817">
        <f>HYPERLINK("https://www.youtube.com/watch?v=x9pmEr6cVQc&amp;t=294s", "Go to time")</f>
        <v/>
      </c>
    </row>
    <row r="6818">
      <c r="A6818">
        <f>HYPERLINK("https://www.youtube.com/watch?v=CiMrr7oZbQY", "Video")</f>
        <v/>
      </c>
      <c r="B6818" t="inlineStr">
        <is>
          <t>1:34</t>
        </is>
      </c>
      <c r="C6818" t="inlineStr">
        <is>
          <t>tiger shrimp and a little bit of I know</t>
        </is>
      </c>
      <c r="D6818">
        <f>HYPERLINK("https://www.youtube.com/watch?v=CiMrr7oZbQY&amp;t=94s", "Go to time")</f>
        <v/>
      </c>
    </row>
    <row r="6819">
      <c r="A6819">
        <f>HYPERLINK("https://www.youtube.com/watch?v=CiMrr7oZbQY", "Video")</f>
        <v/>
      </c>
      <c r="B6819" t="inlineStr">
        <is>
          <t>1:38</t>
        </is>
      </c>
      <c r="C6819" t="inlineStr">
        <is>
          <t>and a little bit of I'm not laughing why</t>
        </is>
      </c>
      <c r="D6819">
        <f>HYPERLINK("https://www.youtube.com/watch?v=CiMrr7oZbQY&amp;t=98s", "Go to time")</f>
        <v/>
      </c>
    </row>
    <row r="6820">
      <c r="A6820">
        <f>HYPERLINK("https://www.youtube.com/watch?v=PKAfydDIfrg", "Video")</f>
        <v/>
      </c>
      <c r="B6820" t="inlineStr">
        <is>
          <t>2:25</t>
        </is>
      </c>
      <c r="C6820" t="inlineStr">
        <is>
          <t>i'm in a bit of a lull right now but i'm</t>
        </is>
      </c>
      <c r="D6820">
        <f>HYPERLINK("https://www.youtube.com/watch?v=PKAfydDIfrg&amp;t=145s", "Go to time")</f>
        <v/>
      </c>
    </row>
    <row r="6821">
      <c r="A6821">
        <f>HYPERLINK("https://www.youtube.com/watch?v=ywQfhsKzvO0", "Video")</f>
        <v/>
      </c>
      <c r="B6821" t="inlineStr">
        <is>
          <t>1:22</t>
        </is>
      </c>
      <c r="C6821" t="inlineStr">
        <is>
          <t>thin Lieutenant especially that bit</t>
        </is>
      </c>
      <c r="D6821">
        <f>HYPERLINK("https://www.youtube.com/watch?v=ywQfhsKzvO0&amp;t=82s", "Go to time")</f>
        <v/>
      </c>
    </row>
    <row r="6822">
      <c r="A6822">
        <f>HYPERLINK("https://www.youtube.com/watch?v=CsmoVdzkUIs", "Video")</f>
        <v/>
      </c>
      <c r="B6822" t="inlineStr">
        <is>
          <t>2:17</t>
        </is>
      </c>
      <c r="C6822" t="inlineStr">
        <is>
          <t>timing was a little bit</t>
        </is>
      </c>
      <c r="D6822">
        <f>HYPERLINK("https://www.youtube.com/watch?v=CsmoVdzkUIs&amp;t=137s", "Go to time")</f>
        <v/>
      </c>
    </row>
    <row r="6823">
      <c r="A6823">
        <f>HYPERLINK("https://www.youtube.com/watch?v=qT7MfRVYy7c", "Video")</f>
        <v/>
      </c>
      <c r="B6823" t="inlineStr">
        <is>
          <t>1:41</t>
        </is>
      </c>
      <c r="C6823" t="inlineStr">
        <is>
          <t>changed a little bit i have my air pods</t>
        </is>
      </c>
      <c r="D6823">
        <f>HYPERLINK("https://www.youtube.com/watch?v=qT7MfRVYy7c&amp;t=101s", "Go to time")</f>
        <v/>
      </c>
    </row>
    <row r="6824">
      <c r="A6824">
        <f>HYPERLINK("https://www.youtube.com/watch?v=qT7MfRVYy7c", "Video")</f>
        <v/>
      </c>
      <c r="B6824" t="inlineStr">
        <is>
          <t>2:14</t>
        </is>
      </c>
      <c r="C6824" t="inlineStr">
        <is>
          <t>an exhibit of this one day</t>
        </is>
      </c>
      <c r="D6824">
        <f>HYPERLINK("https://www.youtube.com/watch?v=qT7MfRVYy7c&amp;t=134s", "Go to time")</f>
        <v/>
      </c>
    </row>
    <row r="6825">
      <c r="A6825">
        <f>HYPERLINK("https://www.youtube.com/watch?v=VXED2AVlbR0", "Video")</f>
        <v/>
      </c>
      <c r="B6825" t="inlineStr">
        <is>
          <t>6:31</t>
        </is>
      </c>
      <c r="C6825" t="inlineStr">
        <is>
          <t>bit mommy going down afternoon everybody</t>
        </is>
      </c>
      <c r="D6825">
        <f>HYPERLINK("https://www.youtube.com/watch?v=VXED2AVlbR0&amp;t=391s", "Go to time")</f>
        <v/>
      </c>
    </row>
    <row r="6826">
      <c r="A6826">
        <f>HYPERLINK("https://www.youtube.com/watch?v=ewPm9KBX6OI", "Video")</f>
        <v/>
      </c>
      <c r="B6826" t="inlineStr">
        <is>
          <t>10:04</t>
        </is>
      </c>
      <c r="C6826" t="inlineStr">
        <is>
          <t>ed uh this is a little bit of a thinker</t>
        </is>
      </c>
      <c r="D6826">
        <f>HYPERLINK("https://www.youtube.com/watch?v=ewPm9KBX6OI&amp;t=604s", "Go to time")</f>
        <v/>
      </c>
    </row>
    <row r="6827">
      <c r="A6827">
        <f>HYPERLINK("https://www.youtube.com/watch?v=ewPm9KBX6OI", "Video")</f>
        <v/>
      </c>
      <c r="B6827" t="inlineStr">
        <is>
          <t>10:20</t>
        </is>
      </c>
      <c r="C6827" t="inlineStr">
        <is>
          <t>little bit</t>
        </is>
      </c>
      <c r="D6827">
        <f>HYPERLINK("https://www.youtube.com/watch?v=ewPm9KBX6OI&amp;t=620s", "Go to time")</f>
        <v/>
      </c>
    </row>
    <row r="6828">
      <c r="A6828">
        <f>HYPERLINK("https://www.youtube.com/watch?v=ewPm9KBX6OI", "Video")</f>
        <v/>
      </c>
      <c r="B6828" t="inlineStr">
        <is>
          <t>10:57</t>
        </is>
      </c>
      <c r="C6828" t="inlineStr">
        <is>
          <t>it looks nice a little bit splotchy but</t>
        </is>
      </c>
      <c r="D6828">
        <f>HYPERLINK("https://www.youtube.com/watch?v=ewPm9KBX6OI&amp;t=657s", "Go to time")</f>
        <v/>
      </c>
    </row>
    <row r="6829">
      <c r="A6829">
        <f>HYPERLINK("https://www.youtube.com/watch?v=ewPm9KBX6OI", "Video")</f>
        <v/>
      </c>
      <c r="B6829" t="inlineStr">
        <is>
          <t>12:01</t>
        </is>
      </c>
      <c r="C6829" t="inlineStr">
        <is>
          <t>little bit like of a</t>
        </is>
      </c>
      <c r="D6829">
        <f>HYPERLINK("https://www.youtube.com/watch?v=ewPm9KBX6OI&amp;t=721s", "Go to time")</f>
        <v/>
      </c>
    </row>
    <row r="6830">
      <c r="A6830">
        <f>HYPERLINK("https://www.youtube.com/watch?v=zqTVon5fwqM", "Video")</f>
        <v/>
      </c>
      <c r="B6830" t="inlineStr">
        <is>
          <t>0:54</t>
        </is>
      </c>
      <c r="C6830" t="inlineStr">
        <is>
          <t>to see that despite matabita Heidi that</t>
        </is>
      </c>
      <c r="D6830">
        <f>HYPERLINK("https://www.youtube.com/watch?v=zqTVon5fwqM&amp;t=54s", "Go to time")</f>
        <v/>
      </c>
    </row>
    <row r="6831">
      <c r="A6831">
        <f>HYPERLINK("https://www.youtube.com/watch?v=g52E22ksskQ", "Video")</f>
        <v/>
      </c>
      <c r="B6831" t="inlineStr">
        <is>
          <t>14:28</t>
        </is>
      </c>
      <c r="C6831" t="inlineStr">
        <is>
          <t>bit of a freak. Excuse me.</t>
        </is>
      </c>
      <c r="D6831">
        <f>HYPERLINK("https://www.youtube.com/watch?v=g52E22ksskQ&amp;t=868s", "Go to time")</f>
        <v/>
      </c>
    </row>
    <row r="6832">
      <c r="A6832">
        <f>HYPERLINK("https://www.youtube.com/watch?v=zSGt9W36Pro", "Video")</f>
        <v/>
      </c>
      <c r="B6832" t="inlineStr">
        <is>
          <t>4:13</t>
        </is>
      </c>
      <c r="C6832" t="inlineStr">
        <is>
          <t>this are you bitching out again</t>
        </is>
      </c>
      <c r="D6832">
        <f>HYPERLINK("https://www.youtube.com/watch?v=zSGt9W36Pro&amp;t=253s", "Go to time")</f>
        <v/>
      </c>
    </row>
    <row r="6833">
      <c r="A6833">
        <f>HYPERLINK("https://www.youtube.com/watch?v=za2DLDbLcFU", "Video")</f>
        <v/>
      </c>
      <c r="B6833" t="inlineStr">
        <is>
          <t>0:36</t>
        </is>
      </c>
      <c r="C6833" t="inlineStr">
        <is>
          <t>bit of like Envy</t>
        </is>
      </c>
      <c r="D6833">
        <f>HYPERLINK("https://www.youtube.com/watch?v=za2DLDbLcFU&amp;t=36s", "Go to time")</f>
        <v/>
      </c>
    </row>
    <row r="6834">
      <c r="A6834">
        <f>HYPERLINK("https://www.youtube.com/watch?v=za2DLDbLcFU", "Video")</f>
        <v/>
      </c>
      <c r="B6834" t="inlineStr">
        <is>
          <t>1:36</t>
        </is>
      </c>
      <c r="C6834" t="inlineStr">
        <is>
          <t>redoing and it's it's it's a bit of a</t>
        </is>
      </c>
      <c r="D6834">
        <f>HYPERLINK("https://www.youtube.com/watch?v=za2DLDbLcFU&amp;t=96s", "Go to time")</f>
        <v/>
      </c>
    </row>
    <row r="6835">
      <c r="A6835">
        <f>HYPERLINK("https://www.youtube.com/watch?v=_D1-neIT1eg", "Video")</f>
        <v/>
      </c>
      <c r="B6835" t="inlineStr">
        <is>
          <t>0:36</t>
        </is>
      </c>
      <c r="C6835" t="inlineStr">
        <is>
          <t>sort of have a bit of a dress code here</t>
        </is>
      </c>
      <c r="D6835">
        <f>HYPERLINK("https://www.youtube.com/watch?v=_D1-neIT1eg&amp;t=36s", "Go to time")</f>
        <v/>
      </c>
    </row>
    <row r="6836">
      <c r="A6836">
        <f>HYPERLINK("https://www.youtube.com/watch?v=Ehxl807mUBk", "Video")</f>
        <v/>
      </c>
      <c r="B6836" t="inlineStr">
        <is>
          <t>1:05</t>
        </is>
      </c>
      <c r="C6836" t="inlineStr">
        <is>
          <t>little bit i'm sorry</t>
        </is>
      </c>
      <c r="D6836">
        <f>HYPERLINK("https://www.youtube.com/watch?v=Ehxl807mUBk&amp;t=65s", "Go to time")</f>
        <v/>
      </c>
    </row>
    <row r="6837">
      <c r="A6837">
        <f>HYPERLINK("https://www.youtube.com/watch?v=w4VMSDyqoeA", "Video")</f>
        <v/>
      </c>
      <c r="B6837" t="inlineStr">
        <is>
          <t>6:22</t>
        </is>
      </c>
      <c r="C6837" t="inlineStr">
        <is>
          <t>they're going to kill me today bit</t>
        </is>
      </c>
      <c r="D6837">
        <f>HYPERLINK("https://www.youtube.com/watch?v=w4VMSDyqoeA&amp;t=382s", "Go to time")</f>
        <v/>
      </c>
    </row>
    <row r="6838">
      <c r="A6838">
        <f>HYPERLINK("https://www.youtube.com/watch?v=w4VMSDyqoeA", "Video")</f>
        <v/>
      </c>
      <c r="B6838" t="inlineStr">
        <is>
          <t>9:15</t>
        </is>
      </c>
      <c r="C6838" t="inlineStr">
        <is>
          <t>she she's not she's a little bit over</t>
        </is>
      </c>
      <c r="D6838">
        <f>HYPERLINK("https://www.youtube.com/watch?v=w4VMSDyqoeA&amp;t=555s", "Go to time")</f>
        <v/>
      </c>
    </row>
    <row r="6839">
      <c r="A6839">
        <f>HYPERLINK("https://www.youtube.com/watch?v=szcxj_sJqVM", "Video")</f>
        <v/>
      </c>
      <c r="B6839" t="inlineStr">
        <is>
          <t>1:29</t>
        </is>
      </c>
      <c r="C6839" t="inlineStr">
        <is>
          <t>little bit you know Jeremy him and Tony</t>
        </is>
      </c>
      <c r="D6839">
        <f>HYPERLINK("https://www.youtube.com/watch?v=szcxj_sJqVM&amp;t=89s", "Go to time")</f>
        <v/>
      </c>
    </row>
    <row r="6840">
      <c r="A6840">
        <f>HYPERLINK("https://www.youtube.com/watch?v=szcxj_sJqVM", "Video")</f>
        <v/>
      </c>
      <c r="B6840" t="inlineStr">
        <is>
          <t>6:05</t>
        </is>
      </c>
      <c r="C6840" t="inlineStr">
        <is>
          <t>run his mouth a little bit too</t>
        </is>
      </c>
      <c r="D6840">
        <f>HYPERLINK("https://www.youtube.com/watch?v=szcxj_sJqVM&amp;t=365s", "Go to time")</f>
        <v/>
      </c>
    </row>
    <row r="6841">
      <c r="A6841">
        <f>HYPERLINK("https://www.youtube.com/watch?v=rDZF8lKCwZI", "Video")</f>
        <v/>
      </c>
      <c r="B6841" t="inlineStr">
        <is>
          <t>0:01</t>
        </is>
      </c>
      <c r="C6841" t="inlineStr">
        <is>
          <t>little bit, but I didn't want to make</t>
        </is>
      </c>
      <c r="D6841">
        <f>HYPERLINK("https://www.youtube.com/watch?v=rDZF8lKCwZI&amp;t=1s", "Go to time")</f>
        <v/>
      </c>
    </row>
    <row r="6842">
      <c r="A6842">
        <f>HYPERLINK("https://www.youtube.com/watch?v=HTPxhhCFmMQ", "Video")</f>
        <v/>
      </c>
      <c r="B6842" t="inlineStr">
        <is>
          <t>3:31</t>
        </is>
      </c>
      <c r="C6842" t="inlineStr">
        <is>
          <t>And thanks to me, not one child got bit.</t>
        </is>
      </c>
      <c r="D6842">
        <f>HYPERLINK("https://www.youtube.com/watch?v=HTPxhhCFmMQ&amp;t=211s", "Go to time")</f>
        <v/>
      </c>
    </row>
    <row r="6843">
      <c r="A6843">
        <f>HYPERLINK("https://www.youtube.com/watch?v=8K5KXBTcbw0", "Video")</f>
        <v/>
      </c>
      <c r="B6843" t="inlineStr">
        <is>
          <t>11:05</t>
        </is>
      </c>
      <c r="C6843" t="inlineStr">
        <is>
          <t>just a little bit different maybe a uh</t>
        </is>
      </c>
      <c r="D6843">
        <f>HYPERLINK("https://www.youtube.com/watch?v=8K5KXBTcbw0&amp;t=665s", "Go to time")</f>
        <v/>
      </c>
    </row>
    <row r="6844">
      <c r="A6844">
        <f>HYPERLINK("https://www.youtube.com/watch?v=TRrh_8ZBYPA", "Video")</f>
        <v/>
      </c>
      <c r="B6844" t="inlineStr">
        <is>
          <t>2:10</t>
        </is>
      </c>
      <c r="C6844" t="inlineStr">
        <is>
          <t>get over there in a bit cowboy Twilight</t>
        </is>
      </c>
      <c r="D6844">
        <f>HYPERLINK("https://www.youtube.com/watch?v=TRrh_8ZBYPA&amp;t=130s", "Go to time")</f>
        <v/>
      </c>
    </row>
    <row r="6845">
      <c r="A6845">
        <f>HYPERLINK("https://www.youtube.com/watch?v=TRrh_8ZBYPA", "Video")</f>
        <v/>
      </c>
      <c r="B6845" t="inlineStr">
        <is>
          <t>2:58</t>
        </is>
      </c>
      <c r="C6845" t="inlineStr">
        <is>
          <t>bitch's name and last known address</t>
        </is>
      </c>
      <c r="D6845">
        <f>HYPERLINK("https://www.youtube.com/watch?v=TRrh_8ZBYPA&amp;t=178s", "Go to time")</f>
        <v/>
      </c>
    </row>
    <row r="6846">
      <c r="A6846">
        <f>HYPERLINK("https://www.youtube.com/watch?v=WbTiLFEY47c", "Video")</f>
        <v/>
      </c>
      <c r="B6846" t="inlineStr">
        <is>
          <t>0:17</t>
        </is>
      </c>
      <c r="C6846" t="inlineStr">
        <is>
          <t>ambitious well i don't think it's as</t>
        </is>
      </c>
      <c r="D6846">
        <f>HYPERLINK("https://www.youtube.com/watch?v=WbTiLFEY47c&amp;t=17s", "Go to time")</f>
        <v/>
      </c>
    </row>
    <row r="6847">
      <c r="A6847">
        <f>HYPERLINK("https://www.youtube.com/watch?v=WbTiLFEY47c", "Video")</f>
        <v/>
      </c>
      <c r="B6847" t="inlineStr">
        <is>
          <t>1:56</t>
        </is>
      </c>
      <c r="C6847" t="inlineStr">
        <is>
          <t>we should grab a bite sometime yeah i'll</t>
        </is>
      </c>
      <c r="D6847">
        <f>HYPERLINK("https://www.youtube.com/watch?v=WbTiLFEY47c&amp;t=116s", "Go to time")</f>
        <v/>
      </c>
    </row>
    <row r="6848">
      <c r="A6848">
        <f>HYPERLINK("https://www.youtube.com/watch?v=fQPe4RigYmg", "Video")</f>
        <v/>
      </c>
      <c r="B6848" t="inlineStr">
        <is>
          <t>0:18</t>
        </is>
      </c>
      <c r="C6848" t="inlineStr">
        <is>
          <t>expecting quite a bit I see us winning</t>
        </is>
      </c>
      <c r="D6848">
        <f>HYPERLINK("https://www.youtube.com/watch?v=fQPe4RigYmg&amp;t=18s", "Go to time")</f>
        <v/>
      </c>
    </row>
    <row r="6849">
      <c r="A6849">
        <f>HYPERLINK("https://www.youtube.com/watch?v=Vuq_OyQcUm4", "Video")</f>
        <v/>
      </c>
      <c r="B6849" t="inlineStr">
        <is>
          <t>7:38</t>
        </is>
      </c>
      <c r="C6849" t="inlineStr">
        <is>
          <t>Dunder Mifflin does not discriminate, nor
does it condone unhealthy dieting habits or</t>
        </is>
      </c>
      <c r="D6849">
        <f>HYPERLINK("https://www.youtube.com/watch?v=Vuq_OyQcUm4&amp;t=458s", "Go to time")</f>
        <v/>
      </c>
    </row>
    <row r="6850">
      <c r="A6850">
        <f>HYPERLINK("https://www.youtube.com/watch?v=1iyzgmvmsM0", "Video")</f>
        <v/>
      </c>
      <c r="B6850" t="inlineStr">
        <is>
          <t>1:11</t>
        </is>
      </c>
      <c r="C6850" t="inlineStr">
        <is>
          <t>bites of it i just wanted more of the</t>
        </is>
      </c>
      <c r="D6850">
        <f>HYPERLINK("https://www.youtube.com/watch?v=1iyzgmvmsM0&amp;t=71s", "Go to time")</f>
        <v/>
      </c>
    </row>
    <row r="6851">
      <c r="A6851">
        <f>HYPERLINK("https://www.youtube.com/watch?v=1iyzgmvmsM0", "Video")</f>
        <v/>
      </c>
      <c r="B6851" t="inlineStr">
        <is>
          <t>3:34</t>
        </is>
      </c>
      <c r="C6851" t="inlineStr">
        <is>
          <t>all right screaming a little bit runny</t>
        </is>
      </c>
      <c r="D6851">
        <f>HYPERLINK("https://www.youtube.com/watch?v=1iyzgmvmsM0&amp;t=214s", "Go to time")</f>
        <v/>
      </c>
    </row>
    <row r="6852">
      <c r="A6852">
        <f>HYPERLINK("https://www.youtube.com/watch?v=1iyzgmvmsM0", "Video")</f>
        <v/>
      </c>
      <c r="B6852" t="inlineStr">
        <is>
          <t>4:02</t>
        </is>
      </c>
      <c r="C6852" t="inlineStr">
        <is>
          <t>with a little bit of coconut and who</t>
        </is>
      </c>
      <c r="D6852">
        <f>HYPERLINK("https://www.youtube.com/watch?v=1iyzgmvmsM0&amp;t=242s", "Go to time")</f>
        <v/>
      </c>
    </row>
    <row r="6853">
      <c r="A6853">
        <f>HYPERLINK("https://www.youtube.com/watch?v=7o4tO8lHgOU", "Video")</f>
        <v/>
      </c>
      <c r="B6853" t="inlineStr">
        <is>
          <t>1:14</t>
        </is>
      </c>
      <c r="C6853" t="inlineStr">
        <is>
          <t>toledo while killing a little bit of</t>
        </is>
      </c>
      <c r="D6853">
        <f>HYPERLINK("https://www.youtube.com/watch?v=7o4tO8lHgOU&amp;t=74s", "Go to time")</f>
        <v/>
      </c>
    </row>
    <row r="6854">
      <c r="A6854">
        <f>HYPERLINK("https://www.youtube.com/watch?v=7o4tO8lHgOU", "Video")</f>
        <v/>
      </c>
      <c r="B6854" t="inlineStr">
        <is>
          <t>3:53</t>
        </is>
      </c>
      <c r="C6854" t="inlineStr">
        <is>
          <t>sort of have a bit of a dress code here</t>
        </is>
      </c>
      <c r="D6854">
        <f>HYPERLINK("https://www.youtube.com/watch?v=7o4tO8lHgOU&amp;t=233s", "Go to time")</f>
        <v/>
      </c>
    </row>
    <row r="6855">
      <c r="A6855">
        <f>HYPERLINK("https://www.youtube.com/watch?v=UBH8TQ7dwu4", "Video")</f>
        <v/>
      </c>
      <c r="B6855" t="inlineStr">
        <is>
          <t>1:25</t>
        </is>
      </c>
      <c r="C6855" t="inlineStr">
        <is>
          <t>they get a little bit harder</t>
        </is>
      </c>
      <c r="D6855">
        <f>HYPERLINK("https://www.youtube.com/watch?v=UBH8TQ7dwu4&amp;t=85s", "Go to time")</f>
        <v/>
      </c>
    </row>
    <row r="6856">
      <c r="A6856">
        <f>HYPERLINK("https://www.youtube.com/watch?v=wfUrLCsbSvA", "Video")</f>
        <v/>
      </c>
      <c r="B6856" t="inlineStr">
        <is>
          <t>0:17</t>
        </is>
      </c>
      <c r="C6856" t="inlineStr">
        <is>
          <t>so it's like being bitten by a snake and</t>
        </is>
      </c>
      <c r="D6856">
        <f>HYPERLINK("https://www.youtube.com/watch?v=wfUrLCsbSvA&amp;t=17s", "Go to time")</f>
        <v/>
      </c>
    </row>
    <row r="6857">
      <c r="A6857">
        <f>HYPERLINK("https://www.youtube.com/watch?v=zCzizSr-o6k", "Video")</f>
        <v/>
      </c>
      <c r="B6857" t="inlineStr">
        <is>
          <t>4:09</t>
        </is>
      </c>
      <c r="C6857" t="inlineStr">
        <is>
          <t>talking well i'm i'm in a bit of a lull</t>
        </is>
      </c>
      <c r="D6857">
        <f>HYPERLINK("https://www.youtube.com/watch?v=zCzizSr-o6k&amp;t=249s", "Go to time")</f>
        <v/>
      </c>
    </row>
    <row r="6858">
      <c r="A6858">
        <f>HYPERLINK("https://www.youtube.com/watch?v=VxzGeElFUeI", "Video")</f>
        <v/>
      </c>
      <c r="B6858" t="inlineStr">
        <is>
          <t>0:04</t>
        </is>
      </c>
      <c r="C6858" t="inlineStr">
        <is>
          <t>the reproductive cycle of a jackrabbit</t>
        </is>
      </c>
      <c r="D6858">
        <f>HYPERLINK("https://www.youtube.com/watch?v=VxzGeElFUeI&amp;t=4s", "Go to time")</f>
        <v/>
      </c>
    </row>
    <row r="6859">
      <c r="A6859">
        <f>HYPERLINK("https://www.youtube.com/watch?v=WfJakXjF1cE", "Video")</f>
        <v/>
      </c>
      <c r="B6859" t="inlineStr">
        <is>
          <t>6:33</t>
        </is>
      </c>
      <c r="C6859" t="inlineStr">
        <is>
          <t>it's creating a bit of a hostile work</t>
        </is>
      </c>
      <c r="D6859">
        <f>HYPERLINK("https://www.youtube.com/watch?v=WfJakXjF1cE&amp;t=393s", "Go to time")</f>
        <v/>
      </c>
    </row>
    <row r="6860">
      <c r="A6860">
        <f>HYPERLINK("https://www.youtube.com/watch?v=XWMavYKwn38", "Video")</f>
        <v/>
      </c>
      <c r="B6860" t="inlineStr">
        <is>
          <t>1:00</t>
        </is>
      </c>
      <c r="C6860" t="inlineStr">
        <is>
          <t>grandma says you're a bitter</t>
        </is>
      </c>
      <c r="D6860">
        <f>HYPERLINK("https://www.youtube.com/watch?v=XWMavYKwn38&amp;t=60s", "Go to time")</f>
        <v/>
      </c>
    </row>
    <row r="6861">
      <c r="A6861">
        <f>HYPERLINK("https://www.youtube.com/watch?v=LGbVCezA8-U", "Video")</f>
        <v/>
      </c>
      <c r="B6861" t="inlineStr">
        <is>
          <t>1:21</t>
        </is>
      </c>
      <c r="C6861" t="inlineStr">
        <is>
          <t>writing like biden biting</t>
        </is>
      </c>
      <c r="D6861">
        <f>HYPERLINK("https://www.youtube.com/watch?v=LGbVCezA8-U&amp;t=81s", "Go to time")</f>
        <v/>
      </c>
    </row>
    <row r="6862">
      <c r="A6862">
        <f>HYPERLINK("https://www.youtube.com/watch?v=LGbVCezA8-U", "Video")</f>
        <v/>
      </c>
      <c r="B6862" t="inlineStr">
        <is>
          <t>1:23</t>
        </is>
      </c>
      <c r="C6862" t="inlineStr">
        <is>
          <t>biting by and all over it really</t>
        </is>
      </c>
      <c r="D6862">
        <f>HYPERLINK("https://www.youtube.com/watch?v=LGbVCezA8-U&amp;t=83s", "Go to time")</f>
        <v/>
      </c>
    </row>
    <row r="6863">
      <c r="A6863">
        <f>HYPERLINK("https://www.youtube.com/watch?v=LGbVCezA8-U", "Video")</f>
        <v/>
      </c>
      <c r="B6863" t="inlineStr">
        <is>
          <t>4:47</t>
        </is>
      </c>
      <c r="C6863" t="inlineStr">
        <is>
          <t>him for this little bit of time</t>
        </is>
      </c>
      <c r="D6863">
        <f>HYPERLINK("https://www.youtube.com/watch?v=LGbVCezA8-U&amp;t=287s", "Go to time")</f>
        <v/>
      </c>
    </row>
    <row r="6864">
      <c r="A6864">
        <f>HYPERLINK("https://www.youtube.com/watch?v=LGbVCezA8-U", "Video")</f>
        <v/>
      </c>
      <c r="B6864" t="inlineStr">
        <is>
          <t>5:13</t>
        </is>
      </c>
      <c r="C6864" t="inlineStr">
        <is>
          <t>buckle up everybody it's gonna be a bit</t>
        </is>
      </c>
      <c r="D6864">
        <f>HYPERLINK("https://www.youtube.com/watch?v=LGbVCezA8-U&amp;t=313s", "Go to time")</f>
        <v/>
      </c>
    </row>
    <row r="6865">
      <c r="A6865">
        <f>HYPERLINK("https://www.youtube.com/watch?v=jBESplKMo-E", "Video")</f>
        <v/>
      </c>
      <c r="B6865" t="inlineStr">
        <is>
          <t>2:25</t>
        </is>
      </c>
      <c r="C6865" t="inlineStr">
        <is>
          <t>i love this place i was a little bit</t>
        </is>
      </c>
      <c r="D6865">
        <f>HYPERLINK("https://www.youtube.com/watch?v=jBESplKMo-E&amp;t=145s", "Go to time")</f>
        <v/>
      </c>
    </row>
    <row r="6866">
      <c r="A6866">
        <f>HYPERLINK("https://www.youtube.com/watch?v=jBESplKMo-E", "Video")</f>
        <v/>
      </c>
      <c r="B6866" t="inlineStr">
        <is>
          <t>2:42</t>
        </is>
      </c>
      <c r="C6866" t="inlineStr">
        <is>
          <t>a little bit were you there mitchell</t>
        </is>
      </c>
      <c r="D6866">
        <f>HYPERLINK("https://www.youtube.com/watch?v=jBESplKMo-E&amp;t=162s", "Go to time")</f>
        <v/>
      </c>
    </row>
    <row r="6867">
      <c r="A6867">
        <f>HYPERLINK("https://www.youtube.com/watch?v=jBESplKMo-E", "Video")</f>
        <v/>
      </c>
      <c r="B6867" t="inlineStr">
        <is>
          <t>3:56</t>
        </is>
      </c>
      <c r="C6867" t="inlineStr">
        <is>
          <t>little bit of a drink no no no no no no</t>
        </is>
      </c>
      <c r="D6867">
        <f>HYPERLINK("https://www.youtube.com/watch?v=jBESplKMo-E&amp;t=236s", "Go to time")</f>
        <v/>
      </c>
    </row>
    <row r="6868">
      <c r="A6868">
        <f>HYPERLINK("https://www.youtube.com/watch?v=3X_FfTcmzU8", "Video")</f>
        <v/>
      </c>
      <c r="B6868" t="inlineStr">
        <is>
          <t>1:23</t>
        </is>
      </c>
      <c r="C6868" t="inlineStr">
        <is>
          <t>little bit of clarity.</t>
        </is>
      </c>
      <c r="D6868">
        <f>HYPERLINK("https://www.youtube.com/watch?v=3X_FfTcmzU8&amp;t=83s", "Go to time")</f>
        <v/>
      </c>
    </row>
    <row r="6869">
      <c r="A6869">
        <f>HYPERLINK("https://www.youtube.com/watch?v=3X_FfTcmzU8", "Video")</f>
        <v/>
      </c>
      <c r="B6869" t="inlineStr">
        <is>
          <t>1:31</t>
        </is>
      </c>
      <c r="C6869" t="inlineStr">
        <is>
          <t>assistant. And look at that bitch now.</t>
        </is>
      </c>
      <c r="D6869">
        <f>HYPERLINK("https://www.youtube.com/watch?v=3X_FfTcmzU8&amp;t=91s", "Go to time")</f>
        <v/>
      </c>
    </row>
    <row r="6870">
      <c r="A6870">
        <f>HYPERLINK("https://www.youtube.com/watch?v=JHVfOeO6mcE", "Video")</f>
        <v/>
      </c>
      <c r="B6870" t="inlineStr">
        <is>
          <t>0:20</t>
        </is>
      </c>
      <c r="C6870" t="inlineStr">
        <is>
          <t>see perhaps but a he can be a bit</t>
        </is>
      </c>
      <c r="D6870">
        <f>HYPERLINK("https://www.youtube.com/watch?v=JHVfOeO6mcE&amp;t=20s", "Go to time")</f>
        <v/>
      </c>
    </row>
    <row r="6871">
      <c r="A6871">
        <f>HYPERLINK("https://www.youtube.com/watch?v=aZmirvVHvjg", "Video")</f>
        <v/>
      </c>
      <c r="B6871" t="inlineStr">
        <is>
          <t>2:59</t>
        </is>
      </c>
      <c r="C6871" t="inlineStr">
        <is>
          <t>How many men does it take
to fix a little bit of damage?</t>
        </is>
      </c>
      <c r="D6871">
        <f>HYPERLINK("https://www.youtube.com/watch?v=aZmirvVHvjg&amp;t=179s", "Go to time")</f>
        <v/>
      </c>
    </row>
    <row r="6872">
      <c r="A6872">
        <f>HYPERLINK("https://www.youtube.com/watch?v=bkGFlxPUuvs", "Video")</f>
        <v/>
      </c>
      <c r="B6872" t="inlineStr">
        <is>
          <t>2:21</t>
        </is>
      </c>
      <c r="C6872" t="inlineStr">
        <is>
          <t>- He kept biting our daughter.</t>
        </is>
      </c>
      <c r="D6872">
        <f>HYPERLINK("https://www.youtube.com/watch?v=bkGFlxPUuvs&amp;t=141s", "Go to time")</f>
        <v/>
      </c>
    </row>
    <row r="6873">
      <c r="A6873">
        <f>HYPERLINK("https://www.youtube.com/watch?v=bkGFlxPUuvs", "Video")</f>
        <v/>
      </c>
      <c r="B6873" t="inlineStr">
        <is>
          <t>3:29</t>
        </is>
      </c>
      <c r="C6873" t="inlineStr">
        <is>
          <t>- We can't just stop doing bits</t>
        </is>
      </c>
      <c r="D6873">
        <f>HYPERLINK("https://www.youtube.com/watch?v=bkGFlxPUuvs&amp;t=209s", "Go to time")</f>
        <v/>
      </c>
    </row>
    <row r="6874">
      <c r="A6874">
        <f>HYPERLINK("https://www.youtube.com/watch?v=djwfEJ_989A", "Video")</f>
        <v/>
      </c>
      <c r="B6874" t="inlineStr">
        <is>
          <t>1:55</t>
        </is>
      </c>
      <c r="C6874" t="inlineStr">
        <is>
          <t>holes a little bit maybe there's</t>
        </is>
      </c>
      <c r="D6874">
        <f>HYPERLINK("https://www.youtube.com/watch?v=djwfEJ_989A&amp;t=115s", "Go to time")</f>
        <v/>
      </c>
    </row>
    <row r="6875">
      <c r="A6875">
        <f>HYPERLINK("https://www.youtube.com/watch?v=HmeA1p4Z4is", "Video")</f>
        <v/>
      </c>
      <c r="B6875" t="inlineStr">
        <is>
          <t>2:22</t>
        </is>
      </c>
      <c r="C6875" t="inlineStr">
        <is>
          <t>bit of the game before I went in looks</t>
        </is>
      </c>
      <c r="D6875">
        <f>HYPERLINK("https://www.youtube.com/watch?v=HmeA1p4Z4is&amp;t=142s", "Go to time")</f>
        <v/>
      </c>
    </row>
    <row r="6876">
      <c r="A6876">
        <f>HYPERLINK("https://www.youtube.com/watch?v=HmeA1p4Z4is", "Video")</f>
        <v/>
      </c>
      <c r="B6876" t="inlineStr">
        <is>
          <t>2:27</t>
        </is>
      </c>
      <c r="C6876" t="inlineStr">
        <is>
          <t>bit of the game well somebody needs to</t>
        </is>
      </c>
      <c r="D6876">
        <f>HYPERLINK("https://www.youtube.com/watch?v=HmeA1p4Z4is&amp;t=147s", "Go to time")</f>
        <v/>
      </c>
    </row>
    <row r="6877">
      <c r="A6877">
        <f>HYPERLINK("https://www.youtube.com/watch?v=ZL-v-AnRdLo", "Video")</f>
        <v/>
      </c>
      <c r="B6877" t="inlineStr">
        <is>
          <t>0:02</t>
        </is>
      </c>
      <c r="C6877" t="inlineStr">
        <is>
          <t>it up a little bit i'll be right over</t>
        </is>
      </c>
      <c r="D6877">
        <f>HYPERLINK("https://www.youtube.com/watch?v=ZL-v-AnRdLo&amp;t=2s", "Go to time")</f>
        <v/>
      </c>
    </row>
    <row r="6878">
      <c r="A6878">
        <f>HYPERLINK("https://www.youtube.com/watch?v=JtZQ_2mpc80", "Video")</f>
        <v/>
      </c>
      <c r="B6878" t="inlineStr">
        <is>
          <t>8:43</t>
        </is>
      </c>
      <c r="C6878" t="inlineStr">
        <is>
          <t>little bit busy K yeah if you speak</t>
        </is>
      </c>
      <c r="D6878">
        <f>HYPERLINK("https://www.youtube.com/watch?v=JtZQ_2mpc80&amp;t=523s", "Go to time")</f>
        <v/>
      </c>
    </row>
    <row r="6879">
      <c r="A6879">
        <f>HYPERLINK("https://www.youtube.com/watch?v=JtZQ_2mpc80", "Video")</f>
        <v/>
      </c>
      <c r="B6879" t="inlineStr">
        <is>
          <t>14:06</t>
        </is>
      </c>
      <c r="C6879" t="inlineStr">
        <is>
          <t>little bit but it makes me feel like I</t>
        </is>
      </c>
      <c r="D6879">
        <f>HYPERLINK("https://www.youtube.com/watch?v=JtZQ_2mpc80&amp;t=846s", "Go to time")</f>
        <v/>
      </c>
    </row>
    <row r="6880">
      <c r="A6880">
        <f>HYPERLINK("https://www.youtube.com/watch?v=KDe06Dro4rA", "Video")</f>
        <v/>
      </c>
      <c r="B6880" t="inlineStr">
        <is>
          <t>5:33</t>
        </is>
      </c>
      <c r="C6880" t="inlineStr">
        <is>
          <t>Sir, I'm a bit worried about them.</t>
        </is>
      </c>
      <c r="D6880">
        <f>HYPERLINK("https://www.youtube.com/watch?v=KDe06Dro4rA&amp;t=333s", "Go to time")</f>
        <v/>
      </c>
    </row>
    <row r="6881">
      <c r="A6881">
        <f>HYPERLINK("https://www.youtube.com/watch?v=X1OnN5GX_Iw", "Video")</f>
        <v/>
      </c>
      <c r="B6881" t="inlineStr">
        <is>
          <t>2:27</t>
        </is>
      </c>
      <c r="C6881" t="inlineStr">
        <is>
          <t>I used to play it over in my head, and it
was just a little bit different.</t>
        </is>
      </c>
      <c r="D6881">
        <f>HYPERLINK("https://www.youtube.com/watch?v=X1OnN5GX_Iw&amp;t=147s", "Go to time")</f>
        <v/>
      </c>
    </row>
    <row r="6882">
      <c r="A6882">
        <f>HYPERLINK("https://www.youtube.com/watch?v=k_B2QfT74gA", "Video")</f>
        <v/>
      </c>
      <c r="B6882" t="inlineStr">
        <is>
          <t>0:41</t>
        </is>
      </c>
      <c r="C6882" t="inlineStr">
        <is>
          <t>i start freaking out a little bit wait</t>
        </is>
      </c>
      <c r="D6882">
        <f>HYPERLINK("https://www.youtube.com/watch?v=k_B2QfT74gA&amp;t=41s", "Go to time")</f>
        <v/>
      </c>
    </row>
    <row r="6883">
      <c r="A6883">
        <f>HYPERLINK("https://www.youtube.com/watch?v=L3DiAqWR4og", "Video")</f>
        <v/>
      </c>
      <c r="B6883" t="inlineStr">
        <is>
          <t>0:43</t>
        </is>
      </c>
      <c r="C6883" t="inlineStr">
        <is>
          <t>gets an Ace inhibitor with her meal if</t>
        </is>
      </c>
      <c r="D6883">
        <f>HYPERLINK("https://www.youtube.com/watch?v=L3DiAqWR4og&amp;t=43s", "Go to time")</f>
        <v/>
      </c>
    </row>
    <row r="6884">
      <c r="A6884">
        <f>HYPERLINK("https://www.youtube.com/watch?v=L3DiAqWR4og", "Video")</f>
        <v/>
      </c>
      <c r="B6884" t="inlineStr">
        <is>
          <t>1:40</t>
        </is>
      </c>
      <c r="C6884" t="inlineStr">
        <is>
          <t>can see how it would seem a bit like we</t>
        </is>
      </c>
      <c r="D6884">
        <f>HYPERLINK("https://www.youtube.com/watch?v=L3DiAqWR4og&amp;t=100s", "Go to time")</f>
        <v/>
      </c>
    </row>
    <row r="6885">
      <c r="A6885">
        <f>HYPERLINK("https://www.youtube.com/watch?v=L3DiAqWR4og", "Video")</f>
        <v/>
      </c>
      <c r="B6885" t="inlineStr">
        <is>
          <t>2:53</t>
        </is>
      </c>
      <c r="C6885" t="inlineStr">
        <is>
          <t>bit finishing that 5K was the hardest</t>
        </is>
      </c>
      <c r="D6885">
        <f>HYPERLINK("https://www.youtube.com/watch?v=L3DiAqWR4og&amp;t=173s", "Go to time")</f>
        <v/>
      </c>
    </row>
    <row r="6886">
      <c r="A6886">
        <f>HYPERLINK("https://www.youtube.com/watch?v=6yAn7_OY47o", "Video")</f>
        <v/>
      </c>
      <c r="B6886" t="inlineStr">
        <is>
          <t>10:15</t>
        </is>
      </c>
      <c r="C6886" t="inlineStr">
        <is>
          <t>hey my name is tabitha i'm camped out in</t>
        </is>
      </c>
      <c r="D6886">
        <f>HYPERLINK("https://www.youtube.com/watch?v=6yAn7_OY47o&amp;t=615s", "Go to time")</f>
        <v/>
      </c>
    </row>
    <row r="6887">
      <c r="A6887">
        <f>HYPERLINK("https://www.youtube.com/watch?v=htx9t-3NvWM", "Video")</f>
        <v/>
      </c>
      <c r="B6887" t="inlineStr">
        <is>
          <t>2:52</t>
        </is>
      </c>
      <c r="C6887" t="inlineStr">
        <is>
          <t>But, like, you know, I might f*** around a little bit.</t>
        </is>
      </c>
      <c r="D6887">
        <f>HYPERLINK("https://www.youtube.com/watch?v=htx9t-3NvWM&amp;t=172s", "Go to time")</f>
        <v/>
      </c>
    </row>
    <row r="6888">
      <c r="A6888">
        <f>HYPERLINK("https://www.youtube.com/watch?v=VYUY2scgN-Q", "Video")</f>
        <v/>
      </c>
      <c r="B6888" t="inlineStr">
        <is>
          <t>12:02</t>
        </is>
      </c>
      <c r="C6888" t="inlineStr">
        <is>
          <t>gbit</t>
        </is>
      </c>
      <c r="D6888">
        <f>HYPERLINK("https://www.youtube.com/watch?v=VYUY2scgN-Q&amp;t=722s", "Go to time")</f>
        <v/>
      </c>
    </row>
    <row r="6889">
      <c r="A6889">
        <f>HYPERLINK("https://www.youtube.com/watch?v=VYUY2scgN-Q", "Video")</f>
        <v/>
      </c>
      <c r="B6889" t="inlineStr">
        <is>
          <t>12:05</t>
        </is>
      </c>
      <c r="C6889" t="inlineStr">
        <is>
          <t>gbit all natural no dieses is a good</t>
        </is>
      </c>
      <c r="D6889">
        <f>HYPERLINK("https://www.youtube.com/watch?v=VYUY2scgN-Q&amp;t=725s", "Go to time")</f>
        <v/>
      </c>
    </row>
    <row r="6890">
      <c r="A6890">
        <f>HYPERLINK("https://www.youtube.com/watch?v=VYUY2scgN-Q", "Video")</f>
        <v/>
      </c>
      <c r="B6890" t="inlineStr">
        <is>
          <t>12:11</t>
        </is>
      </c>
      <c r="C6890" t="inlineStr">
        <is>
          <t>companies they don't arbitrarily mark up</t>
        </is>
      </c>
      <c r="D6890">
        <f>HYPERLINK("https://www.youtube.com/watch?v=VYUY2scgN-Q&amp;t=731s", "Go to time")</f>
        <v/>
      </c>
    </row>
    <row r="6891">
      <c r="A6891">
        <f>HYPERLINK("https://www.youtube.com/watch?v=uf2yEoXNetg", "Video")</f>
        <v/>
      </c>
      <c r="B6891" t="inlineStr">
        <is>
          <t>1:55</t>
        </is>
      </c>
      <c r="C6891" t="inlineStr">
        <is>
          <t>like a little bit of a slap in the face</t>
        </is>
      </c>
      <c r="D6891">
        <f>HYPERLINK("https://www.youtube.com/watch?v=uf2yEoXNetg&amp;t=115s", "Go to time")</f>
        <v/>
      </c>
    </row>
    <row r="6892">
      <c r="A6892">
        <f>HYPERLINK("https://www.youtube.com/watch?v=t7CNldc_Utc", "Video")</f>
        <v/>
      </c>
      <c r="B6892" t="inlineStr">
        <is>
          <t>0:08</t>
        </is>
      </c>
      <c r="C6892" t="inlineStr">
        <is>
          <t>what can he do on ribbit river</t>
        </is>
      </c>
      <c r="D6892">
        <f>HYPERLINK("https://www.youtube.com/watch?v=t7CNldc_Utc&amp;t=8s", "Go to time")</f>
        <v/>
      </c>
    </row>
    <row r="6893">
      <c r="A6893">
        <f>HYPERLINK("https://www.youtube.com/watch?v=T-pD44QQA8M", "Video")</f>
        <v/>
      </c>
      <c r="B6893" t="inlineStr">
        <is>
          <t>0:19</t>
        </is>
      </c>
      <c r="C6893" t="inlineStr">
        <is>
          <t>bit my rifle</t>
        </is>
      </c>
      <c r="D6893">
        <f>HYPERLINK("https://www.youtube.com/watch?v=T-pD44QQA8M&amp;t=19s", "Go to time")</f>
        <v/>
      </c>
    </row>
    <row r="6894">
      <c r="A6894">
        <f>HYPERLINK("https://www.youtube.com/watch?v=Cno5zogcyU4", "Video")</f>
        <v/>
      </c>
      <c r="B6894" t="inlineStr">
        <is>
          <t>1:57</t>
        </is>
      </c>
      <c r="C6894" t="inlineStr">
        <is>
          <t>And this is gonna hurt a little bit. All</t>
        </is>
      </c>
      <c r="D6894">
        <f>HYPERLINK("https://www.youtube.com/watch?v=Cno5zogcyU4&amp;t=117s", "Go to time")</f>
        <v/>
      </c>
    </row>
    <row r="6895">
      <c r="A6895">
        <f>HYPERLINK("https://www.youtube.com/watch?v=Cno5zogcyU4", "Video")</f>
        <v/>
      </c>
      <c r="B6895" t="inlineStr">
        <is>
          <t>2:28</t>
        </is>
      </c>
      <c r="C6895" t="inlineStr">
        <is>
          <t>to hang out here a little bit longer.</t>
        </is>
      </c>
      <c r="D6895">
        <f>HYPERLINK("https://www.youtube.com/watch?v=Cno5zogcyU4&amp;t=148s", "Go to time")</f>
        <v/>
      </c>
    </row>
    <row r="6896">
      <c r="A6896">
        <f>HYPERLINK("https://www.youtube.com/watch?v=hJ513iLB0CI", "Video")</f>
        <v/>
      </c>
      <c r="B6896" t="inlineStr">
        <is>
          <t>3:00</t>
        </is>
      </c>
      <c r="C6896" t="inlineStr">
        <is>
          <t>a bitching house man you should rent it</t>
        </is>
      </c>
      <c r="D6896">
        <f>HYPERLINK("https://www.youtube.com/watch?v=hJ513iLB0CI&amp;t=180s", "Go to time")</f>
        <v/>
      </c>
    </row>
    <row r="6897">
      <c r="A6897">
        <f>HYPERLINK("https://www.youtube.com/watch?v=4mG4uo0ODO4", "Video")</f>
        <v/>
      </c>
      <c r="B6897" t="inlineStr">
        <is>
          <t>2:33</t>
        </is>
      </c>
      <c r="C6897" t="inlineStr">
        <is>
          <t>little bit?</t>
        </is>
      </c>
      <c r="D6897">
        <f>HYPERLINK("https://www.youtube.com/watch?v=4mG4uo0ODO4&amp;t=153s", "Go to time")</f>
        <v/>
      </c>
    </row>
    <row r="6898">
      <c r="A6898">
        <f>HYPERLINK("https://www.youtube.com/watch?v=4mG4uo0ODO4", "Video")</f>
        <v/>
      </c>
      <c r="B6898" t="inlineStr">
        <is>
          <t>3:49</t>
        </is>
      </c>
      <c r="C6898" t="inlineStr">
        <is>
          <t>But you're not who I'm going to bite.</t>
        </is>
      </c>
      <c r="D6898">
        <f>HYPERLINK("https://www.youtube.com/watch?v=4mG4uo0ODO4&amp;t=229s", "Go to time")</f>
        <v/>
      </c>
    </row>
    <row r="6899">
      <c r="A6899">
        <f>HYPERLINK("https://www.youtube.com/watch?v=jnIHOIATYUM", "Video")</f>
        <v/>
      </c>
      <c r="B6899" t="inlineStr">
        <is>
          <t>3:02</t>
        </is>
      </c>
      <c r="C6899" t="inlineStr">
        <is>
          <t>a decent enough fella but a bit abrasive</t>
        </is>
      </c>
      <c r="D6899">
        <f>HYPERLINK("https://www.youtube.com/watch?v=jnIHOIATYUM&amp;t=182s", "Go to time")</f>
        <v/>
      </c>
    </row>
    <row r="6900">
      <c r="A6900">
        <f>HYPERLINK("https://www.youtube.com/watch?v=AnzdgqpBtZI", "Video")</f>
        <v/>
      </c>
      <c r="B6900" t="inlineStr">
        <is>
          <t>4:17</t>
        </is>
      </c>
      <c r="C6900" t="inlineStr">
        <is>
          <t>What if I tilt it a little bit?</t>
        </is>
      </c>
      <c r="D6900">
        <f>HYPERLINK("https://www.youtube.com/watch?v=AnzdgqpBtZI&amp;t=257s", "Go to time")</f>
        <v/>
      </c>
    </row>
    <row r="6901">
      <c r="A6901">
        <f>HYPERLINK("https://www.youtube.com/watch?v=CM6tVGq5XuI", "Video")</f>
        <v/>
      </c>
      <c r="B6901" t="inlineStr">
        <is>
          <t>1:01</t>
        </is>
      </c>
      <c r="C6901" t="inlineStr">
        <is>
          <t>little bit earlier in the summer</t>
        </is>
      </c>
      <c r="D6901">
        <f>HYPERLINK("https://www.youtube.com/watch?v=CM6tVGq5XuI&amp;t=61s", "Go to time")</f>
        <v/>
      </c>
    </row>
    <row r="6902">
      <c r="A6902">
        <f>HYPERLINK("https://www.youtube.com/watch?v=9JC0JuVqw6U", "Video")</f>
        <v/>
      </c>
      <c r="B6902" t="inlineStr">
        <is>
          <t>3:26</t>
        </is>
      </c>
      <c r="C6902" t="inlineStr">
        <is>
          <t>tasted a little bit like fingernails</t>
        </is>
      </c>
      <c r="D6902">
        <f>HYPERLINK("https://www.youtube.com/watch?v=9JC0JuVqw6U&amp;t=206s", "Go to time")</f>
        <v/>
      </c>
    </row>
    <row r="6903">
      <c r="A6903">
        <f>HYPERLINK("https://www.youtube.com/watch?v=QVGgJqJo50w", "Video")</f>
        <v/>
      </c>
      <c r="B6903" t="inlineStr">
        <is>
          <t>3:45</t>
        </is>
      </c>
      <c r="C6903" t="inlineStr">
        <is>
          <t>i'd expand my horizons a bit uh-huh</t>
        </is>
      </c>
      <c r="D6903">
        <f>HYPERLINK("https://www.youtube.com/watch?v=QVGgJqJo50w&amp;t=225s", "Go to time")</f>
        <v/>
      </c>
    </row>
    <row r="6904">
      <c r="A6904">
        <f>HYPERLINK("https://www.youtube.com/watch?v=fIkNpt92aK4", "Video")</f>
        <v/>
      </c>
      <c r="B6904" t="inlineStr">
        <is>
          <t>5:48</t>
        </is>
      </c>
      <c r="C6904" t="inlineStr">
        <is>
          <t>Would you stop biting that f***ing garbage?</t>
        </is>
      </c>
      <c r="D6904">
        <f>HYPERLINK("https://www.youtube.com/watch?v=fIkNpt92aK4&amp;t=348s", "Go to time")</f>
        <v/>
      </c>
    </row>
    <row r="6905">
      <c r="A6905">
        <f>HYPERLINK("https://www.youtube.com/watch?v=nK7su3Mfc9g", "Video")</f>
        <v/>
      </c>
      <c r="B6905" t="inlineStr">
        <is>
          <t>3:35</t>
        </is>
      </c>
      <c r="C6905" t="inlineStr">
        <is>
          <t>Uh, can you talk
to us a little bit about,</t>
        </is>
      </c>
      <c r="D6905">
        <f>HYPERLINK("https://www.youtube.com/watch?v=nK7su3Mfc9g&amp;t=215s", "Go to time")</f>
        <v/>
      </c>
    </row>
    <row r="6906">
      <c r="A6906">
        <f>HYPERLINK("https://www.youtube.com/watch?v=nK7su3Mfc9g", "Video")</f>
        <v/>
      </c>
      <c r="B6906" t="inlineStr">
        <is>
          <t>27:15</t>
        </is>
      </c>
      <c r="C6906" t="inlineStr">
        <is>
          <t>that was actually
the real fun bit.</t>
        </is>
      </c>
      <c r="D6906">
        <f>HYPERLINK("https://www.youtube.com/watch?v=nK7su3Mfc9g&amp;t=1635s", "Go to time")</f>
        <v/>
      </c>
    </row>
    <row r="6907">
      <c r="A6907">
        <f>HYPERLINK("https://www.youtube.com/watch?v=nK7su3Mfc9g", "Video")</f>
        <v/>
      </c>
      <c r="B6907" t="inlineStr">
        <is>
          <t>35:38</t>
        </is>
      </c>
      <c r="C6907" t="inlineStr">
        <is>
          <t>And I think both of
them, there's a bit of</t>
        </is>
      </c>
      <c r="D6907">
        <f>HYPERLINK("https://www.youtube.com/watch?v=nK7su3Mfc9g&amp;t=2138s", "Go to time")</f>
        <v/>
      </c>
    </row>
    <row r="6908">
      <c r="A6908">
        <f>HYPERLINK("https://www.youtube.com/watch?v=g5sHrvJ3r_g", "Video")</f>
        <v/>
      </c>
      <c r="B6908" t="inlineStr">
        <is>
          <t>1:23</t>
        </is>
      </c>
      <c r="C6908" t="inlineStr">
        <is>
          <t>and a bit of breeze caught the top</t>
        </is>
      </c>
      <c r="D6908">
        <f>HYPERLINK("https://www.youtube.com/watch?v=g5sHrvJ3r_g&amp;t=83s", "Go to time")</f>
        <v/>
      </c>
    </row>
    <row r="6909">
      <c r="A6909">
        <f>HYPERLINK("https://www.youtube.com/watch?v=JQyX-EZq4hk", "Video")</f>
        <v/>
      </c>
      <c r="B6909" t="inlineStr">
        <is>
          <t>1:25</t>
        </is>
      </c>
      <c r="C6909" t="inlineStr">
        <is>
          <t>little bit further distance</t>
        </is>
      </c>
      <c r="D6909">
        <f>HYPERLINK("https://www.youtube.com/watch?v=JQyX-EZq4hk&amp;t=85s", "Go to time")</f>
        <v/>
      </c>
    </row>
    <row r="6910">
      <c r="A6910">
        <f>HYPERLINK("https://www.youtube.com/watch?v=JQyX-EZq4hk", "Video")</f>
        <v/>
      </c>
      <c r="B6910" t="inlineStr">
        <is>
          <t>2:41</t>
        </is>
      </c>
      <c r="C6910" t="inlineStr">
        <is>
          <t>just dirty it up a little bit let's put</t>
        </is>
      </c>
      <c r="D6910">
        <f>HYPERLINK("https://www.youtube.com/watch?v=JQyX-EZq4hk&amp;t=161s", "Go to time")</f>
        <v/>
      </c>
    </row>
    <row r="6911">
      <c r="A6911">
        <f>HYPERLINK("https://www.youtube.com/watch?v=5gCwCnJCfhc", "Video")</f>
        <v/>
      </c>
      <c r="B6911" t="inlineStr">
        <is>
          <t>1:20</t>
        </is>
      </c>
      <c r="C6911" t="inlineStr">
        <is>
          <t>daughter's biting spree if they didn't</t>
        </is>
      </c>
      <c r="D6911">
        <f>HYPERLINK("https://www.youtube.com/watch?v=5gCwCnJCfhc&amp;t=80s", "Go to time")</f>
        <v/>
      </c>
    </row>
    <row r="6912">
      <c r="A6912">
        <f>HYPERLINK("https://www.youtube.com/watch?v=i7p-OaPL3to", "Video")</f>
        <v/>
      </c>
      <c r="B6912" t="inlineStr">
        <is>
          <t>3:11</t>
        </is>
      </c>
      <c r="C6912" t="inlineStr">
        <is>
          <t>up a little bit you said that was</t>
        </is>
      </c>
      <c r="D6912">
        <f>HYPERLINK("https://www.youtube.com/watch?v=i7p-OaPL3to&amp;t=191s", "Go to time")</f>
        <v/>
      </c>
    </row>
    <row r="6913">
      <c r="A6913">
        <f>HYPERLINK("https://www.youtube.com/watch?v=AYI3yRFxPa8", "Video")</f>
        <v/>
      </c>
      <c r="B6913" t="inlineStr">
        <is>
          <t>0:02</t>
        </is>
      </c>
      <c r="C6913" t="inlineStr">
        <is>
          <t>out a little bit. You want to come with</t>
        </is>
      </c>
      <c r="D6913">
        <f>HYPERLINK("https://www.youtube.com/watch?v=AYI3yRFxPa8&amp;t=2s", "Go to time")</f>
        <v/>
      </c>
    </row>
    <row r="6914">
      <c r="A6914">
        <f>HYPERLINK("https://www.youtube.com/watch?v=cAjw_Eihbt4", "Video")</f>
        <v/>
      </c>
      <c r="B6914" t="inlineStr">
        <is>
          <t>2:25</t>
        </is>
      </c>
      <c r="C6914" t="inlineStr">
        <is>
          <t>are young young ambitious</t>
        </is>
      </c>
      <c r="D6914">
        <f>HYPERLINK("https://www.youtube.com/watch?v=cAjw_Eihbt4&amp;t=145s", "Go to time")</f>
        <v/>
      </c>
    </row>
    <row r="6915">
      <c r="A6915">
        <f>HYPERLINK("https://www.youtube.com/watch?v=4L6FVun4LwY", "Video")</f>
        <v/>
      </c>
      <c r="B6915" t="inlineStr">
        <is>
          <t>0:23</t>
        </is>
      </c>
      <c r="C6915" t="inlineStr">
        <is>
          <t>a bit more beautiful thing it's cold</t>
        </is>
      </c>
      <c r="D6915">
        <f>HYPERLINK("https://www.youtube.com/watch?v=4L6FVun4LwY&amp;t=23s", "Go to time")</f>
        <v/>
      </c>
    </row>
    <row r="6916">
      <c r="A6916">
        <f>HYPERLINK("https://www.youtube.com/watch?v=TUeFC0_TOkY", "Video")</f>
        <v/>
      </c>
      <c r="B6916" t="inlineStr">
        <is>
          <t>3:08</t>
        </is>
      </c>
      <c r="C6916" t="inlineStr">
        <is>
          <t>It stands a little bit taller.</t>
        </is>
      </c>
      <c r="D6916">
        <f>HYPERLINK("https://www.youtube.com/watch?v=TUeFC0_TOkY&amp;t=188s", "Go to time")</f>
        <v/>
      </c>
    </row>
    <row r="6917">
      <c r="A6917">
        <f>HYPERLINK("https://www.youtube.com/watch?v=KNV7PIV9AoE", "Video")</f>
        <v/>
      </c>
      <c r="B6917" t="inlineStr">
        <is>
          <t>0:23</t>
        </is>
      </c>
      <c r="C6917" t="inlineStr">
        <is>
          <t>And oh, interesting tidbit.</t>
        </is>
      </c>
      <c r="D6917">
        <f>HYPERLINK("https://www.youtube.com/watch?v=KNV7PIV9AoE&amp;t=23s", "Go to time")</f>
        <v/>
      </c>
    </row>
    <row r="6918">
      <c r="A6918">
        <f>HYPERLINK("https://www.youtube.com/watch?v=NHBYB9oX4To", "Video")</f>
        <v/>
      </c>
      <c r="B6918" t="inlineStr">
        <is>
          <t>1:06</t>
        </is>
      </c>
      <c r="C6918" t="inlineStr">
        <is>
          <t>I. The headstone was a little bit loose, you
know, the headstone was a little bit loose.</t>
        </is>
      </c>
      <c r="D6918">
        <f>HYPERLINK("https://www.youtube.com/watch?v=NHBYB9oX4To&amp;t=66s", "Go to time")</f>
        <v/>
      </c>
    </row>
    <row r="6919">
      <c r="A6919">
        <f>HYPERLINK("https://www.youtube.com/watch?v=Zh-E0qCgMzc", "Video")</f>
        <v/>
      </c>
      <c r="B6919" t="inlineStr">
        <is>
          <t>6:46</t>
        </is>
      </c>
      <c r="C6919" t="inlineStr">
        <is>
          <t>that camera and get a little bit better</t>
        </is>
      </c>
      <c r="D6919">
        <f>HYPERLINK("https://www.youtube.com/watch?v=Zh-E0qCgMzc&amp;t=406s", "Go to time")</f>
        <v/>
      </c>
    </row>
    <row r="6920">
      <c r="A6920">
        <f>HYPERLINK("https://www.youtube.com/watch?v=yGCu7fIgAbQ", "Video")</f>
        <v/>
      </c>
      <c r="B6920" t="inlineStr">
        <is>
          <t>1:24</t>
        </is>
      </c>
      <c r="C6920" t="inlineStr">
        <is>
          <t>a living i do a little bit of everything</t>
        </is>
      </c>
      <c r="D6920">
        <f>HYPERLINK("https://www.youtube.com/watch?v=yGCu7fIgAbQ&amp;t=84s", "Go to time")</f>
        <v/>
      </c>
    </row>
    <row r="6921">
      <c r="A6921">
        <f>HYPERLINK("https://www.youtube.com/watch?v=yGCu7fIgAbQ", "Video")</f>
        <v/>
      </c>
      <c r="B6921" t="inlineStr">
        <is>
          <t>1:28</t>
        </is>
      </c>
      <c r="C6921" t="inlineStr">
        <is>
          <t>little bit dangerous oh i like your</t>
        </is>
      </c>
      <c r="D6921">
        <f>HYPERLINK("https://www.youtube.com/watch?v=yGCu7fIgAbQ&amp;t=88s", "Go to time")</f>
        <v/>
      </c>
    </row>
    <row r="6922">
      <c r="A6922">
        <f>HYPERLINK("https://www.youtube.com/watch?v=yGCu7fIgAbQ", "Video")</f>
        <v/>
      </c>
      <c r="B6922" t="inlineStr">
        <is>
          <t>15:43</t>
        </is>
      </c>
      <c r="C6922" t="inlineStr">
        <is>
          <t>just a tiny bit oh okay</t>
        </is>
      </c>
      <c r="D6922">
        <f>HYPERLINK("https://www.youtube.com/watch?v=yGCu7fIgAbQ&amp;t=943s", "Go to time")</f>
        <v/>
      </c>
    </row>
    <row r="6923">
      <c r="A6923">
        <f>HYPERLINK("https://www.youtube.com/watch?v=w42QmckgcUo", "Video")</f>
        <v/>
      </c>
      <c r="B6923" t="inlineStr">
        <is>
          <t>3:02</t>
        </is>
      </c>
      <c r="C6923" t="inlineStr">
        <is>
          <t>who are you ambitious teen who are you</t>
        </is>
      </c>
      <c r="D6923">
        <f>HYPERLINK("https://www.youtube.com/watch?v=w42QmckgcUo&amp;t=182s", "Go to time")</f>
        <v/>
      </c>
    </row>
    <row r="6924">
      <c r="A6924">
        <f>HYPERLINK("https://www.youtube.com/watch?v=w42QmckgcUo", "Video")</f>
        <v/>
      </c>
      <c r="B6924" t="inlineStr">
        <is>
          <t>3:11</t>
        </is>
      </c>
      <c r="C6924" t="inlineStr">
        <is>
          <t>human troubled ambitious broken</t>
        </is>
      </c>
      <c r="D6924">
        <f>HYPERLINK("https://www.youtube.com/watch?v=w42QmckgcUo&amp;t=191s", "Go to time")</f>
        <v/>
      </c>
    </row>
    <row r="6925">
      <c r="A6925">
        <f>HYPERLINK("https://www.youtube.com/watch?v=KnUONCZXWs4", "Video")</f>
        <v/>
      </c>
      <c r="B6925" t="inlineStr">
        <is>
          <t>3:42</t>
        </is>
      </c>
      <c r="C6925" t="inlineStr">
        <is>
          <t>That bitch.</t>
        </is>
      </c>
      <c r="D6925">
        <f>HYPERLINK("https://www.youtube.com/watch?v=KnUONCZXWs4&amp;t=222s", "Go to time")</f>
        <v/>
      </c>
    </row>
    <row r="6926">
      <c r="A6926">
        <f>HYPERLINK("https://www.youtube.com/watch?v=KnUONCZXWs4", "Video")</f>
        <v/>
      </c>
      <c r="B6926" t="inlineStr">
        <is>
          <t>4:53</t>
        </is>
      </c>
      <c r="C6926" t="inlineStr">
        <is>
          <t>- Rob, I've been vindicated
at least a little bit.</t>
        </is>
      </c>
      <c r="D6926">
        <f>HYPERLINK("https://www.youtube.com/watch?v=KnUONCZXWs4&amp;t=293s", "Go to time")</f>
        <v/>
      </c>
    </row>
    <row r="6927">
      <c r="A6927">
        <f>HYPERLINK("https://www.youtube.com/watch?v=rXDraCSr5lw", "Video")</f>
        <v/>
      </c>
      <c r="B6927" t="inlineStr">
        <is>
          <t>2:25</t>
        </is>
      </c>
      <c r="C6927" t="inlineStr">
        <is>
          <t>too obvious a little bit</t>
        </is>
      </c>
      <c r="D6927">
        <f>HYPERLINK("https://www.youtube.com/watch?v=rXDraCSr5lw&amp;t=145s", "Go to time")</f>
        <v/>
      </c>
    </row>
    <row r="6928">
      <c r="A6928">
        <f>HYPERLINK("https://www.youtube.com/watch?v=_FHeF_8JFYY", "Video")</f>
        <v/>
      </c>
      <c r="B6928" t="inlineStr">
        <is>
          <t>0:11</t>
        </is>
      </c>
      <c r="C6928" t="inlineStr">
        <is>
          <t>little bit harder on Brin because Brinn</t>
        </is>
      </c>
      <c r="D6928">
        <f>HYPERLINK("https://www.youtube.com/watch?v=_FHeF_8JFYY&amp;t=11s", "Go to time")</f>
        <v/>
      </c>
    </row>
    <row r="6929">
      <c r="A6929">
        <f>HYPERLINK("https://www.youtube.com/watch?v=_FHeF_8JFYY", "Video")</f>
        <v/>
      </c>
      <c r="B6929" t="inlineStr">
        <is>
          <t>2:46</t>
        </is>
      </c>
      <c r="C6929" t="inlineStr">
        <is>
          <t>bit more about uba's boyfriend where he</t>
        </is>
      </c>
      <c r="D6929">
        <f>HYPERLINK("https://www.youtube.com/watch?v=_FHeF_8JFYY&amp;t=166s", "Go to time")</f>
        <v/>
      </c>
    </row>
    <row r="6930">
      <c r="A6930">
        <f>HYPERLINK("https://www.youtube.com/watch?v=RSGFWVjVWyg", "Video")</f>
        <v/>
      </c>
      <c r="B6930" t="inlineStr">
        <is>
          <t>2:05</t>
        </is>
      </c>
      <c r="C6930" t="inlineStr">
        <is>
          <t>be treated with a bit of dignity and</t>
        </is>
      </c>
      <c r="D6930">
        <f>HYPERLINK("https://www.youtube.com/watch?v=RSGFWVjVWyg&amp;t=125s", "Go to time")</f>
        <v/>
      </c>
    </row>
    <row r="6931">
      <c r="A6931">
        <f>HYPERLINK("https://www.youtube.com/watch?v=NulsTP3Xi3c", "Video")</f>
        <v/>
      </c>
      <c r="B6931" t="inlineStr">
        <is>
          <t>1:11</t>
        </is>
      </c>
      <c r="C6931" t="inlineStr">
        <is>
          <t>i always thought it was a bit sniffy</t>
        </is>
      </c>
      <c r="D6931">
        <f>HYPERLINK("https://www.youtube.com/watch?v=NulsTP3Xi3c&amp;t=71s", "Go to time")</f>
        <v/>
      </c>
    </row>
    <row r="6932">
      <c r="A6932">
        <f>HYPERLINK("https://www.youtube.com/watch?v=CcqY18oyHYI", "Video")</f>
        <v/>
      </c>
      <c r="B6932" t="inlineStr">
        <is>
          <t>0:51</t>
        </is>
      </c>
      <c r="C6932" t="inlineStr">
        <is>
          <t>bit too much right away on the morning</t>
        </is>
      </c>
      <c r="D6932">
        <f>HYPERLINK("https://www.youtube.com/watch?v=CcqY18oyHYI&amp;t=51s", "Go to time")</f>
        <v/>
      </c>
    </row>
    <row r="6933">
      <c r="A6933">
        <f>HYPERLINK("https://www.youtube.com/watch?v=CcqY18oyHYI", "Video")</f>
        <v/>
      </c>
      <c r="B6933" t="inlineStr">
        <is>
          <t>2:23</t>
        </is>
      </c>
      <c r="C6933" t="inlineStr">
        <is>
          <t>flipping down the rabbit hole so why</t>
        </is>
      </c>
      <c r="D6933">
        <f>HYPERLINK("https://www.youtube.com/watch?v=CcqY18oyHYI&amp;t=143s", "Go to time")</f>
        <v/>
      </c>
    </row>
    <row r="6934">
      <c r="A6934">
        <f>HYPERLINK("https://www.youtube.com/watch?v=CcqY18oyHYI", "Video")</f>
        <v/>
      </c>
      <c r="B6934" t="inlineStr">
        <is>
          <t>4:10</t>
        </is>
      </c>
      <c r="C6934" t="inlineStr">
        <is>
          <t>prohibition oh you're gonna love it as</t>
        </is>
      </c>
      <c r="D6934">
        <f>HYPERLINK("https://www.youtube.com/watch?v=CcqY18oyHYI&amp;t=250s", "Go to time")</f>
        <v/>
      </c>
    </row>
    <row r="6935">
      <c r="A6935">
        <f>HYPERLINK("https://www.youtube.com/watch?v=CcqY18oyHYI", "Video")</f>
        <v/>
      </c>
      <c r="B6935" t="inlineStr">
        <is>
          <t>4:24</t>
        </is>
      </c>
      <c r="C6935" t="inlineStr">
        <is>
          <t>bit let's have fun let's drink them</t>
        </is>
      </c>
      <c r="D6935">
        <f>HYPERLINK("https://www.youtube.com/watch?v=CcqY18oyHYI&amp;t=264s", "Go to time")</f>
        <v/>
      </c>
    </row>
    <row r="6936">
      <c r="A6936">
        <f>HYPERLINK("https://www.youtube.com/watch?v=C8SPx-CDKAs", "Video")</f>
        <v/>
      </c>
      <c r="B6936" t="inlineStr">
        <is>
          <t>4:31</t>
        </is>
      </c>
      <c r="C6936" t="inlineStr">
        <is>
          <t>the bite. And it still doesn't explain how</t>
        </is>
      </c>
      <c r="D6936">
        <f>HYPERLINK("https://www.youtube.com/watch?v=C8SPx-CDKAs&amp;t=271s", "Go to time")</f>
        <v/>
      </c>
    </row>
    <row r="6937">
      <c r="A6937">
        <f>HYPERLINK("https://www.youtube.com/watch?v=kJAvftMALZU", "Video")</f>
        <v/>
      </c>
      <c r="B6937" t="inlineStr">
        <is>
          <t>3:43</t>
        </is>
      </c>
      <c r="C6937" t="inlineStr">
        <is>
          <t>couldn't even give that little bit of joy.</t>
        </is>
      </c>
      <c r="D6937">
        <f>HYPERLINK("https://www.youtube.com/watch?v=kJAvftMALZU&amp;t=223s", "Go to time")</f>
        <v/>
      </c>
    </row>
    <row r="6938">
      <c r="A6938">
        <f>HYPERLINK("https://www.youtube.com/watch?v=D83Jt56nnGI", "Video")</f>
        <v/>
      </c>
      <c r="B6938" t="inlineStr">
        <is>
          <t>4:15</t>
        </is>
      </c>
      <c r="C6938" t="inlineStr">
        <is>
          <t>I love you. I'll see you in a bit.</t>
        </is>
      </c>
      <c r="D6938">
        <f>HYPERLINK("https://www.youtube.com/watch?v=D83Jt56nnGI&amp;t=255s", "Go to time")</f>
        <v/>
      </c>
    </row>
    <row r="6939">
      <c r="A6939">
        <f>HYPERLINK("https://www.youtube.com/watch?v=y26gnIfc--o", "Video")</f>
        <v/>
      </c>
      <c r="B6939" t="inlineStr">
        <is>
          <t>2:05</t>
        </is>
      </c>
      <c r="C6939" t="inlineStr">
        <is>
          <t>i just peed my pants a little bit dan</t>
        </is>
      </c>
      <c r="D6939">
        <f>HYPERLINK("https://www.youtube.com/watch?v=y26gnIfc--o&amp;t=125s", "Go to time")</f>
        <v/>
      </c>
    </row>
    <row r="6940">
      <c r="A6940">
        <f>HYPERLINK("https://www.youtube.com/watch?v=Br5LWd8s2YQ", "Video")</f>
        <v/>
      </c>
      <c r="B6940" t="inlineStr">
        <is>
          <t>4:17</t>
        </is>
      </c>
      <c r="C6940" t="inlineStr">
        <is>
          <t>ambition get in her way then why did you</t>
        </is>
      </c>
      <c r="D6940">
        <f>HYPERLINK("https://www.youtube.com/watch?v=Br5LWd8s2YQ&amp;t=257s", "Go to time")</f>
        <v/>
      </c>
    </row>
    <row r="6941">
      <c r="A6941">
        <f>HYPERLINK("https://www.youtube.com/watch?v=4vK1CBk-8Ag", "Video")</f>
        <v/>
      </c>
      <c r="B6941" t="inlineStr">
        <is>
          <t>2:13</t>
        </is>
      </c>
      <c r="C6941" t="inlineStr">
        <is>
          <t>you mouse bite</t>
        </is>
      </c>
      <c r="D6941">
        <f>HYPERLINK("https://www.youtube.com/watch?v=4vK1CBk-8Ag&amp;t=133s", "Go to time")</f>
        <v/>
      </c>
    </row>
    <row r="6942">
      <c r="A6942">
        <f>HYPERLINK("https://www.youtube.com/watch?v=zfGlNOnLhRM", "Video")</f>
        <v/>
      </c>
      <c r="B6942" t="inlineStr">
        <is>
          <t>2:52</t>
        </is>
      </c>
      <c r="C6942" t="inlineStr">
        <is>
          <t>a little bit not fully</t>
        </is>
      </c>
      <c r="D6942">
        <f>HYPERLINK("https://www.youtube.com/watch?v=zfGlNOnLhRM&amp;t=172s", "Go to time")</f>
        <v/>
      </c>
    </row>
    <row r="6943">
      <c r="A6943">
        <f>HYPERLINK("https://www.youtube.com/watch?v=ySrHPhwE6ag", "Video")</f>
        <v/>
      </c>
      <c r="B6943" t="inlineStr">
        <is>
          <t>0:40</t>
        </is>
      </c>
      <c r="C6943" t="inlineStr">
        <is>
          <t>Eating my vegetables or
hiking a little bit.</t>
        </is>
      </c>
      <c r="D6943">
        <f>HYPERLINK("https://www.youtube.com/watch?v=ySrHPhwE6ag&amp;t=40s", "Go to time")</f>
        <v/>
      </c>
    </row>
    <row r="6944">
      <c r="A6944">
        <f>HYPERLINK("https://www.youtube.com/watch?v=ySrHPhwE6ag", "Video")</f>
        <v/>
      </c>
      <c r="B6944" t="inlineStr">
        <is>
          <t>1:08</t>
        </is>
      </c>
      <c r="C6944" t="inlineStr">
        <is>
          <t>Hit it, Bitch!</t>
        </is>
      </c>
      <c r="D6944">
        <f>HYPERLINK("https://www.youtube.com/watch?v=ySrHPhwE6ag&amp;t=68s", "Go to time")</f>
        <v/>
      </c>
    </row>
    <row r="6945">
      <c r="A6945">
        <f>HYPERLINK("https://www.youtube.com/watch?v=3k1pK0N4EJk", "Video")</f>
        <v/>
      </c>
      <c r="B6945" t="inlineStr">
        <is>
          <t>0:27</t>
        </is>
      </c>
      <c r="C6945" t="inlineStr">
        <is>
          <t>always in a bit it's i it can't help it</t>
        </is>
      </c>
      <c r="D6945">
        <f>HYPERLINK("https://www.youtube.com/watch?v=3k1pK0N4EJk&amp;t=27s", "Go to time")</f>
        <v/>
      </c>
    </row>
    <row r="6946">
      <c r="A6946">
        <f>HYPERLINK("https://www.youtube.com/watch?v=yieDjqwA3Rk", "Video")</f>
        <v/>
      </c>
      <c r="B6946" t="inlineStr">
        <is>
          <t>3:06</t>
        </is>
      </c>
      <c r="C6946" t="inlineStr">
        <is>
          <t>little bit it was kind of traumatic the</t>
        </is>
      </c>
      <c r="D6946">
        <f>HYPERLINK("https://www.youtube.com/watch?v=yieDjqwA3Rk&amp;t=186s", "Go to time")</f>
        <v/>
      </c>
    </row>
    <row r="6947">
      <c r="A6947">
        <f>HYPERLINK("https://www.youtube.com/watch?v=jyG7bJVqXpw", "Video")</f>
        <v/>
      </c>
      <c r="B6947" t="inlineStr">
        <is>
          <t>0:22</t>
        </is>
      </c>
      <c r="C6947" t="inlineStr">
        <is>
          <t>only a tiny bit of it</t>
        </is>
      </c>
      <c r="D6947">
        <f>HYPERLINK("https://www.youtube.com/watch?v=jyG7bJVqXpw&amp;t=22s", "Go to time")</f>
        <v/>
      </c>
    </row>
    <row r="6948">
      <c r="A6948">
        <f>HYPERLINK("https://www.youtube.com/watch?v=gAwG2BjS4B4", "Video")</f>
        <v/>
      </c>
      <c r="B6948" t="inlineStr">
        <is>
          <t>4:58</t>
        </is>
      </c>
      <c r="C6948" t="inlineStr">
        <is>
          <t>drake has a bit of a rash and he's hot</t>
        </is>
      </c>
      <c r="D6948">
        <f>HYPERLINK("https://www.youtube.com/watch?v=gAwG2BjS4B4&amp;t=298s", "Go to time")</f>
        <v/>
      </c>
    </row>
    <row r="6949">
      <c r="A6949">
        <f>HYPERLINK("https://www.youtube.com/watch?v=Af8X0vPlL-8", "Video")</f>
        <v/>
      </c>
      <c r="B6949" t="inlineStr">
        <is>
          <t>3:56</t>
        </is>
      </c>
      <c r="C6949" t="inlineStr">
        <is>
          <t>little bit dirty over the front exactly</t>
        </is>
      </c>
      <c r="D6949">
        <f>HYPERLINK("https://www.youtube.com/watch?v=Af8X0vPlL-8&amp;t=236s", "Go to time")</f>
        <v/>
      </c>
    </row>
    <row r="6950">
      <c r="A6950">
        <f>HYPERLINK("https://www.youtube.com/watch?v=Jjp7opmpNMw", "Video")</f>
        <v/>
      </c>
      <c r="B6950" t="inlineStr">
        <is>
          <t>0:19</t>
        </is>
      </c>
      <c r="C6950" t="inlineStr">
        <is>
          <t>bit of a break.</t>
        </is>
      </c>
      <c r="D6950">
        <f>HYPERLINK("https://www.youtube.com/watch?v=Jjp7opmpNMw&amp;t=19s", "Go to time")</f>
        <v/>
      </c>
    </row>
    <row r="6951">
      <c r="A6951">
        <f>HYPERLINK("https://www.youtube.com/watch?v=Jjp7opmpNMw", "Video")</f>
        <v/>
      </c>
      <c r="B6951" t="inlineStr">
        <is>
          <t>3:28</t>
        </is>
      </c>
      <c r="C6951" t="inlineStr">
        <is>
          <t>I hope you die in there, you bitch.</t>
        </is>
      </c>
      <c r="D6951">
        <f>HYPERLINK("https://www.youtube.com/watch?v=Jjp7opmpNMw&amp;t=208s", "Go to time")</f>
        <v/>
      </c>
    </row>
    <row r="6952">
      <c r="A6952">
        <f>HYPERLINK("https://www.youtube.com/watch?v=0OlxmaPZeO0", "Video")</f>
        <v/>
      </c>
      <c r="B6952" t="inlineStr">
        <is>
          <t>1:07</t>
        </is>
      </c>
      <c r="C6952" t="inlineStr">
        <is>
          <t>light off that was actually a bit that</t>
        </is>
      </c>
      <c r="D6952">
        <f>HYPERLINK("https://www.youtube.com/watch?v=0OlxmaPZeO0&amp;t=67s", "Go to time")</f>
        <v/>
      </c>
    </row>
    <row r="6953">
      <c r="A6953">
        <f>HYPERLINK("https://www.youtube.com/watch?v=OWtb-69kb9Q", "Video")</f>
        <v/>
      </c>
      <c r="B6953" t="inlineStr">
        <is>
          <t>3:24</t>
        </is>
      </c>
      <c r="C6953" t="inlineStr">
        <is>
          <t>And unless Nicole Bitchie here wants me to call her parents and tell them she lied, I better go.</t>
        </is>
      </c>
      <c r="D6953">
        <f>HYPERLINK("https://www.youtube.com/watch?v=OWtb-69kb9Q&amp;t=204s", "Go to time")</f>
        <v/>
      </c>
    </row>
    <row r="6954">
      <c r="A6954">
        <f>HYPERLINK("https://www.youtube.com/watch?v=UjxR59EKHxM", "Video")</f>
        <v/>
      </c>
      <c r="B6954" t="inlineStr">
        <is>
          <t>2:50</t>
        </is>
      </c>
      <c r="C6954" t="inlineStr">
        <is>
          <t>that's what she wanted a little bit slow</t>
        </is>
      </c>
      <c r="D6954">
        <f>HYPERLINK("https://www.youtube.com/watch?v=UjxR59EKHxM&amp;t=170s", "Go to time")</f>
        <v/>
      </c>
    </row>
    <row r="6955">
      <c r="A6955">
        <f>HYPERLINK("https://www.youtube.com/watch?v=F3DE90LpcjA", "Video")</f>
        <v/>
      </c>
      <c r="B6955" t="inlineStr">
        <is>
          <t>0:04</t>
        </is>
      </c>
      <c r="C6955" t="inlineStr">
        <is>
          <t>i guess i'm a bit superstitious</t>
        </is>
      </c>
      <c r="D6955">
        <f>HYPERLINK("https://www.youtube.com/watch?v=F3DE90LpcjA&amp;t=4s", "Go to time")</f>
        <v/>
      </c>
    </row>
    <row r="6956">
      <c r="A6956">
        <f>HYPERLINK("https://www.youtube.com/watch?v=X7iKlayKIf8", "Video")</f>
        <v/>
      </c>
      <c r="B6956" t="inlineStr">
        <is>
          <t>2:47</t>
        </is>
      </c>
      <c r="C6956" t="inlineStr">
        <is>
          <t>he's a bit of a jerk</t>
        </is>
      </c>
      <c r="D6956">
        <f>HYPERLINK("https://www.youtube.com/watch?v=X7iKlayKIf8&amp;t=167s", "Go to time")</f>
        <v/>
      </c>
    </row>
    <row r="6957">
      <c r="A6957">
        <f>HYPERLINK("https://www.youtube.com/watch?v=9RmuXOYRWsc", "Video")</f>
        <v/>
      </c>
      <c r="B6957" t="inlineStr">
        <is>
          <t>2:52</t>
        </is>
      </c>
      <c r="C6957" t="inlineStr">
        <is>
          <t>prohibitions on black gis using those</t>
        </is>
      </c>
      <c r="D6957">
        <f>HYPERLINK("https://www.youtube.com/watch?v=9RmuXOYRWsc&amp;t=172s", "Go to time")</f>
        <v/>
      </c>
    </row>
    <row r="6958">
      <c r="A6958">
        <f>HYPERLINK("https://www.youtube.com/watch?v=9v9A7Y1KRZU", "Video")</f>
        <v/>
      </c>
      <c r="B6958" t="inlineStr">
        <is>
          <t>1:30</t>
        </is>
      </c>
      <c r="C6958" t="inlineStr">
        <is>
          <t>course you're gonna lose quite a bit by</t>
        </is>
      </c>
      <c r="D6958">
        <f>HYPERLINK("https://www.youtube.com/watch?v=9v9A7Y1KRZU&amp;t=90s", "Go to time")</f>
        <v/>
      </c>
    </row>
    <row r="6959">
      <c r="A6959">
        <f>HYPERLINK("https://www.youtube.com/watch?v=9v9A7Y1KRZU", "Video")</f>
        <v/>
      </c>
      <c r="B6959" t="inlineStr">
        <is>
          <t>2:01</t>
        </is>
      </c>
      <c r="C6959" t="inlineStr">
        <is>
          <t>liposuction i had a bit of a muffin top</t>
        </is>
      </c>
      <c r="D6959">
        <f>HYPERLINK("https://www.youtube.com/watch?v=9v9A7Y1KRZU&amp;t=121s", "Go to time")</f>
        <v/>
      </c>
    </row>
    <row r="6960">
      <c r="A6960">
        <f>HYPERLINK("https://www.youtube.com/watch?v=GeYjbsp1yJ8", "Video")</f>
        <v/>
      </c>
      <c r="B6960" t="inlineStr">
        <is>
          <t>2:04</t>
        </is>
      </c>
      <c r="C6960" t="inlineStr">
        <is>
          <t>down to me a little bit you know like</t>
        </is>
      </c>
      <c r="D6960">
        <f>HYPERLINK("https://www.youtube.com/watch?v=GeYjbsp1yJ8&amp;t=124s", "Go to time")</f>
        <v/>
      </c>
    </row>
    <row r="6961">
      <c r="A6961">
        <f>HYPERLINK("https://www.youtube.com/watch?v=GeYjbsp1yJ8", "Video")</f>
        <v/>
      </c>
      <c r="B6961" t="inlineStr">
        <is>
          <t>3:15</t>
        </is>
      </c>
      <c r="C6961" t="inlineStr">
        <is>
          <t>Swang a little bit too far the other way</t>
        </is>
      </c>
      <c r="D6961">
        <f>HYPERLINK("https://www.youtube.com/watch?v=GeYjbsp1yJ8&amp;t=195s", "Go to time")</f>
        <v/>
      </c>
    </row>
    <row r="6962">
      <c r="A6962">
        <f>HYPERLINK("https://www.youtube.com/watch?v=OOEd6AyXQCU", "Video")</f>
        <v/>
      </c>
      <c r="B6962" t="inlineStr">
        <is>
          <t>0:57</t>
        </is>
      </c>
      <c r="C6962" t="inlineStr">
        <is>
          <t>sound bite. I think he's mastered the art of</t>
        </is>
      </c>
      <c r="D6962">
        <f>HYPERLINK("https://www.youtube.com/watch?v=OOEd6AyXQCU&amp;t=57s", "Go to time")</f>
        <v/>
      </c>
    </row>
    <row r="6963">
      <c r="A6963">
        <f>HYPERLINK("https://www.youtube.com/watch?v=ZULcbeLUREI", "Video")</f>
        <v/>
      </c>
      <c r="B6963" t="inlineStr">
        <is>
          <t>1:06</t>
        </is>
      </c>
      <c r="C6963" t="inlineStr">
        <is>
          <t>was a little bit of everything that i do</t>
        </is>
      </c>
      <c r="D6963">
        <f>HYPERLINK("https://www.youtube.com/watch?v=ZULcbeLUREI&amp;t=66s", "Go to time")</f>
        <v/>
      </c>
    </row>
    <row r="6964">
      <c r="A6964">
        <f>HYPERLINK("https://www.youtube.com/watch?v=ZULcbeLUREI", "Video")</f>
        <v/>
      </c>
      <c r="B6964" t="inlineStr">
        <is>
          <t>1:21</t>
        </is>
      </c>
      <c r="C6964" t="inlineStr">
        <is>
          <t>could give a little bit of everything it</t>
        </is>
      </c>
      <c r="D6964">
        <f>HYPERLINK("https://www.youtube.com/watch?v=ZULcbeLUREI&amp;t=81s", "Go to time")</f>
        <v/>
      </c>
    </row>
    <row r="6965">
      <c r="A6965">
        <f>HYPERLINK("https://www.youtube.com/watch?v=7PU8ABab1R8", "Video")</f>
        <v/>
      </c>
      <c r="B6965" t="inlineStr">
        <is>
          <t>4:50</t>
        </is>
      </c>
      <c r="C6965" t="inlineStr">
        <is>
          <t>and she pulled on my heartstrings a little bit.</t>
        </is>
      </c>
      <c r="D6965">
        <f>HYPERLINK("https://www.youtube.com/watch?v=7PU8ABab1R8&amp;t=290s", "Go to time")</f>
        <v/>
      </c>
    </row>
    <row r="6966">
      <c r="A6966">
        <f>HYPERLINK("https://www.youtube.com/watch?v=6YQk_A1saj0", "Video")</f>
        <v/>
      </c>
      <c r="B6966" t="inlineStr">
        <is>
          <t>2:31</t>
        </is>
      </c>
      <c r="C6966" t="inlineStr">
        <is>
          <t>another see these exhibits</t>
        </is>
      </c>
      <c r="D6966">
        <f>HYPERLINK("https://www.youtube.com/watch?v=6YQk_A1saj0&amp;t=151s", "Go to time")</f>
        <v/>
      </c>
    </row>
    <row r="6967">
      <c r="A6967">
        <f>HYPERLINK("https://www.youtube.com/watch?v=aYi1Q4689ow", "Video")</f>
        <v/>
      </c>
      <c r="B6967" t="inlineStr">
        <is>
          <t>2:44</t>
        </is>
      </c>
      <c r="C6967" t="inlineStr">
        <is>
          <t>take over here for a bit</t>
        </is>
      </c>
      <c r="D6967">
        <f>HYPERLINK("https://www.youtube.com/watch?v=aYi1Q4689ow&amp;t=164s", "Go to time")</f>
        <v/>
      </c>
    </row>
    <row r="6968">
      <c r="A6968">
        <f>HYPERLINK("https://www.youtube.com/watch?v=qlgMZfTHMXk", "Video")</f>
        <v/>
      </c>
      <c r="B6968" t="inlineStr">
        <is>
          <t>0:36</t>
        </is>
      </c>
      <c r="C6968" t="inlineStr">
        <is>
          <t>I am a little bit of a stalker, yeah.</t>
        </is>
      </c>
      <c r="D6968">
        <f>HYPERLINK("https://www.youtube.com/watch?v=qlgMZfTHMXk&amp;t=36s", "Go to time")</f>
        <v/>
      </c>
    </row>
    <row r="6969">
      <c r="A6969">
        <f>HYPERLINK("https://www.youtube.com/watch?v=XEyELFki4Ho", "Video")</f>
        <v/>
      </c>
      <c r="B6969" t="inlineStr">
        <is>
          <t>0:25</t>
        </is>
      </c>
      <c r="C6969" t="inlineStr">
        <is>
          <t>Is there another guy in Twilight that there's a bit of a love triangle with?</t>
        </is>
      </c>
      <c r="D6969">
        <f>HYPERLINK("https://www.youtube.com/watch?v=XEyELFki4Ho&amp;t=25s", "Go to time")</f>
        <v/>
      </c>
    </row>
    <row r="6970">
      <c r="A6970">
        <f>HYPERLINK("https://www.youtube.com/watch?v=XEyELFki4Ho", "Video")</f>
        <v/>
      </c>
      <c r="B6970" t="inlineStr">
        <is>
          <t>3:42</t>
        </is>
      </c>
      <c r="C6970" t="inlineStr">
        <is>
          <t>I'm a little bit confused.</t>
        </is>
      </c>
      <c r="D6970">
        <f>HYPERLINK("https://www.youtube.com/watch?v=XEyELFki4Ho&amp;t=222s", "Go to time")</f>
        <v/>
      </c>
    </row>
    <row r="6971">
      <c r="A6971">
        <f>HYPERLINK("https://www.youtube.com/watch?v=5OKNySbgsBc", "Video")</f>
        <v/>
      </c>
      <c r="B6971" t="inlineStr">
        <is>
          <t>2:14</t>
        </is>
      </c>
      <c r="C6971" t="inlineStr">
        <is>
          <t>like work out a bit or do people care</t>
        </is>
      </c>
      <c r="D6971">
        <f>HYPERLINK("https://www.youtube.com/watch?v=5OKNySbgsBc&amp;t=134s", "Go to time")</f>
        <v/>
      </c>
    </row>
    <row r="6972">
      <c r="A6972">
        <f>HYPERLINK("https://www.youtube.com/watch?v=J-MNq1Sbaxo", "Video")</f>
        <v/>
      </c>
      <c r="B6972" t="inlineStr">
        <is>
          <t>1:29</t>
        </is>
      </c>
      <c r="C6972" t="inlineStr">
        <is>
          <t>like, oh no, like,
she might bite me.</t>
        </is>
      </c>
      <c r="D6972">
        <f>HYPERLINK("https://www.youtube.com/watch?v=J-MNq1Sbaxo&amp;t=89s", "Go to time")</f>
        <v/>
      </c>
    </row>
    <row r="6973">
      <c r="A6973">
        <f>HYPERLINK("https://www.youtube.com/watch?v=3sPbSS2EWks", "Video")</f>
        <v/>
      </c>
      <c r="B6973" t="inlineStr">
        <is>
          <t>4:19</t>
        </is>
      </c>
      <c r="C6973" t="inlineStr">
        <is>
          <t>bit later we have to take a break</t>
        </is>
      </c>
      <c r="D6973">
        <f>HYPERLINK("https://www.youtube.com/watch?v=3sPbSS2EWks&amp;t=259s", "Go to time")</f>
        <v/>
      </c>
    </row>
    <row r="6974">
      <c r="A6974">
        <f>HYPERLINK("https://www.youtube.com/watch?v=1WE7GBINl88", "Video")</f>
        <v/>
      </c>
      <c r="B6974" t="inlineStr">
        <is>
          <t>9:12</t>
        </is>
      </c>
      <c r="C6974" t="inlineStr">
        <is>
          <t>down a bit. I'm impressed.</t>
        </is>
      </c>
      <c r="D6974">
        <f>HYPERLINK("https://www.youtube.com/watch?v=1WE7GBINl88&amp;t=552s", "Go to time")</f>
        <v/>
      </c>
    </row>
    <row r="6975">
      <c r="A6975">
        <f>HYPERLINK("https://www.youtube.com/watch?v=qD6bJfcXvxo", "Video")</f>
        <v/>
      </c>
      <c r="B6975" t="inlineStr">
        <is>
          <t>0:04</t>
        </is>
      </c>
      <c r="C6975" t="inlineStr">
        <is>
          <t>of ambition Fight Night the million</t>
        </is>
      </c>
      <c r="D6975">
        <f>HYPERLINK("https://www.youtube.com/watch?v=qD6bJfcXvxo&amp;t=4s", "Go to time")</f>
        <v/>
      </c>
    </row>
    <row r="6976">
      <c r="A6976">
        <f>HYPERLINK("https://www.youtube.com/watch?v=qD6bJfcXvxo", "Video")</f>
        <v/>
      </c>
      <c r="B6976" t="inlineStr">
        <is>
          <t>0:08</t>
        </is>
      </c>
      <c r="C6976" t="inlineStr">
        <is>
          <t>ambitious entrepreneur who does whatever</t>
        </is>
      </c>
      <c r="D6976">
        <f>HYPERLINK("https://www.youtube.com/watch?v=qD6bJfcXvxo&amp;t=8s", "Go to time")</f>
        <v/>
      </c>
    </row>
    <row r="6977">
      <c r="A6977">
        <f>HYPERLINK("https://www.youtube.com/watch?v=YleAvIsafFs", "Video")</f>
        <v/>
      </c>
      <c r="B6977" t="inlineStr">
        <is>
          <t>4:41</t>
        </is>
      </c>
      <c r="C6977" t="inlineStr">
        <is>
          <t>Who'd have thought that our orbits were soon</t>
        </is>
      </c>
      <c r="D6977">
        <f>HYPERLINK("https://www.youtube.com/watch?v=YleAvIsafFs&amp;t=281s", "Go to time")</f>
        <v/>
      </c>
    </row>
    <row r="6978">
      <c r="A6978">
        <f>HYPERLINK("https://www.youtube.com/watch?v=TDVgfG2Iqs8", "Video")</f>
        <v/>
      </c>
      <c r="B6978" t="inlineStr">
        <is>
          <t>0:47</t>
        </is>
      </c>
      <c r="C6978" t="inlineStr">
        <is>
          <t>improvising with each other a little bit</t>
        </is>
      </c>
      <c r="D6978">
        <f>HYPERLINK("https://www.youtube.com/watch?v=TDVgfG2Iqs8&amp;t=47s", "Go to time")</f>
        <v/>
      </c>
    </row>
    <row r="6979">
      <c r="A6979">
        <f>HYPERLINK("https://www.youtube.com/watch?v=uEsJieQpO6c", "Video")</f>
        <v/>
      </c>
      <c r="B6979" t="inlineStr">
        <is>
          <t>0:13</t>
        </is>
      </c>
      <c r="C6979" t="inlineStr">
        <is>
          <t>single mom for a little bit and then um</t>
        </is>
      </c>
      <c r="D6979">
        <f>HYPERLINK("https://www.youtube.com/watch?v=uEsJieQpO6c&amp;t=13s", "Go to time")</f>
        <v/>
      </c>
    </row>
    <row r="6980">
      <c r="A6980">
        <f>HYPERLINK("https://www.youtube.com/watch?v=NmUo4bwOgSA", "Video")</f>
        <v/>
      </c>
      <c r="B6980" t="inlineStr">
        <is>
          <t>1:07</t>
        </is>
      </c>
      <c r="C6980" t="inlineStr">
        <is>
          <t>quite a bit of emotional distress so I'm</t>
        </is>
      </c>
      <c r="D6980">
        <f>HYPERLINK("https://www.youtube.com/watch?v=NmUo4bwOgSA&amp;t=67s", "Go to time")</f>
        <v/>
      </c>
    </row>
    <row r="6981">
      <c r="A6981">
        <f>HYPERLINK("https://www.youtube.com/watch?v=KWEqbUBt1eA", "Video")</f>
        <v/>
      </c>
      <c r="B6981" t="inlineStr">
        <is>
          <t>2:30</t>
        </is>
      </c>
      <c r="C6981" t="inlineStr">
        <is>
          <t>sarcasm and being a bit more brutally</t>
        </is>
      </c>
      <c r="D6981">
        <f>HYPERLINK("https://www.youtube.com/watch?v=KWEqbUBt1eA&amp;t=150s", "Go to time")</f>
        <v/>
      </c>
    </row>
    <row r="6982">
      <c r="A6982">
        <f>HYPERLINK("https://www.youtube.com/watch?v=KWEqbUBt1eA", "Video")</f>
        <v/>
      </c>
      <c r="B6982" t="inlineStr">
        <is>
          <t>2:36</t>
        </is>
      </c>
      <c r="C6982" t="inlineStr">
        <is>
          <t>um it's something I have a habit of</t>
        </is>
      </c>
      <c r="D6982">
        <f>HYPERLINK("https://www.youtube.com/watch?v=KWEqbUBt1eA&amp;t=156s", "Go to time")</f>
        <v/>
      </c>
    </row>
    <row r="6983">
      <c r="A6983">
        <f>HYPERLINK("https://www.youtube.com/watch?v=KWEqbUBt1eA", "Video")</f>
        <v/>
      </c>
      <c r="B6983" t="inlineStr">
        <is>
          <t>10:26</t>
        </is>
      </c>
      <c r="C6983" t="inlineStr">
        <is>
          <t>little bit more</t>
        </is>
      </c>
      <c r="D6983">
        <f>HYPERLINK("https://www.youtube.com/watch?v=KWEqbUBt1eA&amp;t=626s", "Go to time")</f>
        <v/>
      </c>
    </row>
    <row r="6984">
      <c r="A6984">
        <f>HYPERLINK("https://www.youtube.com/watch?v=KWEqbUBt1eA", "Video")</f>
        <v/>
      </c>
      <c r="B6984" t="inlineStr">
        <is>
          <t>10:35</t>
        </is>
      </c>
      <c r="C6984" t="inlineStr">
        <is>
          <t>welcome and there's a bit of a relative</t>
        </is>
      </c>
      <c r="D6984">
        <f>HYPERLINK("https://www.youtube.com/watch?v=KWEqbUBt1eA&amp;t=635s", "Go to time")</f>
        <v/>
      </c>
    </row>
    <row r="6985">
      <c r="A6985">
        <f>HYPERLINK("https://www.youtube.com/watch?v=-Mn4RBWv03A", "Video")</f>
        <v/>
      </c>
      <c r="B6985" t="inlineStr">
        <is>
          <t>1:22</t>
        </is>
      </c>
      <c r="C6985" t="inlineStr">
        <is>
          <t>can remember. It's force habit, I</t>
        </is>
      </c>
      <c r="D6985">
        <f>HYPERLINK("https://www.youtube.com/watch?v=-Mn4RBWv03A&amp;t=82s", "Go to time")</f>
        <v/>
      </c>
    </row>
    <row r="6986">
      <c r="A6986">
        <f>HYPERLINK("https://www.youtube.com/watch?v=vhNeuG-Y9Fo", "Video")</f>
        <v/>
      </c>
      <c r="B6986" t="inlineStr">
        <is>
          <t>8:39</t>
        </is>
      </c>
      <c r="C6986" t="inlineStr">
        <is>
          <t>little bit early</t>
        </is>
      </c>
      <c r="D6986">
        <f>HYPERLINK("https://www.youtube.com/watch?v=vhNeuG-Y9Fo&amp;t=519s", "Go to time")</f>
        <v/>
      </c>
    </row>
    <row r="6987">
      <c r="A6987">
        <f>HYPERLINK("https://www.youtube.com/watch?v=HI5TgiH3mOI", "Video")</f>
        <v/>
      </c>
      <c r="B6987" t="inlineStr">
        <is>
          <t>3:50</t>
        </is>
      </c>
      <c r="C6987" t="inlineStr">
        <is>
          <t>Bite size, easy to chew.</t>
        </is>
      </c>
      <c r="D6987">
        <f>HYPERLINK("https://www.youtube.com/watch?v=HI5TgiH3mOI&amp;t=230s", "Go to time")</f>
        <v/>
      </c>
    </row>
    <row r="6988">
      <c r="A6988">
        <f>HYPERLINK("https://www.youtube.com/watch?v=Z-1QECeQE2k", "Video")</f>
        <v/>
      </c>
      <c r="B6988" t="inlineStr">
        <is>
          <t>2:46</t>
        </is>
      </c>
      <c r="C6988" t="inlineStr">
        <is>
          <t>start rushing through the bit Yeah I</t>
        </is>
      </c>
      <c r="D6988">
        <f>HYPERLINK("https://www.youtube.com/watch?v=Z-1QECeQE2k&amp;t=166s", "Go to time")</f>
        <v/>
      </c>
    </row>
    <row r="6989">
      <c r="A6989">
        <f>HYPERLINK("https://www.youtube.com/watch?v=gHnJo2X6P5U", "Video")</f>
        <v/>
      </c>
      <c r="B6989" t="inlineStr">
        <is>
          <t>4:02</t>
        </is>
      </c>
      <c r="C6989" t="inlineStr">
        <is>
          <t>a little bit different.</t>
        </is>
      </c>
      <c r="D6989">
        <f>HYPERLINK("https://www.youtube.com/watch?v=gHnJo2X6P5U&amp;t=242s", "Go to time")</f>
        <v/>
      </c>
    </row>
    <row r="6990">
      <c r="A6990">
        <f>HYPERLINK("https://www.youtube.com/watch?v=ahXTLegIFlk", "Video")</f>
        <v/>
      </c>
      <c r="B6990" t="inlineStr">
        <is>
          <t>3:13</t>
        </is>
      </c>
      <c r="C6990" t="inlineStr">
        <is>
          <t>contain just a little bit of magic.</t>
        </is>
      </c>
      <c r="D6990">
        <f>HYPERLINK("https://www.youtube.com/watch?v=ahXTLegIFlk&amp;t=193s", "Go to time")</f>
        <v/>
      </c>
    </row>
    <row r="6991">
      <c r="A6991">
        <f>HYPERLINK("https://www.youtube.com/watch?v=uKQ16wU_SQg", "Video")</f>
        <v/>
      </c>
      <c r="B6991" t="inlineStr">
        <is>
          <t>0:26</t>
        </is>
      </c>
      <c r="C6991" t="inlineStr">
        <is>
          <t>for a little bit and she was like i'm</t>
        </is>
      </c>
      <c r="D6991">
        <f>HYPERLINK("https://www.youtube.com/watch?v=uKQ16wU_SQg&amp;t=26s", "Go to time")</f>
        <v/>
      </c>
    </row>
    <row r="6992">
      <c r="A6992">
        <f>HYPERLINK("https://www.youtube.com/watch?v=uKQ16wU_SQg", "Video")</f>
        <v/>
      </c>
      <c r="B6992" t="inlineStr">
        <is>
          <t>1:23</t>
        </is>
      </c>
      <c r="C6992" t="inlineStr">
        <is>
          <t>bit and like occasionally you'll hear</t>
        </is>
      </c>
      <c r="D6992">
        <f>HYPERLINK("https://www.youtube.com/watch?v=uKQ16wU_SQg&amp;t=83s", "Go to time")</f>
        <v/>
      </c>
    </row>
    <row r="6993">
      <c r="A6993">
        <f>HYPERLINK("https://www.youtube.com/watch?v=uKQ16wU_SQg", "Video")</f>
        <v/>
      </c>
      <c r="B6993" t="inlineStr">
        <is>
          <t>2:20</t>
        </is>
      </c>
      <c r="C6993" t="inlineStr">
        <is>
          <t>cause i just had stand-up bits and i</t>
        </is>
      </c>
      <c r="D6993">
        <f>HYPERLINK("https://www.youtube.com/watch?v=uKQ16wU_SQg&amp;t=140s", "Go to time")</f>
        <v/>
      </c>
    </row>
    <row r="6994">
      <c r="A6994">
        <f>HYPERLINK("https://www.youtube.com/watch?v=MUk-Fq_VPfc", "Video")</f>
        <v/>
      </c>
      <c r="B6994" t="inlineStr">
        <is>
          <t>0:26</t>
        </is>
      </c>
      <c r="C6994" t="inlineStr">
        <is>
          <t>You know, I can show a little bit if you</t>
        </is>
      </c>
      <c r="D6994">
        <f>HYPERLINK("https://www.youtube.com/watch?v=MUk-Fq_VPfc&amp;t=26s", "Go to time")</f>
        <v/>
      </c>
    </row>
    <row r="6995">
      <c r="A6995">
        <f>HYPERLINK("https://www.youtube.com/watch?v=MUk-Fq_VPfc", "Video")</f>
        <v/>
      </c>
      <c r="B6995" t="inlineStr">
        <is>
          <t>1:56</t>
        </is>
      </c>
      <c r="C6995" t="inlineStr">
        <is>
          <t>Oh! You bit- You bit the dog!</t>
        </is>
      </c>
      <c r="D6995">
        <f>HYPERLINK("https://www.youtube.com/watch?v=MUk-Fq_VPfc&amp;t=116s", "Go to time")</f>
        <v/>
      </c>
    </row>
    <row r="6996">
      <c r="A6996">
        <f>HYPERLINK("https://www.youtube.com/watch?v=zcrzm69b0qQ", "Video")</f>
        <v/>
      </c>
      <c r="B6996" t="inlineStr">
        <is>
          <t>5:04</t>
        </is>
      </c>
      <c r="C6996" t="inlineStr">
        <is>
          <t>weight but you might be a little bit</t>
        </is>
      </c>
      <c r="D6996">
        <f>HYPERLINK("https://www.youtube.com/watch?v=zcrzm69b0qQ&amp;t=304s", "Go to time")</f>
        <v/>
      </c>
    </row>
    <row r="6997">
      <c r="A6997">
        <f>HYPERLINK("https://www.youtube.com/watch?v=zcrzm69b0qQ", "Video")</f>
        <v/>
      </c>
      <c r="B6997" t="inlineStr">
        <is>
          <t>8:36</t>
        </is>
      </c>
      <c r="C6997" t="inlineStr">
        <is>
          <t>it's habit well do me a favor break the</t>
        </is>
      </c>
      <c r="D6997">
        <f>HYPERLINK("https://www.youtube.com/watch?v=zcrzm69b0qQ&amp;t=516s", "Go to time")</f>
        <v/>
      </c>
    </row>
    <row r="6998">
      <c r="A6998">
        <f>HYPERLINK("https://www.youtube.com/watch?v=zcrzm69b0qQ", "Video")</f>
        <v/>
      </c>
      <c r="B6998" t="inlineStr">
        <is>
          <t>8:38</t>
        </is>
      </c>
      <c r="C6998" t="inlineStr">
        <is>
          <t>habit okay i'm running out of freaking</t>
        </is>
      </c>
      <c r="D6998">
        <f>HYPERLINK("https://www.youtube.com/watch?v=zcrzm69b0qQ&amp;t=518s", "Go to time")</f>
        <v/>
      </c>
    </row>
    <row r="6999">
      <c r="A6999">
        <f>HYPERLINK("https://www.youtube.com/watch?v=eRaIAeZ0PbU", "Video")</f>
        <v/>
      </c>
      <c r="B6999" t="inlineStr">
        <is>
          <t>4:16</t>
        </is>
      </c>
      <c r="C6999" t="inlineStr">
        <is>
          <t>is today and since you have a little bit</t>
        </is>
      </c>
      <c r="D6999">
        <f>HYPERLINK("https://www.youtube.com/watch?v=eRaIAeZ0PbU&amp;t=256s", "Go to time")</f>
        <v/>
      </c>
    </row>
    <row r="7000">
      <c r="A7000">
        <f>HYPERLINK("https://www.youtube.com/watch?v=eRaIAeZ0PbU", "Video")</f>
        <v/>
      </c>
      <c r="B7000" t="inlineStr">
        <is>
          <t>4:20</t>
        </is>
      </c>
      <c r="C7000" t="inlineStr">
        <is>
          <t>do a little bit of warming up Maestro</t>
        </is>
      </c>
      <c r="D7000">
        <f>HYPERLINK("https://www.youtube.com/watch?v=eRaIAeZ0PbU&amp;t=260s", "Go to time")</f>
        <v/>
      </c>
    </row>
    <row r="7001">
      <c r="A7001">
        <f>HYPERLINK("https://www.youtube.com/watch?v=eRaIAeZ0PbU", "Video")</f>
        <v/>
      </c>
      <c r="B7001" t="inlineStr">
        <is>
          <t>4:46</t>
        </is>
      </c>
      <c r="C7001" t="inlineStr">
        <is>
          <t>little bit sharp I'm never sharp I'm</t>
        </is>
      </c>
      <c r="D7001">
        <f>HYPERLINK("https://www.youtube.com/watch?v=eRaIAeZ0PbU&amp;t=286s", "Go to time")</f>
        <v/>
      </c>
    </row>
    <row r="7002">
      <c r="A7002">
        <f>HYPERLINK("https://www.youtube.com/watch?v=eRaIAeZ0PbU", "Video")</f>
        <v/>
      </c>
      <c r="B7002" t="inlineStr">
        <is>
          <t>6:35</t>
        </is>
      </c>
      <c r="C7002" t="inlineStr">
        <is>
          <t>you should have cared a little bit why</t>
        </is>
      </c>
      <c r="D7002">
        <f>HYPERLINK("https://www.youtube.com/watch?v=eRaIAeZ0PbU&amp;t=395s", "Go to time")</f>
        <v/>
      </c>
    </row>
    <row r="7003">
      <c r="A7003">
        <f>HYPERLINK("https://www.youtube.com/watch?v=DARNF7NGGOs", "Video")</f>
        <v/>
      </c>
      <c r="B7003" t="inlineStr">
        <is>
          <t>0:56</t>
        </is>
      </c>
      <c r="C7003" t="inlineStr">
        <is>
          <t>Okay. I'll bite.</t>
        </is>
      </c>
      <c r="D7003">
        <f>HYPERLINK("https://www.youtube.com/watch?v=DARNF7NGGOs&amp;t=56s", "Go to time")</f>
        <v/>
      </c>
    </row>
    <row r="7004">
      <c r="A7004">
        <f>HYPERLINK("https://www.youtube.com/watch?v=ENlu90w49Ho", "Video")</f>
        <v/>
      </c>
      <c r="B7004" t="inlineStr">
        <is>
          <t>6:48</t>
        </is>
      </c>
      <c r="C7004" t="inlineStr">
        <is>
          <t>bitching because you trample every rule</t>
        </is>
      </c>
      <c r="D7004">
        <f>HYPERLINK("https://www.youtube.com/watch?v=ENlu90w49Ho&amp;t=408s", "Go to time")</f>
        <v/>
      </c>
    </row>
    <row r="7005">
      <c r="A7005">
        <f>HYPERLINK("https://www.youtube.com/watch?v=njwXcmn3YzM", "Video")</f>
        <v/>
      </c>
      <c r="B7005" t="inlineStr">
        <is>
          <t>1:07</t>
        </is>
      </c>
      <c r="C7005" t="inlineStr">
        <is>
          <t>So these are very young kids,
and the script is ambitious.</t>
        </is>
      </c>
      <c r="D7005">
        <f>HYPERLINK("https://www.youtube.com/watch?v=njwXcmn3YzM&amp;t=67s", "Go to time")</f>
        <v/>
      </c>
    </row>
    <row r="7006">
      <c r="A7006">
        <f>HYPERLINK("https://www.youtube.com/watch?v=kjKV7JS64g8", "Video")</f>
        <v/>
      </c>
      <c r="B7006" t="inlineStr">
        <is>
          <t>0:45</t>
        </is>
      </c>
      <c r="C7006" t="inlineStr">
        <is>
          <t>and if i make fun of her bathroom habits</t>
        </is>
      </c>
      <c r="D7006">
        <f>HYPERLINK("https://www.youtube.com/watch?v=kjKV7JS64g8&amp;t=45s", "Go to time")</f>
        <v/>
      </c>
    </row>
    <row r="7007">
      <c r="A7007">
        <f>HYPERLINK("https://www.youtube.com/watch?v=OG2_U5I8lcU", "Video")</f>
        <v/>
      </c>
      <c r="B7007" t="inlineStr">
        <is>
          <t>2:19</t>
        </is>
      </c>
      <c r="C7007" t="inlineStr">
        <is>
          <t>oh that's gonna come back to bite me in</t>
        </is>
      </c>
      <c r="D7007">
        <f>HYPERLINK("https://www.youtube.com/watch?v=OG2_U5I8lcU&amp;t=139s", "Go to time")</f>
        <v/>
      </c>
    </row>
    <row r="7008">
      <c r="A7008">
        <f>HYPERLINK("https://www.youtube.com/watch?v=aONh3gVr6xs", "Video")</f>
        <v/>
      </c>
      <c r="B7008" t="inlineStr">
        <is>
          <t>0:00</t>
        </is>
      </c>
      <c r="C7008" t="inlineStr">
        <is>
          <t>In the orbit of WWE, all of the</t>
        </is>
      </c>
      <c r="D7008">
        <f>HYPERLINK("https://www.youtube.com/watch?v=aONh3gVr6xs&amp;t=0s", "Go to time")</f>
        <v/>
      </c>
    </row>
    <row r="7009">
      <c r="A7009">
        <f>HYPERLINK("https://www.youtube.com/watch?v=fZsApgHQmEc", "Video")</f>
        <v/>
      </c>
      <c r="B7009" t="inlineStr">
        <is>
          <t>2:30</t>
        </is>
      </c>
      <c r="C7009" t="inlineStr">
        <is>
          <t>how about that a little bit</t>
        </is>
      </c>
      <c r="D7009">
        <f>HYPERLINK("https://www.youtube.com/watch?v=fZsApgHQmEc&amp;t=150s", "Go to time")</f>
        <v/>
      </c>
    </row>
    <row r="7010">
      <c r="A7010">
        <f>HYPERLINK("https://www.youtube.com/watch?v=_YGuFpvnKzM", "Video")</f>
        <v/>
      </c>
      <c r="B7010" t="inlineStr">
        <is>
          <t>0:25</t>
        </is>
      </c>
      <c r="C7010" t="inlineStr">
        <is>
          <t>it's the most toxically ambitious group</t>
        </is>
      </c>
      <c r="D7010">
        <f>HYPERLINK("https://www.youtube.com/watch?v=_YGuFpvnKzM&amp;t=25s", "Go to time")</f>
        <v/>
      </c>
    </row>
    <row r="7011">
      <c r="A7011">
        <f>HYPERLINK("https://www.youtube.com/watch?v=HjCs_4MZqgk", "Video")</f>
        <v/>
      </c>
      <c r="B7011" t="inlineStr">
        <is>
          <t>10:42</t>
        </is>
      </c>
      <c r="C7011" t="inlineStr">
        <is>
          <t>hey deborah could be a little bit of a</t>
        </is>
      </c>
      <c r="D7011">
        <f>HYPERLINK("https://www.youtube.com/watch?v=HjCs_4MZqgk&amp;t=642s", "Go to time")</f>
        <v/>
      </c>
    </row>
    <row r="7012">
      <c r="A7012">
        <f>HYPERLINK("https://www.youtube.com/watch?v=_euP7EeifPo", "Video")</f>
        <v/>
      </c>
      <c r="B7012" t="inlineStr">
        <is>
          <t>6:32</t>
        </is>
      </c>
      <c r="C7012" t="inlineStr">
        <is>
          <t>now is this ribbity or yours gonna work</t>
        </is>
      </c>
      <c r="D7012">
        <f>HYPERLINK("https://www.youtube.com/watch?v=_euP7EeifPo&amp;t=392s", "Go to time")</f>
        <v/>
      </c>
    </row>
    <row r="7013">
      <c r="A7013">
        <f>HYPERLINK("https://www.youtube.com/watch?v=UOIVRs8_oxo", "Video")</f>
        <v/>
      </c>
      <c r="B7013" t="inlineStr">
        <is>
          <t>0:29</t>
        </is>
      </c>
      <c r="C7013" t="inlineStr">
        <is>
          <t>So much ambition.</t>
        </is>
      </c>
      <c r="D7013">
        <f>HYPERLINK("https://www.youtube.com/watch?v=UOIVRs8_oxo&amp;t=29s", "Go to time")</f>
        <v/>
      </c>
    </row>
    <row r="7014">
      <c r="A7014">
        <f>HYPERLINK("https://www.youtube.com/watch?v=UOIVRs8_oxo", "Video")</f>
        <v/>
      </c>
      <c r="B7014" t="inlineStr">
        <is>
          <t>1:55</t>
        </is>
      </c>
      <c r="C7014" t="inlineStr">
        <is>
          <t>down its prey by biting the hawks and</t>
        </is>
      </c>
      <c r="D7014">
        <f>HYPERLINK("https://www.youtube.com/watch?v=UOIVRs8_oxo&amp;t=115s", "Go to time")</f>
        <v/>
      </c>
    </row>
    <row r="7015">
      <c r="A7015">
        <f>HYPERLINK("https://www.youtube.com/watch?v=W_NznKr3h_Q", "Video")</f>
        <v/>
      </c>
      <c r="B7015" t="inlineStr">
        <is>
          <t>9:53</t>
        </is>
      </c>
      <c r="C7015" t="inlineStr">
        <is>
          <t>just knock him around a little bit teach</t>
        </is>
      </c>
      <c r="D7015">
        <f>HYPERLINK("https://www.youtube.com/watch?v=W_NznKr3h_Q&amp;t=593s", "Go to time")</f>
        <v/>
      </c>
    </row>
    <row r="7016">
      <c r="A7016">
        <f>HYPERLINK("https://www.youtube.com/watch?v=pO50Dyg_GJE", "Video")</f>
        <v/>
      </c>
      <c r="B7016" t="inlineStr">
        <is>
          <t>5:13</t>
        </is>
      </c>
      <c r="C7016" t="inlineStr">
        <is>
          <t>is that where she bits you</t>
        </is>
      </c>
      <c r="D7016">
        <f>HYPERLINK("https://www.youtube.com/watch?v=pO50Dyg_GJE&amp;t=313s", "Go to time")</f>
        <v/>
      </c>
    </row>
    <row r="7017">
      <c r="A7017">
        <f>HYPERLINK("https://www.youtube.com/watch?v=pO50Dyg_GJE", "Video")</f>
        <v/>
      </c>
      <c r="B7017" t="inlineStr">
        <is>
          <t>5:58</t>
        </is>
      </c>
      <c r="C7017" t="inlineStr">
        <is>
          <t>non-homeless people when they get bitten</t>
        </is>
      </c>
      <c r="D7017">
        <f>HYPERLINK("https://www.youtube.com/watch?v=pO50Dyg_GJE&amp;t=358s", "Go to time")</f>
        <v/>
      </c>
    </row>
    <row r="7018">
      <c r="A7018">
        <f>HYPERLINK("https://www.youtube.com/watch?v=WDQot_QAe3o", "Video")</f>
        <v/>
      </c>
      <c r="B7018" t="inlineStr">
        <is>
          <t>2:16</t>
        </is>
      </c>
      <c r="C7018" t="inlineStr">
        <is>
          <t>know you and i have a little bit of</t>
        </is>
      </c>
      <c r="D7018">
        <f>HYPERLINK("https://www.youtube.com/watch?v=WDQot_QAe3o&amp;t=136s", "Go to time")</f>
        <v/>
      </c>
    </row>
    <row r="7019">
      <c r="A7019">
        <f>HYPERLINK("https://www.youtube.com/watch?v=1spqLkoSuLY", "Video")</f>
        <v/>
      </c>
      <c r="B7019" t="inlineStr">
        <is>
          <t>11:56</t>
        </is>
      </c>
      <c r="C7019" t="inlineStr">
        <is>
          <t>bit. Stretch. Stretch it.</t>
        </is>
      </c>
      <c r="D7019">
        <f>HYPERLINK("https://www.youtube.com/watch?v=1spqLkoSuLY&amp;t=716s", "Go to time")</f>
        <v/>
      </c>
    </row>
    <row r="7020">
      <c r="A7020">
        <f>HYPERLINK("https://www.youtube.com/watch?v=9slKldYnqeM", "Video")</f>
        <v/>
      </c>
      <c r="B7020" t="inlineStr">
        <is>
          <t>0:41</t>
        </is>
      </c>
      <c r="C7020" t="inlineStr">
        <is>
          <t>it stands a little bit taller</t>
        </is>
      </c>
      <c r="D7020">
        <f>HYPERLINK("https://www.youtube.com/watch?v=9slKldYnqeM&amp;t=41s", "Go to time")</f>
        <v/>
      </c>
    </row>
    <row r="7021">
      <c r="A7021">
        <f>HYPERLINK("https://www.youtube.com/watch?v=eGfXa2lV1rs", "Video")</f>
        <v/>
      </c>
      <c r="B7021" t="inlineStr">
        <is>
          <t>2:18</t>
        </is>
      </c>
      <c r="C7021" t="inlineStr">
        <is>
          <t>who likes to cook at home
but needs a little bit of help.</t>
        </is>
      </c>
      <c r="D7021">
        <f>HYPERLINK("https://www.youtube.com/watch?v=eGfXa2lV1rs&amp;t=138s", "Go to time")</f>
        <v/>
      </c>
    </row>
    <row r="7022">
      <c r="A7022">
        <f>HYPERLINK("https://www.youtube.com/watch?v=eGfXa2lV1rs", "Video")</f>
        <v/>
      </c>
      <c r="B7022" t="inlineStr">
        <is>
          <t>6:44</t>
        </is>
      </c>
      <c r="C7022" t="inlineStr">
        <is>
          <t>Add a little bit of pepper,
hefty pinch of salt.</t>
        </is>
      </c>
      <c r="D7022">
        <f>HYPERLINK("https://www.youtube.com/watch?v=eGfXa2lV1rs&amp;t=404s", "Go to time")</f>
        <v/>
      </c>
    </row>
    <row r="7023">
      <c r="A7023">
        <f>HYPERLINK("https://www.youtube.com/watch?v=eGfXa2lV1rs", "Video")</f>
        <v/>
      </c>
      <c r="B7023" t="inlineStr">
        <is>
          <t>8:00</t>
        </is>
      </c>
      <c r="C7023" t="inlineStr">
        <is>
          <t>So you're gonna take a
little bit of that pasta water</t>
        </is>
      </c>
      <c r="D7023">
        <f>HYPERLINK("https://www.youtube.com/watch?v=eGfXa2lV1rs&amp;t=480s", "Go to time")</f>
        <v/>
      </c>
    </row>
    <row r="7024">
      <c r="A7024">
        <f>HYPERLINK("https://www.youtube.com/watch?v=eGfXa2lV1rs", "Video")</f>
        <v/>
      </c>
      <c r="B7024" t="inlineStr">
        <is>
          <t>9:24</t>
        </is>
      </c>
      <c r="C7024" t="inlineStr">
        <is>
          <t>the liquid reduce down
just a little bit,</t>
        </is>
      </c>
      <c r="D7024">
        <f>HYPERLINK("https://www.youtube.com/watch?v=eGfXa2lV1rs&amp;t=564s", "Go to time")</f>
        <v/>
      </c>
    </row>
    <row r="7025">
      <c r="A7025">
        <f>HYPERLINK("https://www.youtube.com/watch?v=eGfXa2lV1rs", "Video")</f>
        <v/>
      </c>
      <c r="B7025" t="inlineStr">
        <is>
          <t>9:26</t>
        </is>
      </c>
      <c r="C7025" t="inlineStr">
        <is>
          <t>and it's gonna kind of turn
into a little bit of a glaze.</t>
        </is>
      </c>
      <c r="D7025">
        <f>HYPERLINK("https://www.youtube.com/watch?v=eGfXa2lV1rs&amp;t=566s", "Go to time")</f>
        <v/>
      </c>
    </row>
    <row r="7026">
      <c r="A7026">
        <f>HYPERLINK("https://www.youtube.com/watch?v=eGfXa2lV1rs", "Video")</f>
        <v/>
      </c>
      <c r="B7026" t="inlineStr">
        <is>
          <t>9:38</t>
        </is>
      </c>
      <c r="C7026" t="inlineStr">
        <is>
          <t>- Oh, so it's gonna, like, cook
the eggs a little bit.</t>
        </is>
      </c>
      <c r="D7026">
        <f>HYPERLINK("https://www.youtube.com/watch?v=eGfXa2lV1rs&amp;t=578s", "Go to time")</f>
        <v/>
      </c>
    </row>
    <row r="7027">
      <c r="A7027">
        <f>HYPERLINK("https://www.youtube.com/watch?v=nFxmqr_cx5Y", "Video")</f>
        <v/>
      </c>
      <c r="B7027" t="inlineStr">
        <is>
          <t>3:38</t>
        </is>
      </c>
      <c r="C7027" t="inlineStr">
        <is>
          <t>little bit we're making a lifetime</t>
        </is>
      </c>
      <c r="D7027">
        <f>HYPERLINK("https://www.youtube.com/watch?v=nFxmqr_cx5Y&amp;t=218s", "Go to time")</f>
        <v/>
      </c>
    </row>
    <row r="7028">
      <c r="A7028">
        <f>HYPERLINK("https://www.youtube.com/watch?v=eFIQrl5iipw", "Video")</f>
        <v/>
      </c>
      <c r="B7028" t="inlineStr">
        <is>
          <t>2:27</t>
        </is>
      </c>
      <c r="C7028" t="inlineStr">
        <is>
          <t>bit to really sell it do you hear how</t>
        </is>
      </c>
      <c r="D7028">
        <f>HYPERLINK("https://www.youtube.com/watch?v=eFIQrl5iipw&amp;t=147s", "Go to time")</f>
        <v/>
      </c>
    </row>
    <row r="7029">
      <c r="A7029">
        <f>HYPERLINK("https://www.youtube.com/watch?v=eFIQrl5iipw", "Video")</f>
        <v/>
      </c>
      <c r="B7029" t="inlineStr">
        <is>
          <t>4:44</t>
        </is>
      </c>
      <c r="C7029" t="inlineStr">
        <is>
          <t>bit she even agreed to attend the</t>
        </is>
      </c>
      <c r="D7029">
        <f>HYPERLINK("https://www.youtube.com/watch?v=eFIQrl5iipw&amp;t=284s", "Go to time")</f>
        <v/>
      </c>
    </row>
    <row r="7030">
      <c r="A7030">
        <f>HYPERLINK("https://www.youtube.com/watch?v=6zCnG5e_TTQ", "Video")</f>
        <v/>
      </c>
      <c r="B7030" t="inlineStr">
        <is>
          <t>3:00</t>
        </is>
      </c>
      <c r="C7030" t="inlineStr">
        <is>
          <t>The tiger bites the nape often breaking the</t>
        </is>
      </c>
      <c r="D7030">
        <f>HYPERLINK("https://www.youtube.com/watch?v=6zCnG5e_TTQ&amp;t=180s", "Go to time")</f>
        <v/>
      </c>
    </row>
    <row r="7031">
      <c r="A7031">
        <f>HYPERLINK("https://www.youtube.com/watch?v=_Ck953PYgu8", "Video")</f>
        <v/>
      </c>
      <c r="B7031" t="inlineStr">
        <is>
          <t>0:44</t>
        </is>
      </c>
      <c r="C7031" t="inlineStr">
        <is>
          <t>way the bill is drafted prohibits any</t>
        </is>
      </c>
      <c r="D7031">
        <f>HYPERLINK("https://www.youtube.com/watch?v=_Ck953PYgu8&amp;t=44s", "Go to time")</f>
        <v/>
      </c>
    </row>
    <row r="7032">
      <c r="A7032">
        <f>HYPERLINK("https://www.youtube.com/watch?v=6ccwvhmiezQ", "Video")</f>
        <v/>
      </c>
      <c r="B7032" t="inlineStr">
        <is>
          <t>4:13</t>
        </is>
      </c>
      <c r="C7032" t="inlineStr">
        <is>
          <t>just a little bit easier</t>
        </is>
      </c>
      <c r="D7032">
        <f>HYPERLINK("https://www.youtube.com/watch?v=6ccwvhmiezQ&amp;t=253s", "Go to time")</f>
        <v/>
      </c>
    </row>
    <row r="7033">
      <c r="A7033">
        <f>HYPERLINK("https://www.youtube.com/watch?v=yff_02obAWk", "Video")</f>
        <v/>
      </c>
      <c r="B7033" t="inlineStr">
        <is>
          <t>2:10</t>
        </is>
      </c>
      <c r="C7033" t="inlineStr">
        <is>
          <t>they have a habit of becoming all too</t>
        </is>
      </c>
      <c r="D7033">
        <f>HYPERLINK("https://www.youtube.com/watch?v=yff_02obAWk&amp;t=130s", "Go to time")</f>
        <v/>
      </c>
    </row>
    <row r="7034">
      <c r="A7034">
        <f>HYPERLINK("https://www.youtube.com/watch?v=r7DychgbTE8", "Video")</f>
        <v/>
      </c>
      <c r="B7034" t="inlineStr">
        <is>
          <t>1:02</t>
        </is>
      </c>
      <c r="C7034" t="inlineStr">
        <is>
          <t>but you've been watching too
much of the "Queen's Gambit"</t>
        </is>
      </c>
      <c r="D7034">
        <f>HYPERLINK("https://www.youtube.com/watch?v=r7DychgbTE8&amp;t=62s", "Go to time")</f>
        <v/>
      </c>
    </row>
    <row r="7035">
      <c r="A7035">
        <f>HYPERLINK("https://www.youtube.com/watch?v=r7DychgbTE8", "Video")</f>
        <v/>
      </c>
      <c r="B7035" t="inlineStr">
        <is>
          <t>3:14</t>
        </is>
      </c>
      <c r="C7035" t="inlineStr">
        <is>
          <t>we can become a bit nervous.</t>
        </is>
      </c>
      <c r="D7035">
        <f>HYPERLINK("https://www.youtube.com/watch?v=r7DychgbTE8&amp;t=194s", "Go to time")</f>
        <v/>
      </c>
    </row>
    <row r="7036">
      <c r="A7036">
        <f>HYPERLINK("https://www.youtube.com/watch?v=r7DychgbTE8", "Video")</f>
        <v/>
      </c>
      <c r="B7036" t="inlineStr">
        <is>
          <t>3:22</t>
        </is>
      </c>
      <c r="C7036" t="inlineStr">
        <is>
          <t>Attraction can even make
us a bit dumb sometimes.</t>
        </is>
      </c>
      <c r="D7036">
        <f>HYPERLINK("https://www.youtube.com/watch?v=r7DychgbTE8&amp;t=202s", "Go to time")</f>
        <v/>
      </c>
    </row>
    <row r="7037">
      <c r="A7037">
        <f>HYPERLINK("https://www.youtube.com/watch?v=f7WvckWdv1A", "Video")</f>
        <v/>
      </c>
      <c r="B7037" t="inlineStr">
        <is>
          <t>2:54</t>
        </is>
      </c>
      <c r="C7037" t="inlineStr">
        <is>
          <t>when we've been hurt by The Bitter sting</t>
        </is>
      </c>
      <c r="D7037">
        <f>HYPERLINK("https://www.youtube.com/watch?v=f7WvckWdv1A&amp;t=174s", "Go to time")</f>
        <v/>
      </c>
    </row>
    <row r="7038">
      <c r="A7038">
        <f>HYPERLINK("https://www.youtube.com/watch?v=Rbncvb9BBkQ", "Video")</f>
        <v/>
      </c>
      <c r="B7038" t="inlineStr">
        <is>
          <t>0:59</t>
        </is>
      </c>
      <c r="C7038" t="inlineStr">
        <is>
          <t>rabbit hole is just gone in the wrong</t>
        </is>
      </c>
      <c r="D7038">
        <f>HYPERLINK("https://www.youtube.com/watch?v=Rbncvb9BBkQ&amp;t=59s", "Go to time")</f>
        <v/>
      </c>
    </row>
    <row r="7039">
      <c r="A7039">
        <f>HYPERLINK("https://www.youtube.com/watch?v=Rbncvb9BBkQ", "Video")</f>
        <v/>
      </c>
      <c r="B7039" t="inlineStr">
        <is>
          <t>3:55</t>
        </is>
      </c>
      <c r="C7039" t="inlineStr">
        <is>
          <t>little bit numb to a lot of positive</t>
        </is>
      </c>
      <c r="D7039">
        <f>HYPERLINK("https://www.youtube.com/watch?v=Rbncvb9BBkQ&amp;t=235s", "Go to time")</f>
        <v/>
      </c>
    </row>
    <row r="7040">
      <c r="A7040">
        <f>HYPERLINK("https://www.youtube.com/watch?v=v-EOM9GJNbQ", "Video")</f>
        <v/>
      </c>
      <c r="B7040" t="inlineStr">
        <is>
          <t>0:07</t>
        </is>
      </c>
      <c r="C7040" t="inlineStr">
        <is>
          <t>Some little habits that
end up doing more damage</t>
        </is>
      </c>
      <c r="D7040">
        <f>HYPERLINK("https://www.youtube.com/watch?v=v-EOM9GJNbQ&amp;t=7s", "Go to time")</f>
        <v/>
      </c>
    </row>
    <row r="7041">
      <c r="A7041">
        <f>HYPERLINK("https://www.youtube.com/watch?v=v-EOM9GJNbQ", "Video")</f>
        <v/>
      </c>
      <c r="B7041" t="inlineStr">
        <is>
          <t>0:21</t>
        </is>
      </c>
      <c r="C7041" t="inlineStr">
        <is>
          <t>if we can replace them with
some healthier habits instead.</t>
        </is>
      </c>
      <c r="D7041">
        <f>HYPERLINK("https://www.youtube.com/watch?v=v-EOM9GJNbQ&amp;t=21s", "Go to time")</f>
        <v/>
      </c>
    </row>
    <row r="7042">
      <c r="A7042">
        <f>HYPERLINK("https://www.youtube.com/watch?v=v-EOM9GJNbQ", "Video")</f>
        <v/>
      </c>
      <c r="B7042" t="inlineStr">
        <is>
          <t>1:33</t>
        </is>
      </c>
      <c r="C7042" t="inlineStr">
        <is>
          <t>may make you a bit happier.</t>
        </is>
      </c>
      <c r="D7042">
        <f>HYPERLINK("https://www.youtube.com/watch?v=v-EOM9GJNbQ&amp;t=93s", "Go to time")</f>
        <v/>
      </c>
    </row>
    <row r="7043">
      <c r="A7043">
        <f>HYPERLINK("https://www.youtube.com/watch?v=v-EOM9GJNbQ", "Video")</f>
        <v/>
      </c>
      <c r="B7043" t="inlineStr">
        <is>
          <t>2:30</t>
        </is>
      </c>
      <c r="C7043" t="inlineStr">
        <is>
          <t>So it's a good habit to put into place.</t>
        </is>
      </c>
      <c r="D7043">
        <f>HYPERLINK("https://www.youtube.com/watch?v=v-EOM9GJNbQ&amp;t=150s", "Go to time")</f>
        <v/>
      </c>
    </row>
    <row r="7044">
      <c r="A7044">
        <f>HYPERLINK("https://www.youtube.com/watch?v=v-EOM9GJNbQ", "Video")</f>
        <v/>
      </c>
      <c r="B7044" t="inlineStr">
        <is>
          <t>2:35</t>
        </is>
      </c>
      <c r="C7044" t="inlineStr">
        <is>
          <t>Then when that becomes a habit,
add an extra five minutes.</t>
        </is>
      </c>
      <c r="D7044">
        <f>HYPERLINK("https://www.youtube.com/watch?v=v-EOM9GJNbQ&amp;t=155s", "Go to time")</f>
        <v/>
      </c>
    </row>
    <row r="7045">
      <c r="A7045">
        <f>HYPERLINK("https://www.youtube.com/watch?v=v-EOM9GJNbQ", "Video")</f>
        <v/>
      </c>
      <c r="B7045" t="inlineStr">
        <is>
          <t>2:50</t>
        </is>
      </c>
      <c r="C7045" t="inlineStr">
        <is>
          <t>on a bit of happiness.</t>
        </is>
      </c>
      <c r="D7045">
        <f>HYPERLINK("https://www.youtube.com/watch?v=v-EOM9GJNbQ&amp;t=170s", "Go to time")</f>
        <v/>
      </c>
    </row>
    <row r="7046">
      <c r="A7046">
        <f>HYPERLINK("https://www.youtube.com/watch?v=v-EOM9GJNbQ", "Video")</f>
        <v/>
      </c>
      <c r="B7046" t="inlineStr">
        <is>
          <t>5:27</t>
        </is>
      </c>
      <c r="C7046" t="inlineStr">
        <is>
          <t>What things tend to
make you a bit unhappy?</t>
        </is>
      </c>
      <c r="D7046">
        <f>HYPERLINK("https://www.youtube.com/watch?v=v-EOM9GJNbQ&amp;t=327s", "Go to time")</f>
        <v/>
      </c>
    </row>
    <row r="7047">
      <c r="A7047">
        <f>HYPERLINK("https://www.youtube.com/watch?v=v-EOM9GJNbQ", "Video")</f>
        <v/>
      </c>
      <c r="B7047" t="inlineStr">
        <is>
          <t>5:30</t>
        </is>
      </c>
      <c r="C7047" t="inlineStr">
        <is>
          <t>Do you have some exciting new habits</t>
        </is>
      </c>
      <c r="D7047">
        <f>HYPERLINK("https://www.youtube.com/watch?v=v-EOM9GJNbQ&amp;t=330s", "Go to time")</f>
        <v/>
      </c>
    </row>
    <row r="7048">
      <c r="A7048">
        <f>HYPERLINK("https://www.youtube.com/watch?v=dyRfK_j98-M", "Video")</f>
        <v/>
      </c>
      <c r="B7048" t="inlineStr">
        <is>
          <t>0:06</t>
        </is>
      </c>
      <c r="C7048" t="inlineStr">
        <is>
          <t>something selfish to save a bit of money</t>
        </is>
      </c>
      <c r="D7048">
        <f>HYPERLINK("https://www.youtube.com/watch?v=dyRfK_j98-M&amp;t=6s", "Go to time")</f>
        <v/>
      </c>
    </row>
    <row r="7049">
      <c r="A7049">
        <f>HYPERLINK("https://www.youtube.com/watch?v=kb2SWc6QX2o", "Video")</f>
        <v/>
      </c>
      <c r="B7049" t="inlineStr">
        <is>
          <t>3:01</t>
        </is>
      </c>
      <c r="C7049" t="inlineStr">
        <is>
          <t>toxic habit that can erode one's</t>
        </is>
      </c>
      <c r="D7049">
        <f>HYPERLINK("https://www.youtube.com/watch?v=kb2SWc6QX2o&amp;t=181s", "Go to time")</f>
        <v/>
      </c>
    </row>
    <row r="7050">
      <c r="A7050">
        <f>HYPERLINK("https://www.youtube.com/watch?v=zQA8-dUL0-k", "Video")</f>
        <v/>
      </c>
      <c r="B7050" t="inlineStr">
        <is>
          <t>3:35</t>
        </is>
      </c>
      <c r="C7050" t="inlineStr">
        <is>
          <t>um but as I got a little bit older maybe</t>
        </is>
      </c>
      <c r="D7050">
        <f>HYPERLINK("https://www.youtube.com/watch?v=zQA8-dUL0-k&amp;t=215s", "Go to time")</f>
        <v/>
      </c>
    </row>
    <row r="7051">
      <c r="A7051">
        <f>HYPERLINK("https://www.youtube.com/watch?v=zQA8-dUL0-k", "Video")</f>
        <v/>
      </c>
      <c r="B7051" t="inlineStr">
        <is>
          <t>10:24</t>
        </is>
      </c>
      <c r="C7051" t="inlineStr">
        <is>
          <t>a little bit off for me</t>
        </is>
      </c>
      <c r="D7051">
        <f>HYPERLINK("https://www.youtube.com/watch?v=zQA8-dUL0-k&amp;t=624s", "Go to time")</f>
        <v/>
      </c>
    </row>
    <row r="7052">
      <c r="A7052">
        <f>HYPERLINK("https://www.youtube.com/watch?v=zQA8-dUL0-k", "Video")</f>
        <v/>
      </c>
      <c r="B7052" t="inlineStr">
        <is>
          <t>13:10</t>
        </is>
      </c>
      <c r="C7052" t="inlineStr">
        <is>
          <t>sip like you suck up just a little bit</t>
        </is>
      </c>
      <c r="D7052">
        <f>HYPERLINK("https://www.youtube.com/watch?v=zQA8-dUL0-k&amp;t=790s", "Go to time")</f>
        <v/>
      </c>
    </row>
    <row r="7053">
      <c r="A7053">
        <f>HYPERLINK("https://www.youtube.com/watch?v=zQA8-dUL0-k", "Video")</f>
        <v/>
      </c>
      <c r="B7053" t="inlineStr">
        <is>
          <t>23:55</t>
        </is>
      </c>
      <c r="C7053" t="inlineStr">
        <is>
          <t>there's always a little bit of it</t>
        </is>
      </c>
      <c r="D7053">
        <f>HYPERLINK("https://www.youtube.com/watch?v=zQA8-dUL0-k&amp;t=1435s", "Go to time")</f>
        <v/>
      </c>
    </row>
    <row r="7054">
      <c r="A7054">
        <f>HYPERLINK("https://www.youtube.com/watch?v=rycPZNi-YK0", "Video")</f>
        <v/>
      </c>
      <c r="B7054" t="inlineStr">
        <is>
          <t>1:34</t>
        </is>
      </c>
      <c r="C7054" t="inlineStr">
        <is>
          <t>you number two they become a little bit</t>
        </is>
      </c>
      <c r="D7054">
        <f>HYPERLINK("https://www.youtube.com/watch?v=rycPZNi-YK0&amp;t=94s", "Go to time")</f>
        <v/>
      </c>
    </row>
    <row r="7055">
      <c r="A7055">
        <f>HYPERLINK("https://www.youtube.com/watch?v=S3sTd6TUj54", "Video")</f>
        <v/>
      </c>
      <c r="B7055" t="inlineStr">
        <is>
          <t>1:22</t>
        </is>
      </c>
      <c r="C7055" t="inlineStr">
        <is>
          <t>overlook your partner's bad habits out</t>
        </is>
      </c>
      <c r="D7055">
        <f>HYPERLINK("https://www.youtube.com/watch?v=S3sTd6TUj54&amp;t=82s", "Go to time")</f>
        <v/>
      </c>
    </row>
    <row r="7056">
      <c r="A7056">
        <f>HYPERLINK("https://www.youtube.com/watch?v=cCzzdNd4Io8", "Video")</f>
        <v/>
      </c>
      <c r="B7056" t="inlineStr">
        <is>
          <t>0:00</t>
        </is>
      </c>
      <c r="C7056" t="inlineStr">
        <is>
          <t>ever catch yourself daydreaming a bit</t>
        </is>
      </c>
      <c r="D7056">
        <f>HYPERLINK("https://www.youtube.com/watch?v=cCzzdNd4Io8&amp;t=0s", "Go to time")</f>
        <v/>
      </c>
    </row>
    <row r="7057">
      <c r="A7057">
        <f>HYPERLINK("https://www.youtube.com/watch?v=cCzzdNd4Io8", "Video")</f>
        <v/>
      </c>
      <c r="B7057" t="inlineStr">
        <is>
          <t>2:57</t>
        </is>
      </c>
      <c r="C7057" t="inlineStr">
        <is>
          <t>habit it might be a way of delaying</t>
        </is>
      </c>
      <c r="D7057">
        <f>HYPERLINK("https://www.youtube.com/watch?v=cCzzdNd4Io8&amp;t=177s", "Go to time")</f>
        <v/>
      </c>
    </row>
    <row r="7058">
      <c r="A7058">
        <f>HYPERLINK("https://www.youtube.com/watch?v=I9gCSyO0o_o", "Video")</f>
        <v/>
      </c>
      <c r="B7058" t="inlineStr">
        <is>
          <t>5:31</t>
        </is>
      </c>
      <c r="C7058" t="inlineStr">
        <is>
          <t>exhibit control by a way of threats they</t>
        </is>
      </c>
      <c r="D7058">
        <f>HYPERLINK("https://www.youtube.com/watch?v=I9gCSyO0o_o&amp;t=331s", "Go to time")</f>
        <v/>
      </c>
    </row>
    <row r="7059">
      <c r="A7059">
        <f>HYPERLINK("https://www.youtube.com/watch?v=qIXXkq01u9s", "Video")</f>
        <v/>
      </c>
      <c r="B7059" t="inlineStr">
        <is>
          <t>0:57</t>
        </is>
      </c>
      <c r="C7059" t="inlineStr">
        <is>
          <t>Number two, you have
similar shopping habits.</t>
        </is>
      </c>
      <c r="D7059">
        <f>HYPERLINK("https://www.youtube.com/watch?v=qIXXkq01u9s&amp;t=57s", "Go to time")</f>
        <v/>
      </c>
    </row>
    <row r="7060">
      <c r="A7060">
        <f>HYPERLINK("https://www.youtube.com/watch?v=qIXXkq01u9s", "Video")</f>
        <v/>
      </c>
      <c r="B7060" t="inlineStr">
        <is>
          <t>1:23</t>
        </is>
      </c>
      <c r="C7060" t="inlineStr">
        <is>
          <t>that when you have similar shopping habits</t>
        </is>
      </c>
      <c r="D7060">
        <f>HYPERLINK("https://www.youtube.com/watch?v=qIXXkq01u9s&amp;t=83s", "Go to time")</f>
        <v/>
      </c>
    </row>
    <row r="7061">
      <c r="A7061">
        <f>HYPERLINK("https://www.youtube.com/watch?v=RUyeCxSvgBE", "Video")</f>
        <v/>
      </c>
      <c r="B7061" t="inlineStr">
        <is>
          <t>3:28</t>
        </is>
      </c>
      <c r="C7061" t="inlineStr">
        <is>
          <t>these tidbits it's as if they are</t>
        </is>
      </c>
      <c r="D7061">
        <f>HYPERLINK("https://www.youtube.com/watch?v=RUyeCxSvgBE&amp;t=208s", "Go to time")</f>
        <v/>
      </c>
    </row>
    <row r="7062">
      <c r="A7062">
        <f>HYPERLINK("https://www.youtube.com/watch?v=7HPX6vkVntY", "Video")</f>
        <v/>
      </c>
      <c r="B7062" t="inlineStr">
        <is>
          <t>3:36</t>
        </is>
      </c>
      <c r="C7062" t="inlineStr">
        <is>
          <t>layers you've got the outside bit called</t>
        </is>
      </c>
      <c r="D7062">
        <f>HYPERLINK("https://www.youtube.com/watch?v=7HPX6vkVntY&amp;t=216s", "Go to time")</f>
        <v/>
      </c>
    </row>
    <row r="7063">
      <c r="A7063">
        <f>HYPERLINK("https://www.youtube.com/watch?v=7HPX6vkVntY", "Video")</f>
        <v/>
      </c>
      <c r="B7063" t="inlineStr">
        <is>
          <t>3:38</t>
        </is>
      </c>
      <c r="C7063" t="inlineStr">
        <is>
          <t>the hull then a fibery bit called the</t>
        </is>
      </c>
      <c r="D7063">
        <f>HYPERLINK("https://www.youtube.com/watch?v=7HPX6vkVntY&amp;t=218s", "Go to time")</f>
        <v/>
      </c>
    </row>
    <row r="7064">
      <c r="A7064">
        <f>HYPERLINK("https://www.youtube.com/watch?v=7HPX6vkVntY", "Video")</f>
        <v/>
      </c>
      <c r="B7064" t="inlineStr">
        <is>
          <t>3:43</t>
        </is>
      </c>
      <c r="C7064" t="inlineStr">
        <is>
          <t>innermost bit called The Germ now we get</t>
        </is>
      </c>
      <c r="D7064">
        <f>HYPERLINK("https://www.youtube.com/watch?v=7HPX6vkVntY&amp;t=223s", "Go to time")</f>
        <v/>
      </c>
    </row>
    <row r="7065">
      <c r="A7065">
        <f>HYPERLINK("https://www.youtube.com/watch?v=JLLmLTYCrJA", "Video")</f>
        <v/>
      </c>
      <c r="B7065" t="inlineStr">
        <is>
          <t>0:09</t>
        </is>
      </c>
      <c r="C7065" t="inlineStr">
        <is>
          <t>Perhaps they're even a
bit quiet around you too,</t>
        </is>
      </c>
      <c r="D7065">
        <f>HYPERLINK("https://www.youtube.com/watch?v=JLLmLTYCrJA&amp;t=9s", "Go to time")</f>
        <v/>
      </c>
    </row>
    <row r="7066">
      <c r="A7066">
        <f>HYPERLINK("https://www.youtube.com/watch?v=JLLmLTYCrJA", "Video")</f>
        <v/>
      </c>
      <c r="B7066" t="inlineStr">
        <is>
          <t>0:16</t>
        </is>
      </c>
      <c r="C7066" t="inlineStr">
        <is>
          <t>They have a crush on you,
but they're a bit shy.</t>
        </is>
      </c>
      <c r="D7066">
        <f>HYPERLINK("https://www.youtube.com/watch?v=JLLmLTYCrJA&amp;t=16s", "Go to time")</f>
        <v/>
      </c>
    </row>
    <row r="7067">
      <c r="A7067">
        <f>HYPERLINK("https://www.youtube.com/watch?v=JLLmLTYCrJA", "Video")</f>
        <v/>
      </c>
      <c r="B7067" t="inlineStr">
        <is>
          <t>0:51</t>
        </is>
      </c>
      <c r="C7067" t="inlineStr">
        <is>
          <t>is blushing or is exhibiting
other nervous behavior,</t>
        </is>
      </c>
      <c r="D7067">
        <f>HYPERLINK("https://www.youtube.com/watch?v=JLLmLTYCrJA&amp;t=51s", "Go to time")</f>
        <v/>
      </c>
    </row>
    <row r="7068">
      <c r="A7068">
        <f>HYPERLINK("https://www.youtube.com/watch?v=JLLmLTYCrJA", "Video")</f>
        <v/>
      </c>
      <c r="B7068" t="inlineStr">
        <is>
          <t>0:59</t>
        </is>
      </c>
      <c r="C7068" t="inlineStr">
        <is>
          <t>They're just a bit shy.</t>
        </is>
      </c>
      <c r="D7068">
        <f>HYPERLINK("https://www.youtube.com/watch?v=JLLmLTYCrJA&amp;t=59s", "Go to time")</f>
        <v/>
      </c>
    </row>
    <row r="7069">
      <c r="A7069">
        <f>HYPERLINK("https://www.youtube.com/watch?v=JLLmLTYCrJA", "Video")</f>
        <v/>
      </c>
      <c r="B7069" t="inlineStr">
        <is>
          <t>1:36</t>
        </is>
      </c>
      <c r="C7069" t="inlineStr">
        <is>
          <t>especially if they exhibit
more of these signs.</t>
        </is>
      </c>
      <c r="D7069">
        <f>HYPERLINK("https://www.youtube.com/watch?v=JLLmLTYCrJA&amp;t=96s", "Go to time")</f>
        <v/>
      </c>
    </row>
    <row r="7070">
      <c r="A7070">
        <f>HYPERLINK("https://www.youtube.com/watch?v=JLLmLTYCrJA", "Video")</f>
        <v/>
      </c>
      <c r="B7070" t="inlineStr">
        <is>
          <t>1:40</t>
        </is>
      </c>
      <c r="C7070" t="inlineStr">
        <is>
          <t>they're a bit awkward and
trip over their words,</t>
        </is>
      </c>
      <c r="D7070">
        <f>HYPERLINK("https://www.youtube.com/watch?v=JLLmLTYCrJA&amp;t=100s", "Go to time")</f>
        <v/>
      </c>
    </row>
    <row r="7071">
      <c r="A7071">
        <f>HYPERLINK("https://www.youtube.com/watch?v=JLLmLTYCrJA", "Video")</f>
        <v/>
      </c>
      <c r="B7071" t="inlineStr">
        <is>
          <t>1:59</t>
        </is>
      </c>
      <c r="C7071" t="inlineStr">
        <is>
          <t>or act a bit more awkward around you.</t>
        </is>
      </c>
      <c r="D7071">
        <f>HYPERLINK("https://www.youtube.com/watch?v=JLLmLTYCrJA&amp;t=119s", "Go to time")</f>
        <v/>
      </c>
    </row>
    <row r="7072">
      <c r="A7072">
        <f>HYPERLINK("https://www.youtube.com/watch?v=JLLmLTYCrJA", "Video")</f>
        <v/>
      </c>
      <c r="B7072" t="inlineStr">
        <is>
          <t>3:09</t>
        </is>
      </c>
      <c r="C7072" t="inlineStr">
        <is>
          <t>but are a bit shy and unsure
of how to approach you.</t>
        </is>
      </c>
      <c r="D7072">
        <f>HYPERLINK("https://www.youtube.com/watch?v=JLLmLTYCrJA&amp;t=189s", "Go to time")</f>
        <v/>
      </c>
    </row>
    <row r="7073">
      <c r="A7073">
        <f>HYPERLINK("https://www.youtube.com/watch?v=MVAQ8YRQtCQ", "Video")</f>
        <v/>
      </c>
      <c r="B7073" t="inlineStr">
        <is>
          <t>0:06</t>
        </is>
      </c>
      <c r="C7073" t="inlineStr">
        <is>
          <t>are you letting unhealthy habits or</t>
        </is>
      </c>
      <c r="D7073">
        <f>HYPERLINK("https://www.youtube.com/watch?v=MVAQ8YRQtCQ&amp;t=6s", "Go to time")</f>
        <v/>
      </c>
    </row>
    <row r="7074">
      <c r="A7074">
        <f>HYPERLINK("https://www.youtube.com/watch?v=MVAQ8YRQtCQ", "Video")</f>
        <v/>
      </c>
      <c r="B7074" t="inlineStr">
        <is>
          <t>5:08</t>
        </is>
      </c>
      <c r="C7074" t="inlineStr">
        <is>
          <t>habits that you can change we aren't</t>
        </is>
      </c>
      <c r="D7074">
        <f>HYPERLINK("https://www.youtube.com/watch?v=MVAQ8YRQtCQ&amp;t=308s", "Go to time")</f>
        <v/>
      </c>
    </row>
    <row r="7075">
      <c r="A7075">
        <f>HYPERLINK("https://www.youtube.com/watch?v=MVAQ8YRQtCQ", "Video")</f>
        <v/>
      </c>
      <c r="B7075" t="inlineStr">
        <is>
          <t>5:15</t>
        </is>
      </c>
      <c r="C7075" t="inlineStr">
        <is>
          <t>beliefs habits and actions can change</t>
        </is>
      </c>
      <c r="D7075">
        <f>HYPERLINK("https://www.youtube.com/watch?v=MVAQ8YRQtCQ&amp;t=315s", "Go to time")</f>
        <v/>
      </c>
    </row>
    <row r="7076">
      <c r="A7076">
        <f>HYPERLINK("https://www.youtube.com/watch?v=MVAQ8YRQtCQ", "Video")</f>
        <v/>
      </c>
      <c r="B7076" t="inlineStr">
        <is>
          <t>6:15</t>
        </is>
      </c>
      <c r="C7076" t="inlineStr">
        <is>
          <t>a bit of control over your life which</t>
        </is>
      </c>
      <c r="D7076">
        <f>HYPERLINK("https://www.youtube.com/watch?v=MVAQ8YRQtCQ&amp;t=375s", "Go to time")</f>
        <v/>
      </c>
    </row>
    <row r="7077">
      <c r="A7077">
        <f>HYPERLINK("https://www.youtube.com/watch?v=hqsTbNoQW7M", "Video")</f>
        <v/>
      </c>
      <c r="B7077" t="inlineStr">
        <is>
          <t>0:02</t>
        </is>
      </c>
      <c r="C7077" t="inlineStr">
        <is>
          <t>everything feels a bit off you're not</t>
        </is>
      </c>
      <c r="D7077">
        <f>HYPERLINK("https://www.youtube.com/watch?v=hqsTbNoQW7M&amp;t=2s", "Go to time")</f>
        <v/>
      </c>
    </row>
    <row r="7078">
      <c r="A7078">
        <f>HYPERLINK("https://www.youtube.com/watch?v=lDFsgROu-yY", "Video")</f>
        <v/>
      </c>
      <c r="B7078" t="inlineStr">
        <is>
          <t>4:44</t>
        </is>
      </c>
      <c r="C7078" t="inlineStr">
        <is>
          <t>sounds a bit like you</t>
        </is>
      </c>
      <c r="D7078">
        <f>HYPERLINK("https://www.youtube.com/watch?v=lDFsgROu-yY&amp;t=284s", "Go to time")</f>
        <v/>
      </c>
    </row>
    <row r="7079">
      <c r="A7079">
        <f>HYPERLINK("https://www.youtube.com/watch?v=CMqQIhoYihk", "Video")</f>
        <v/>
      </c>
      <c r="B7079" t="inlineStr">
        <is>
          <t>0:24</t>
        </is>
      </c>
      <c r="C7079" t="inlineStr">
        <is>
          <t>ask you to tell us a little bit more</t>
        </is>
      </c>
      <c r="D7079">
        <f>HYPERLINK("https://www.youtube.com/watch?v=CMqQIhoYihk&amp;t=24s", "Go to time")</f>
        <v/>
      </c>
    </row>
    <row r="7080">
      <c r="A7080">
        <f>HYPERLINK("https://www.youtube.com/watch?v=CMqQIhoYihk", "Video")</f>
        <v/>
      </c>
      <c r="B7080" t="inlineStr">
        <is>
          <t>1:31</t>
        </is>
      </c>
      <c r="C7080" t="inlineStr">
        <is>
          <t>psychology where I actually worked a bit</t>
        </is>
      </c>
      <c r="D7080">
        <f>HYPERLINK("https://www.youtube.com/watch?v=CMqQIhoYihk&amp;t=91s", "Go to time")</f>
        <v/>
      </c>
    </row>
    <row r="7081">
      <c r="A7081">
        <f>HYPERLINK("https://www.youtube.com/watch?v=CMqQIhoYihk", "Video")</f>
        <v/>
      </c>
      <c r="B7081" t="inlineStr">
        <is>
          <t>4:31</t>
        </is>
      </c>
      <c r="C7081" t="inlineStr">
        <is>
          <t>to ask a little bit in terms of so what</t>
        </is>
      </c>
      <c r="D7081">
        <f>HYPERLINK("https://www.youtube.com/watch?v=CMqQIhoYihk&amp;t=271s", "Go to time")</f>
        <v/>
      </c>
    </row>
    <row r="7082">
      <c r="A7082">
        <f>HYPERLINK("https://www.youtube.com/watch?v=CMqQIhoYihk", "Video")</f>
        <v/>
      </c>
      <c r="B7082" t="inlineStr">
        <is>
          <t>5:51</t>
        </is>
      </c>
      <c r="C7082" t="inlineStr">
        <is>
          <t>ask a little bit more about you were</t>
        </is>
      </c>
      <c r="D7082">
        <f>HYPERLINK("https://www.youtube.com/watch?v=CMqQIhoYihk&amp;t=351s", "Go to time")</f>
        <v/>
      </c>
    </row>
    <row r="7083">
      <c r="A7083">
        <f>HYPERLINK("https://www.youtube.com/watch?v=CMqQIhoYihk", "Video")</f>
        <v/>
      </c>
      <c r="B7083" t="inlineStr">
        <is>
          <t>6:06</t>
        </is>
      </c>
      <c r="C7083" t="inlineStr">
        <is>
          <t>um I'd like to ask a little bit more</t>
        </is>
      </c>
      <c r="D7083">
        <f>HYPERLINK("https://www.youtube.com/watch?v=CMqQIhoYihk&amp;t=366s", "Go to time")</f>
        <v/>
      </c>
    </row>
    <row r="7084">
      <c r="A7084">
        <f>HYPERLINK("https://www.youtube.com/watch?v=CMqQIhoYihk", "Video")</f>
        <v/>
      </c>
      <c r="B7084" t="inlineStr">
        <is>
          <t>8:36</t>
        </is>
      </c>
      <c r="C7084" t="inlineStr">
        <is>
          <t>ask a little bit about that so in terms</t>
        </is>
      </c>
      <c r="D7084">
        <f>HYPERLINK("https://www.youtube.com/watch?v=CMqQIhoYihk&amp;t=516s", "Go to time")</f>
        <v/>
      </c>
    </row>
    <row r="7085">
      <c r="A7085">
        <f>HYPERLINK("https://www.youtube.com/watch?v=CMqQIhoYihk", "Video")</f>
        <v/>
      </c>
      <c r="B7085" t="inlineStr">
        <is>
          <t>9:24</t>
        </is>
      </c>
      <c r="C7085" t="inlineStr">
        <is>
          <t>you're curious of a little bit deeper or</t>
        </is>
      </c>
      <c r="D7085">
        <f>HYPERLINK("https://www.youtube.com/watch?v=CMqQIhoYihk&amp;t=564s", "Go to time")</f>
        <v/>
      </c>
    </row>
    <row r="7086">
      <c r="A7086">
        <f>HYPERLINK("https://www.youtube.com/watch?v=CMqQIhoYihk", "Video")</f>
        <v/>
      </c>
      <c r="B7086" t="inlineStr">
        <is>
          <t>9:52</t>
        </is>
      </c>
      <c r="C7086" t="inlineStr">
        <is>
          <t>this is a little bit more of kind of</t>
        </is>
      </c>
      <c r="D7086">
        <f>HYPERLINK("https://www.youtube.com/watch?v=CMqQIhoYihk&amp;t=592s", "Go to time")</f>
        <v/>
      </c>
    </row>
    <row r="7087">
      <c r="A7087">
        <f>HYPERLINK("https://www.youtube.com/watch?v=CMqQIhoYihk", "Video")</f>
        <v/>
      </c>
      <c r="B7087" t="inlineStr">
        <is>
          <t>11:05</t>
        </is>
      </c>
      <c r="C7087" t="inlineStr">
        <is>
          <t>um Veer the question a little bit toward</t>
        </is>
      </c>
      <c r="D7087">
        <f>HYPERLINK("https://www.youtube.com/watch?v=CMqQIhoYihk&amp;t=665s", "Go to time")</f>
        <v/>
      </c>
    </row>
    <row r="7088">
      <c r="A7088">
        <f>HYPERLINK("https://www.youtube.com/watch?v=CMqQIhoYihk", "Video")</f>
        <v/>
      </c>
      <c r="B7088" t="inlineStr">
        <is>
          <t>11:07</t>
        </is>
      </c>
      <c r="C7088" t="inlineStr">
        <is>
          <t>a little bit of scenario so um I'd like</t>
        </is>
      </c>
      <c r="D7088">
        <f>HYPERLINK("https://www.youtube.com/watch?v=CMqQIhoYihk&amp;t=667s", "Go to time")</f>
        <v/>
      </c>
    </row>
    <row r="7089">
      <c r="A7089">
        <f>HYPERLINK("https://www.youtube.com/watch?v=CMqQIhoYihk", "Video")</f>
        <v/>
      </c>
      <c r="B7089" t="inlineStr">
        <is>
          <t>17:33</t>
        </is>
      </c>
      <c r="C7089" t="inlineStr">
        <is>
          <t>bit about</t>
        </is>
      </c>
      <c r="D7089">
        <f>HYPERLINK("https://www.youtube.com/watch?v=CMqQIhoYihk&amp;t=1053s", "Go to time")</f>
        <v/>
      </c>
    </row>
    <row r="7090">
      <c r="A7090">
        <f>HYPERLINK("https://www.youtube.com/watch?v=CMqQIhoYihk", "Video")</f>
        <v/>
      </c>
      <c r="B7090" t="inlineStr">
        <is>
          <t>18:07</t>
        </is>
      </c>
      <c r="C7090" t="inlineStr">
        <is>
          <t>little bit kind of like what are the</t>
        </is>
      </c>
      <c r="D7090">
        <f>HYPERLINK("https://www.youtube.com/watch?v=CMqQIhoYihk&amp;t=1087s", "Go to time")</f>
        <v/>
      </c>
    </row>
    <row r="7091">
      <c r="A7091">
        <f>HYPERLINK("https://www.youtube.com/watch?v=CMqQIhoYihk", "Video")</f>
        <v/>
      </c>
      <c r="B7091" t="inlineStr">
        <is>
          <t>19:00</t>
        </is>
      </c>
      <c r="C7091" t="inlineStr">
        <is>
          <t>you know your audience a little bit more</t>
        </is>
      </c>
      <c r="D7091">
        <f>HYPERLINK("https://www.youtube.com/watch?v=CMqQIhoYihk&amp;t=1140s", "Go to time")</f>
        <v/>
      </c>
    </row>
    <row r="7092">
      <c r="A7092">
        <f>HYPERLINK("https://www.youtube.com/watch?v=CMqQIhoYihk", "Video")</f>
        <v/>
      </c>
      <c r="B7092" t="inlineStr">
        <is>
          <t>20:31</t>
        </is>
      </c>
      <c r="C7092" t="inlineStr">
        <is>
          <t>to talk a little bit about so this I</t>
        </is>
      </c>
      <c r="D7092">
        <f>HYPERLINK("https://www.youtube.com/watch?v=CMqQIhoYihk&amp;t=1231s", "Go to time")</f>
        <v/>
      </c>
    </row>
    <row r="7093">
      <c r="A7093">
        <f>HYPERLINK("https://www.youtube.com/watch?v=CMqQIhoYihk", "Video")</f>
        <v/>
      </c>
      <c r="B7093" t="inlineStr">
        <is>
          <t>22:25</t>
        </is>
      </c>
      <c r="C7093" t="inlineStr">
        <is>
          <t>conversation a little bit toward people</t>
        </is>
      </c>
      <c r="D7093">
        <f>HYPERLINK("https://www.youtube.com/watch?v=CMqQIhoYihk&amp;t=1345s", "Go to time")</f>
        <v/>
      </c>
    </row>
    <row r="7094">
      <c r="A7094">
        <f>HYPERLINK("https://www.youtube.com/watch?v=CMqQIhoYihk", "Video")</f>
        <v/>
      </c>
      <c r="B7094" t="inlineStr">
        <is>
          <t>22:43</t>
        </is>
      </c>
      <c r="C7094" t="inlineStr">
        <is>
          <t>bit but um how often does it happen that</t>
        </is>
      </c>
      <c r="D7094">
        <f>HYPERLINK("https://www.youtube.com/watch?v=CMqQIhoYihk&amp;t=1363s", "Go to time")</f>
        <v/>
      </c>
    </row>
    <row r="7095">
      <c r="A7095">
        <f>HYPERLINK("https://www.youtube.com/watch?v=CMqQIhoYihk", "Video")</f>
        <v/>
      </c>
      <c r="B7095" t="inlineStr">
        <is>
          <t>28:06</t>
        </is>
      </c>
      <c r="C7095" t="inlineStr">
        <is>
          <t>party so it's a little bit more concrete</t>
        </is>
      </c>
      <c r="D7095">
        <f>HYPERLINK("https://www.youtube.com/watch?v=CMqQIhoYihk&amp;t=1686s", "Go to time")</f>
        <v/>
      </c>
    </row>
    <row r="7096">
      <c r="A7096">
        <f>HYPERLINK("https://www.youtube.com/watch?v=CMqQIhoYihk", "Video")</f>
        <v/>
      </c>
      <c r="B7096" t="inlineStr">
        <is>
          <t>34:26</t>
        </is>
      </c>
      <c r="C7096" t="inlineStr">
        <is>
          <t>little bit more of the developmental</t>
        </is>
      </c>
      <c r="D7096">
        <f>HYPERLINK("https://www.youtube.com/watch?v=CMqQIhoYihk&amp;t=2066s", "Go to time")</f>
        <v/>
      </c>
    </row>
    <row r="7097">
      <c r="A7097">
        <f>HYPERLINK("https://www.youtube.com/watch?v=CMqQIhoYihk", "Video")</f>
        <v/>
      </c>
      <c r="B7097" t="inlineStr">
        <is>
          <t>44:10</t>
        </is>
      </c>
      <c r="C7097" t="inlineStr">
        <is>
          <t>we can exhibit that behavior to the</t>
        </is>
      </c>
      <c r="D7097">
        <f>HYPERLINK("https://www.youtube.com/watch?v=CMqQIhoYihk&amp;t=2650s", "Go to time")</f>
        <v/>
      </c>
    </row>
    <row r="7098">
      <c r="A7098">
        <f>HYPERLINK("https://www.youtube.com/watch?v=-0S4I18NumI", "Video")</f>
        <v/>
      </c>
      <c r="B7098" t="inlineStr">
        <is>
          <t>0:13</t>
        </is>
      </c>
      <c r="C7098" t="inlineStr">
        <is>
          <t>being a bit of a polarizing subject some</t>
        </is>
      </c>
      <c r="D7098">
        <f>HYPERLINK("https://www.youtube.com/watch?v=-0S4I18NumI&amp;t=13s", "Go to time")</f>
        <v/>
      </c>
    </row>
    <row r="7099">
      <c r="A7099">
        <f>HYPERLINK("https://www.youtube.com/watch?v=Vl5Kg-Pw3aE", "Video")</f>
        <v/>
      </c>
      <c r="B7099" t="inlineStr">
        <is>
          <t>3:19</t>
        </is>
      </c>
      <c r="C7099" t="inlineStr">
        <is>
          <t>still sting like yesterday still bitter</t>
        </is>
      </c>
      <c r="D7099">
        <f>HYPERLINK("https://www.youtube.com/watch?v=Vl5Kg-Pw3aE&amp;t=199s", "Go to time")</f>
        <v/>
      </c>
    </row>
    <row r="7100">
      <c r="A7100">
        <f>HYPERLINK("https://www.youtube.com/watch?v=wchHQwO0QLc", "Video")</f>
        <v/>
      </c>
      <c r="B7100" t="inlineStr">
        <is>
          <t>5:02</t>
        </is>
      </c>
      <c r="C7100" t="inlineStr">
        <is>
          <t>they're going to get bitten hard be</t>
        </is>
      </c>
      <c r="D7100">
        <f>HYPERLINK("https://www.youtube.com/watch?v=wchHQwO0QLc&amp;t=302s", "Go to time")</f>
        <v/>
      </c>
    </row>
    <row r="7101">
      <c r="A7101">
        <f>HYPERLINK("https://www.youtube.com/watch?v=CZ7lG-rA4nw", "Video")</f>
        <v/>
      </c>
      <c r="B7101" t="inlineStr">
        <is>
          <t>4:54</t>
        </is>
      </c>
      <c r="C7101" t="inlineStr">
        <is>
          <t>these certain posts a bit much right</t>
        </is>
      </c>
      <c r="D7101">
        <f>HYPERLINK("https://www.youtube.com/watch?v=CZ7lG-rA4nw&amp;t=294s", "Go to time")</f>
        <v/>
      </c>
    </row>
    <row r="7102">
      <c r="A7102">
        <f>HYPERLINK("https://www.youtube.com/watch?v=4ZD660xrVtA", "Video")</f>
        <v/>
      </c>
      <c r="B7102" t="inlineStr">
        <is>
          <t>1:35</t>
        </is>
      </c>
      <c r="C7102" t="inlineStr">
        <is>
          <t>habits and they may be caused by an</t>
        </is>
      </c>
      <c r="D7102">
        <f>HYPERLINK("https://www.youtube.com/watch?v=4ZD660xrVtA&amp;t=95s", "Go to time")</f>
        <v/>
      </c>
    </row>
    <row r="7103">
      <c r="A7103">
        <f>HYPERLINK("https://www.youtube.com/watch?v=5nPxSq3tFrI", "Video")</f>
        <v/>
      </c>
      <c r="B7103" t="inlineStr">
        <is>
          <t>1:39</t>
        </is>
      </c>
      <c r="C7103" t="inlineStr">
        <is>
          <t>each other and if there's a bit of</t>
        </is>
      </c>
      <c r="D7103">
        <f>HYPERLINK("https://www.youtube.com/watch?v=5nPxSq3tFrI&amp;t=99s", "Go to time")</f>
        <v/>
      </c>
    </row>
    <row r="7104">
      <c r="A7104">
        <f>HYPERLINK("https://www.youtube.com/watch?v=5nPxSq3tFrI", "Video")</f>
        <v/>
      </c>
      <c r="B7104" t="inlineStr">
        <is>
          <t>3:12</t>
        </is>
      </c>
      <c r="C7104" t="inlineStr">
        <is>
          <t>it may make them simply feel a bit</t>
        </is>
      </c>
      <c r="D7104">
        <f>HYPERLINK("https://www.youtube.com/watch?v=5nPxSq3tFrI&amp;t=192s", "Go to time")</f>
        <v/>
      </c>
    </row>
    <row r="7105">
      <c r="A7105">
        <f>HYPERLINK("https://www.youtube.com/watch?v=5nPxSq3tFrI", "Video")</f>
        <v/>
      </c>
      <c r="B7105" t="inlineStr">
        <is>
          <t>3:14</t>
        </is>
      </c>
      <c r="C7105" t="inlineStr">
        <is>
          <t>awkward having to force a bit of small</t>
        </is>
      </c>
      <c r="D7105">
        <f>HYPERLINK("https://www.youtube.com/watch?v=5nPxSq3tFrI&amp;t=194s", "Go to time")</f>
        <v/>
      </c>
    </row>
    <row r="7106">
      <c r="A7106">
        <f>HYPERLINK("https://www.youtube.com/watch?v=LzHmifZo5Jk", "Video")</f>
        <v/>
      </c>
      <c r="B7106" t="inlineStr">
        <is>
          <t>5:18</t>
        </is>
      </c>
      <c r="C7106" t="inlineStr">
        <is>
          <t>other videos too like harmful habits are</t>
        </is>
      </c>
      <c r="D7106">
        <f>HYPERLINK("https://www.youtube.com/watch?v=LzHmifZo5Jk&amp;t=318s", "Go to time")</f>
        <v/>
      </c>
    </row>
    <row r="7107">
      <c r="A7107">
        <f>HYPERLINK("https://www.youtube.com/watch?v=EkOdB5FdYpc", "Video")</f>
        <v/>
      </c>
      <c r="B7107" t="inlineStr">
        <is>
          <t>1:34</t>
        </is>
      </c>
      <c r="C7107" t="inlineStr">
        <is>
          <t>you number two they become a little bit</t>
        </is>
      </c>
      <c r="D7107">
        <f>HYPERLINK("https://www.youtube.com/watch?v=EkOdB5FdYpc&amp;t=94s", "Go to time")</f>
        <v/>
      </c>
    </row>
    <row r="7108">
      <c r="A7108">
        <f>HYPERLINK("https://www.youtube.com/watch?v=gt9R6Yvo0OM", "Video")</f>
        <v/>
      </c>
      <c r="B7108" t="inlineStr">
        <is>
          <t>0:30</t>
        </is>
      </c>
      <c r="C7108" t="inlineStr">
        <is>
          <t>A lot of people can become
a bit awkward at first</t>
        </is>
      </c>
      <c r="D7108">
        <f>HYPERLINK("https://www.youtube.com/watch?v=gt9R6Yvo0OM&amp;t=30s", "Go to time")</f>
        <v/>
      </c>
    </row>
    <row r="7109">
      <c r="A7109">
        <f>HYPERLINK("https://www.youtube.com/watch?v=gt9R6Yvo0OM", "Video")</f>
        <v/>
      </c>
      <c r="B7109" t="inlineStr">
        <is>
          <t>1:15</t>
        </is>
      </c>
      <c r="C7109" t="inlineStr">
        <is>
          <t>or perhaps their voice
sounds a bit sexier.</t>
        </is>
      </c>
      <c r="D7109">
        <f>HYPERLINK("https://www.youtube.com/watch?v=gt9R6Yvo0OM&amp;t=75s", "Go to time")</f>
        <v/>
      </c>
    </row>
    <row r="7110">
      <c r="A7110">
        <f>HYPERLINK("https://www.youtube.com/watch?v=gt9R6Yvo0OM", "Video")</f>
        <v/>
      </c>
      <c r="B7110" t="inlineStr">
        <is>
          <t>3:06</t>
        </is>
      </c>
      <c r="C7110" t="inlineStr">
        <is>
          <t>they'll generally put a bit of effort</t>
        </is>
      </c>
      <c r="D7110">
        <f>HYPERLINK("https://www.youtube.com/watch?v=gt9R6Yvo0OM&amp;t=186s", "Go to time")</f>
        <v/>
      </c>
    </row>
    <row r="7111">
      <c r="A7111">
        <f>HYPERLINK("https://www.youtube.com/watch?v=tJOu2l-_940", "Video")</f>
        <v/>
      </c>
      <c r="B7111" t="inlineStr">
        <is>
          <t>6:42</t>
        </is>
      </c>
      <c r="C7111" t="inlineStr">
        <is>
          <t>understanding current habits once you</t>
        </is>
      </c>
      <c r="D7111">
        <f>HYPERLINK("https://www.youtube.com/watch?v=tJOu2l-_940&amp;t=402s", "Go to time")</f>
        <v/>
      </c>
    </row>
    <row r="7112">
      <c r="A7112">
        <f>HYPERLINK("https://www.youtube.com/watch?v=AdIaRGT50LI", "Video")</f>
        <v/>
      </c>
      <c r="B7112" t="inlineStr">
        <is>
          <t>0:25</t>
        </is>
      </c>
      <c r="C7112" t="inlineStr">
        <is>
          <t>habits can reveal a lot about us</t>
        </is>
      </c>
      <c r="D7112">
        <f>HYPERLINK("https://www.youtube.com/watch?v=AdIaRGT50LI&amp;t=25s", "Go to time")</f>
        <v/>
      </c>
    </row>
    <row r="7113">
      <c r="A7113">
        <f>HYPERLINK("https://www.youtube.com/watch?v=AdIaRGT50LI", "Video")</f>
        <v/>
      </c>
      <c r="B7113" t="inlineStr">
        <is>
          <t>0:52</t>
        </is>
      </c>
      <c r="C7113" t="inlineStr">
        <is>
          <t>habits now all in an effort to see what</t>
        </is>
      </c>
      <c r="D7113">
        <f>HYPERLINK("https://www.youtube.com/watch?v=AdIaRGT50LI&amp;t=52s", "Go to time")</f>
        <v/>
      </c>
    </row>
    <row r="7114">
      <c r="A7114">
        <f>HYPERLINK("https://www.youtube.com/watch?v=AdIaRGT50LI", "Video")</f>
        <v/>
      </c>
      <c r="B7114" t="inlineStr">
        <is>
          <t>3:31</t>
        </is>
      </c>
      <c r="C7114" t="inlineStr">
        <is>
          <t>where you spread a bit of gossip a lot</t>
        </is>
      </c>
      <c r="D7114">
        <f>HYPERLINK("https://www.youtube.com/watch?v=AdIaRGT50LI&amp;t=211s", "Go to time")</f>
        <v/>
      </c>
    </row>
    <row r="7115">
      <c r="A7115">
        <f>HYPERLINK("https://www.youtube.com/watch?v=AdIaRGT50LI", "Video")</f>
        <v/>
      </c>
      <c r="B7115" t="inlineStr">
        <is>
          <t>6:51</t>
        </is>
      </c>
      <c r="C7115" t="inlineStr">
        <is>
          <t>social media often you may feel a bit</t>
        </is>
      </c>
      <c r="D7115">
        <f>HYPERLINK("https://www.youtube.com/watch?v=AdIaRGT50LI&amp;t=411s", "Go to time")</f>
        <v/>
      </c>
    </row>
    <row r="7116">
      <c r="A7116">
        <f>HYPERLINK("https://www.youtube.com/watch?v=AdIaRGT50LI", "Video")</f>
        <v/>
      </c>
      <c r="B7116" t="inlineStr">
        <is>
          <t>7:05</t>
        </is>
      </c>
      <c r="C7116" t="inlineStr">
        <is>
          <t>so what social media habits do you</t>
        </is>
      </c>
      <c r="D7116">
        <f>HYPERLINK("https://www.youtube.com/watch?v=AdIaRGT50LI&amp;t=425s", "Go to time")</f>
        <v/>
      </c>
    </row>
    <row r="7117">
      <c r="A7117">
        <f>HYPERLINK("https://www.youtube.com/watch?v=XQzE67grL20", "Video")</f>
        <v/>
      </c>
      <c r="B7117" t="inlineStr">
        <is>
          <t>5:26</t>
        </is>
      </c>
      <c r="C7117" t="inlineStr">
        <is>
          <t>now but with time patience and a bit of</t>
        </is>
      </c>
      <c r="D7117">
        <f>HYPERLINK("https://www.youtube.com/watch?v=XQzE67grL20&amp;t=326s", "Go to time")</f>
        <v/>
      </c>
    </row>
    <row r="7118">
      <c r="A7118">
        <f>HYPERLINK("https://www.youtube.com/watch?v=l_eQsQcc-l8", "Video")</f>
        <v/>
      </c>
      <c r="B7118" t="inlineStr">
        <is>
          <t>1:44</t>
        </is>
      </c>
      <c r="C7118" t="inlineStr">
        <is>
          <t>does someone in your life exhibit this</t>
        </is>
      </c>
      <c r="D7118">
        <f>HYPERLINK("https://www.youtube.com/watch?v=l_eQsQcc-l8&amp;t=104s", "Go to time")</f>
        <v/>
      </c>
    </row>
    <row r="7119">
      <c r="A7119">
        <f>HYPERLINK("https://www.youtube.com/watch?v=SKfNvcxixO4", "Video")</f>
        <v/>
      </c>
      <c r="B7119" t="inlineStr">
        <is>
          <t>1:04</t>
        </is>
      </c>
      <c r="C7119" t="inlineStr">
        <is>
          <t>habits and ways of coping can be passed</t>
        </is>
      </c>
      <c r="D7119">
        <f>HYPERLINK("https://www.youtube.com/watch?v=SKfNvcxixO4&amp;t=64s", "Go to time")</f>
        <v/>
      </c>
    </row>
    <row r="7120">
      <c r="A7120">
        <f>HYPERLINK("https://www.youtube.com/watch?v=2fiDPRjQyDQ", "Video")</f>
        <v/>
      </c>
      <c r="B7120" t="inlineStr">
        <is>
          <t>3:15</t>
        </is>
      </c>
      <c r="C7120" t="inlineStr">
        <is>
          <t>dedicate exorbitant time and even money</t>
        </is>
      </c>
      <c r="D7120">
        <f>HYPERLINK("https://www.youtube.com/watch?v=2fiDPRjQyDQ&amp;t=195s", "Go to time")</f>
        <v/>
      </c>
    </row>
    <row r="7121">
      <c r="A7121">
        <f>HYPERLINK("https://www.youtube.com/watch?v=2fiDPRjQyDQ", "Video")</f>
        <v/>
      </c>
      <c r="B7121" t="inlineStr">
        <is>
          <t>3:25</t>
        </is>
      </c>
      <c r="C7121" t="inlineStr">
        <is>
          <t>masturbation habits are taking time and</t>
        </is>
      </c>
      <c r="D7121">
        <f>HYPERLINK("https://www.youtube.com/watch?v=2fiDPRjQyDQ&amp;t=205s", "Go to time")</f>
        <v/>
      </c>
    </row>
    <row r="7122">
      <c r="A7122">
        <f>HYPERLINK("https://www.youtube.com/watch?v=2fiDPRjQyDQ", "Video")</f>
        <v/>
      </c>
      <c r="B7122" t="inlineStr">
        <is>
          <t>5:43</t>
        </is>
      </c>
      <c r="C7122" t="inlineStr">
        <is>
          <t>to take a look at your own habits to see</t>
        </is>
      </c>
      <c r="D7122">
        <f>HYPERLINK("https://www.youtube.com/watch?v=2fiDPRjQyDQ&amp;t=343s", "Go to time")</f>
        <v/>
      </c>
    </row>
    <row r="7123">
      <c r="A7123">
        <f>HYPERLINK("https://www.youtube.com/watch?v=JJSTpPr9Bhg", "Video")</f>
        <v/>
      </c>
      <c r="B7123" t="inlineStr">
        <is>
          <t>0:04</t>
        </is>
      </c>
      <c r="C7123" t="inlineStr">
        <is>
          <t>why it's not uncommon to develop habits</t>
        </is>
      </c>
      <c r="D7123">
        <f>HYPERLINK("https://www.youtube.com/watch?v=JJSTpPr9Bhg&amp;t=4s", "Go to time")</f>
        <v/>
      </c>
    </row>
    <row r="7124">
      <c r="A7124">
        <f>HYPERLINK("https://www.youtube.com/watch?v=JJSTpPr9Bhg", "Video")</f>
        <v/>
      </c>
      <c r="B7124" t="inlineStr">
        <is>
          <t>0:09</t>
        </is>
      </c>
      <c r="C7124" t="inlineStr">
        <is>
          <t>it these habits can gradually wear you</t>
        </is>
      </c>
      <c r="D7124">
        <f>HYPERLINK("https://www.youtube.com/watch?v=JJSTpPr9Bhg&amp;t=9s", "Go to time")</f>
        <v/>
      </c>
    </row>
    <row r="7125">
      <c r="A7125">
        <f>HYPERLINK("https://www.youtube.com/watch?v=JJSTpPr9Bhg", "Video")</f>
        <v/>
      </c>
      <c r="B7125" t="inlineStr">
        <is>
          <t>0:17</t>
        </is>
      </c>
      <c r="C7125" t="inlineStr">
        <is>
          <t>draining habits by making small changes</t>
        </is>
      </c>
      <c r="D7125">
        <f>HYPERLINK("https://www.youtube.com/watch?v=JJSTpPr9Bhg&amp;t=17s", "Go to time")</f>
        <v/>
      </c>
    </row>
    <row r="7126">
      <c r="A7126">
        <f>HYPERLINK("https://www.youtube.com/watch?v=JJSTpPr9Bhg", "Video")</f>
        <v/>
      </c>
      <c r="B7126" t="inlineStr">
        <is>
          <t>0:21</t>
        </is>
      </c>
      <c r="C7126" t="inlineStr">
        <is>
          <t>aware of your habits you can start to</t>
        </is>
      </c>
      <c r="D7126">
        <f>HYPERLINK("https://www.youtube.com/watch?v=JJSTpPr9Bhg&amp;t=21s", "Go to time")</f>
        <v/>
      </c>
    </row>
    <row r="7127">
      <c r="A7127">
        <f>HYPERLINK("https://www.youtube.com/watch?v=JJSTpPr9Bhg", "Video")</f>
        <v/>
      </c>
      <c r="B7127" t="inlineStr">
        <is>
          <t>0:27</t>
        </is>
      </c>
      <c r="C7127" t="inlineStr">
        <is>
          <t>some of the most common habits that</t>
        </is>
      </c>
      <c r="D7127">
        <f>HYPERLINK("https://www.youtube.com/watch?v=JJSTpPr9Bhg&amp;t=27s", "Go to time")</f>
        <v/>
      </c>
    </row>
    <row r="7128">
      <c r="A7128">
        <f>HYPERLINK("https://www.youtube.com/watch?v=JJSTpPr9Bhg", "Video")</f>
        <v/>
      </c>
      <c r="B7128" t="inlineStr">
        <is>
          <t>1:35</t>
        </is>
      </c>
      <c r="C7128" t="inlineStr">
        <is>
          <t>it's a habit that many of us fall into</t>
        </is>
      </c>
      <c r="D7128">
        <f>HYPERLINK("https://www.youtube.com/watch?v=JJSTpPr9Bhg&amp;t=95s", "Go to time")</f>
        <v/>
      </c>
    </row>
    <row r="7129">
      <c r="A7129">
        <f>HYPERLINK("https://www.youtube.com/watch?v=JJSTpPr9Bhg", "Video")</f>
        <v/>
      </c>
      <c r="B7129" t="inlineStr">
        <is>
          <t>1:56</t>
        </is>
      </c>
      <c r="C7129" t="inlineStr">
        <is>
          <t>breaking this habit can be challenging</t>
        </is>
      </c>
      <c r="D7129">
        <f>HYPERLINK("https://www.youtube.com/watch?v=JJSTpPr9Bhg&amp;t=116s", "Go to time")</f>
        <v/>
      </c>
    </row>
    <row r="7130">
      <c r="A7130">
        <f>HYPERLINK("https://www.youtube.com/watch?v=EjAW1-B9v5g", "Video")</f>
        <v/>
      </c>
      <c r="B7130" t="inlineStr">
        <is>
          <t>4:13</t>
        </is>
      </c>
      <c r="C7130" t="inlineStr">
        <is>
          <t>number nine how would you habitually</t>
        </is>
      </c>
      <c r="D7130">
        <f>HYPERLINK("https://www.youtube.com/watch?v=EjAW1-B9v5g&amp;t=253s", "Go to time")</f>
        <v/>
      </c>
    </row>
    <row r="7131">
      <c r="A7131">
        <f>HYPERLINK("https://www.youtube.com/watch?v=8bPVXGJ7NAc", "Video")</f>
        <v/>
      </c>
      <c r="B7131" t="inlineStr">
        <is>
          <t>2:48</t>
        </is>
      </c>
      <c r="C7131" t="inlineStr">
        <is>
          <t>can you explain that a bit more to show</t>
        </is>
      </c>
      <c r="D7131">
        <f>HYPERLINK("https://www.youtube.com/watch?v=8bPVXGJ7NAc&amp;t=168s", "Go to time")</f>
        <v/>
      </c>
    </row>
    <row r="7132">
      <c r="A7132">
        <f>HYPERLINK("https://www.youtube.com/watch?v=kJtVQf7sk30", "Video")</f>
        <v/>
      </c>
      <c r="B7132" t="inlineStr">
        <is>
          <t>3:03</t>
        </is>
      </c>
      <c r="C7132" t="inlineStr">
        <is>
          <t>come with a bit of controversy there are</t>
        </is>
      </c>
      <c r="D7132">
        <f>HYPERLINK("https://www.youtube.com/watch?v=kJtVQf7sk30&amp;t=183s", "Go to time")</f>
        <v/>
      </c>
    </row>
    <row r="7133">
      <c r="A7133">
        <f>HYPERLINK("https://www.youtube.com/watch?v=jLnx9NO0VoA", "Video")</f>
        <v/>
      </c>
      <c r="B7133" t="inlineStr">
        <is>
          <t>0:10</t>
        </is>
      </c>
      <c r="C7133" t="inlineStr">
        <is>
          <t>may be certain habits and tendencies</t>
        </is>
      </c>
      <c r="D7133">
        <f>HYPERLINK("https://www.youtube.com/watch?v=jLnx9NO0VoA&amp;t=10s", "Go to time")</f>
        <v/>
      </c>
    </row>
    <row r="7134">
      <c r="A7134">
        <f>HYPERLINK("https://www.youtube.com/watch?v=jLnx9NO0VoA", "Video")</f>
        <v/>
      </c>
      <c r="B7134" t="inlineStr">
        <is>
          <t>2:58</t>
        </is>
      </c>
      <c r="C7134" t="inlineStr">
        <is>
          <t>own thoughts moral mors or Ambitions</t>
        </is>
      </c>
      <c r="D7134">
        <f>HYPERLINK("https://www.youtube.com/watch?v=jLnx9NO0VoA&amp;t=178s", "Go to time")</f>
        <v/>
      </c>
    </row>
    <row r="7135">
      <c r="A7135">
        <f>HYPERLINK("https://www.youtube.com/watch?v=QgVGuE2G3R0", "Video")</f>
        <v/>
      </c>
      <c r="B7135" t="inlineStr">
        <is>
          <t>2:01</t>
        </is>
      </c>
      <c r="C7135" t="inlineStr">
        <is>
          <t>Rabbit Hole to fill in all the blanks on</t>
        </is>
      </c>
      <c r="D7135">
        <f>HYPERLINK("https://www.youtube.com/watch?v=QgVGuE2G3R0&amp;t=121s", "Go to time")</f>
        <v/>
      </c>
    </row>
    <row r="7136">
      <c r="A7136">
        <f>HYPERLINK("https://www.youtube.com/watch?v=EaK54Et_xQw", "Video")</f>
        <v/>
      </c>
      <c r="B7136" t="inlineStr">
        <is>
          <t>4:59</t>
        </is>
      </c>
      <c r="C7136" t="inlineStr">
        <is>
          <t>be a bit of a tall order sometimes quiet</t>
        </is>
      </c>
      <c r="D7136">
        <f>HYPERLINK("https://www.youtube.com/watch?v=EaK54Et_xQw&amp;t=299s", "Go to time")</f>
        <v/>
      </c>
    </row>
    <row r="7137">
      <c r="A7137">
        <f>HYPERLINK("https://www.youtube.com/watch?v=5iLhA8eM8yg", "Video")</f>
        <v/>
      </c>
      <c r="B7137" t="inlineStr">
        <is>
          <t>4:31</t>
        </is>
      </c>
      <c r="C7137" t="inlineStr">
        <is>
          <t>relationships and might feel a bit</t>
        </is>
      </c>
      <c r="D7137">
        <f>HYPERLINK("https://www.youtube.com/watch?v=5iLhA8eM8yg&amp;t=271s", "Go to time")</f>
        <v/>
      </c>
    </row>
    <row r="7138">
      <c r="A7138">
        <f>HYPERLINK("https://www.youtube.com/watch?v=1DmphC3Wozo", "Video")</f>
        <v/>
      </c>
      <c r="B7138" t="inlineStr">
        <is>
          <t>4:20</t>
        </is>
      </c>
      <c r="C7138" t="inlineStr">
        <is>
          <t>lifestyle habits can bolster emotional</t>
        </is>
      </c>
      <c r="D7138">
        <f>HYPERLINK("https://www.youtube.com/watch?v=1DmphC3Wozo&amp;t=260s", "Go to time")</f>
        <v/>
      </c>
    </row>
    <row r="7139">
      <c r="A7139">
        <f>HYPERLINK("https://www.youtube.com/watch?v=NDpWywXqxa0", "Video")</f>
        <v/>
      </c>
      <c r="B7139" t="inlineStr">
        <is>
          <t>0:40</t>
        </is>
      </c>
      <c r="C7139" t="inlineStr">
        <is>
          <t>them this is a habit you most likely</t>
        </is>
      </c>
      <c r="D7139">
        <f>HYPERLINK("https://www.youtube.com/watch?v=NDpWywXqxa0&amp;t=40s", "Go to time")</f>
        <v/>
      </c>
    </row>
    <row r="7140">
      <c r="A7140">
        <f>HYPERLINK("https://www.youtube.com/watch?v=NDpWywXqxa0", "Video")</f>
        <v/>
      </c>
      <c r="B7140" t="inlineStr">
        <is>
          <t>4:49</t>
        </is>
      </c>
      <c r="C7140" t="inlineStr">
        <is>
          <t>a habit of things that make you feel</t>
        </is>
      </c>
      <c r="D7140">
        <f>HYPERLINK("https://www.youtube.com/watch?v=NDpWywXqxa0&amp;t=289s", "Go to time")</f>
        <v/>
      </c>
    </row>
    <row r="7141">
      <c r="A7141">
        <f>HYPERLINK("https://www.youtube.com/watch?v=uerw0d7Sga0", "Video")</f>
        <v/>
      </c>
      <c r="B7141" t="inlineStr">
        <is>
          <t>0:35</t>
        </is>
      </c>
      <c r="C7141" t="inlineStr">
        <is>
          <t>too you don't have to be bitter and</t>
        </is>
      </c>
      <c r="D7141">
        <f>HYPERLINK("https://www.youtube.com/watch?v=uerw0d7Sga0&amp;t=35s", "Go to time")</f>
        <v/>
      </c>
    </row>
    <row r="7142">
      <c r="A7142">
        <f>HYPERLINK("https://www.youtube.com/watch?v=8TK1U2f1qPg", "Video")</f>
        <v/>
      </c>
      <c r="B7142" t="inlineStr">
        <is>
          <t>2:06</t>
        </is>
      </c>
      <c r="C7142" t="inlineStr">
        <is>
          <t>a constant Habit to be honest I don't</t>
        </is>
      </c>
      <c r="D7142">
        <f>HYPERLINK("https://www.youtube.com/watch?v=8TK1U2f1qPg&amp;t=126s", "Go to time")</f>
        <v/>
      </c>
    </row>
    <row r="7143">
      <c r="A7143">
        <f>HYPERLINK("https://www.youtube.com/watch?v=f1M4pQy3_fE", "Video")</f>
        <v/>
      </c>
      <c r="B7143" t="inlineStr">
        <is>
          <t>0:30</t>
        </is>
      </c>
      <c r="C7143" t="inlineStr">
        <is>
          <t>a little bit about yourself and your</t>
        </is>
      </c>
      <c r="D7143">
        <f>HYPERLINK("https://www.youtube.com/watch?v=f1M4pQy3_fE&amp;t=30s", "Go to time")</f>
        <v/>
      </c>
    </row>
    <row r="7144">
      <c r="A7144">
        <f>HYPERLINK("https://www.youtube.com/watch?v=f1M4pQy3_fE", "Video")</f>
        <v/>
      </c>
      <c r="B7144" t="inlineStr">
        <is>
          <t>1:46</t>
        </is>
      </c>
      <c r="C7144" t="inlineStr">
        <is>
          <t>had really rigid routines and habits and</t>
        </is>
      </c>
      <c r="D7144">
        <f>HYPERLINK("https://www.youtube.com/watch?v=f1M4pQy3_fE&amp;t=106s", "Go to time")</f>
        <v/>
      </c>
    </row>
    <row r="7145">
      <c r="A7145">
        <f>HYPERLINK("https://www.youtube.com/watch?v=f1M4pQy3_fE", "Video")</f>
        <v/>
      </c>
      <c r="B7145" t="inlineStr">
        <is>
          <t>7:25</t>
        </is>
      </c>
      <c r="C7145" t="inlineStr">
        <is>
          <t>um also fills you with a bit of</t>
        </is>
      </c>
      <c r="D7145">
        <f>HYPERLINK("https://www.youtube.com/watch?v=f1M4pQy3_fE&amp;t=445s", "Go to time")</f>
        <v/>
      </c>
    </row>
    <row r="7146">
      <c r="A7146">
        <f>HYPERLINK("https://www.youtube.com/watch?v=f1M4pQy3_fE", "Video")</f>
        <v/>
      </c>
      <c r="B7146" t="inlineStr">
        <is>
          <t>8:42</t>
        </is>
      </c>
      <c r="C7146" t="inlineStr">
        <is>
          <t>um nowadays I have a bit more insight</t>
        </is>
      </c>
      <c r="D7146">
        <f>HYPERLINK("https://www.youtube.com/watch?v=f1M4pQy3_fE&amp;t=522s", "Go to time")</f>
        <v/>
      </c>
    </row>
    <row r="7147">
      <c r="A7147">
        <f>HYPERLINK("https://www.youtube.com/watch?v=f1M4pQy3_fE", "Video")</f>
        <v/>
      </c>
      <c r="B7147" t="inlineStr">
        <is>
          <t>9:04</t>
        </is>
      </c>
      <c r="C7147" t="inlineStr">
        <is>
          <t>think they were a bit more supportive of</t>
        </is>
      </c>
      <c r="D7147">
        <f>HYPERLINK("https://www.youtube.com/watch?v=f1M4pQy3_fE&amp;t=544s", "Go to time")</f>
        <v/>
      </c>
    </row>
    <row r="7148">
      <c r="A7148">
        <f>HYPERLINK("https://www.youtube.com/watch?v=f1M4pQy3_fE", "Video")</f>
        <v/>
      </c>
      <c r="B7148" t="inlineStr">
        <is>
          <t>9:26</t>
        </is>
      </c>
      <c r="C7148" t="inlineStr">
        <is>
          <t>afterwards they were a bit more open to</t>
        </is>
      </c>
      <c r="D7148">
        <f>HYPERLINK("https://www.youtube.com/watch?v=f1M4pQy3_fE&amp;t=566s", "Go to time")</f>
        <v/>
      </c>
    </row>
    <row r="7149">
      <c r="A7149">
        <f>HYPERLINK("https://www.youtube.com/watch?v=f1M4pQy3_fE", "Video")</f>
        <v/>
      </c>
      <c r="B7149" t="inlineStr">
        <is>
          <t>10:31</t>
        </is>
      </c>
      <c r="C7149" t="inlineStr">
        <is>
          <t>that and it's a bit condescending</t>
        </is>
      </c>
      <c r="D7149">
        <f>HYPERLINK("https://www.youtube.com/watch?v=f1M4pQy3_fE&amp;t=631s", "Go to time")</f>
        <v/>
      </c>
    </row>
    <row r="7150">
      <c r="A7150">
        <f>HYPERLINK("https://www.youtube.com/watch?v=f1M4pQy3_fE", "Video")</f>
        <v/>
      </c>
      <c r="B7150" t="inlineStr">
        <is>
          <t>31:30</t>
        </is>
      </c>
      <c r="C7150" t="inlineStr">
        <is>
          <t>bit bored of the conversation maybe they</t>
        </is>
      </c>
      <c r="D7150">
        <f>HYPERLINK("https://www.youtube.com/watch?v=f1M4pQy3_fE&amp;t=1890s", "Go to time")</f>
        <v/>
      </c>
    </row>
    <row r="7151">
      <c r="A7151">
        <f>HYPERLINK("https://www.youtube.com/watch?v=f1M4pQy3_fE", "Video")</f>
        <v/>
      </c>
      <c r="B7151" t="inlineStr">
        <is>
          <t>34:38</t>
        </is>
      </c>
      <c r="C7151" t="inlineStr">
        <is>
          <t>she's trying to get at a little bit yes</t>
        </is>
      </c>
      <c r="D7151">
        <f>HYPERLINK("https://www.youtube.com/watch?v=f1M4pQy3_fE&amp;t=2078s", "Go to time")</f>
        <v/>
      </c>
    </row>
    <row r="7152">
      <c r="A7152">
        <f>HYPERLINK("https://www.youtube.com/watch?v=f1M4pQy3_fE", "Video")</f>
        <v/>
      </c>
      <c r="B7152" t="inlineStr">
        <is>
          <t>35:31</t>
        </is>
      </c>
      <c r="C7152" t="inlineStr">
        <is>
          <t>things a little bit</t>
        </is>
      </c>
      <c r="D7152">
        <f>HYPERLINK("https://www.youtube.com/watch?v=f1M4pQy3_fE&amp;t=2131s", "Go to time")</f>
        <v/>
      </c>
    </row>
    <row r="7153">
      <c r="A7153">
        <f>HYPERLINK("https://www.youtube.com/watch?v=6AIlTxE-50s", "Video")</f>
        <v/>
      </c>
      <c r="B7153" t="inlineStr">
        <is>
          <t>2:27</t>
        </is>
      </c>
      <c r="C7153" t="inlineStr">
        <is>
          <t>such as level of ambition and kindness</t>
        </is>
      </c>
      <c r="D7153">
        <f>HYPERLINK("https://www.youtube.com/watch?v=6AIlTxE-50s&amp;t=147s", "Go to time")</f>
        <v/>
      </c>
    </row>
    <row r="7154">
      <c r="A7154">
        <f>HYPERLINK("https://www.youtube.com/watch?v=aJwB7i2Tll4", "Video")</f>
        <v/>
      </c>
      <c r="B7154" t="inlineStr">
        <is>
          <t>1:53</t>
        </is>
      </c>
      <c r="C7154" t="inlineStr">
        <is>
          <t>of the Woods was a bit of a
controversial one when it came</t>
        </is>
      </c>
      <c r="D7154">
        <f>HYPERLINK("https://www.youtube.com/watch?v=aJwB7i2Tll4&amp;t=113s", "Go to time")</f>
        <v/>
      </c>
    </row>
    <row r="7155">
      <c r="A7155">
        <f>HYPERLINK("https://www.youtube.com/watch?v=_w6lso6YZRs", "Video")</f>
        <v/>
      </c>
      <c r="B7155" t="inlineStr">
        <is>
          <t>1:03</t>
        </is>
      </c>
      <c r="C7155" t="inlineStr">
        <is>
          <t>and if your crush is seemingly
exhibiting several different</t>
        </is>
      </c>
      <c r="D7155">
        <f>HYPERLINK("https://www.youtube.com/watch?v=_w6lso6YZRs&amp;t=63s", "Go to time")</f>
        <v/>
      </c>
    </row>
    <row r="7156">
      <c r="A7156">
        <f>HYPERLINK("https://www.youtube.com/watch?v=_w6lso6YZRs", "Video")</f>
        <v/>
      </c>
      <c r="B7156" t="inlineStr">
        <is>
          <t>2:09</t>
        </is>
      </c>
      <c r="C7156" t="inlineStr">
        <is>
          <t>and you are not around
orbiting your social media.</t>
        </is>
      </c>
      <c r="D7156">
        <f>HYPERLINK("https://www.youtube.com/watch?v=_w6lso6YZRs&amp;t=129s", "Go to time")</f>
        <v/>
      </c>
    </row>
    <row r="7157">
      <c r="A7157">
        <f>HYPERLINK("https://www.youtube.com/watch?v=tleepA9HvYA", "Video")</f>
        <v/>
      </c>
      <c r="B7157" t="inlineStr">
        <is>
          <t>0:18</t>
        </is>
      </c>
      <c r="C7157" t="inlineStr">
        <is>
          <t>Here are some habits we can mix</t>
        </is>
      </c>
      <c r="D7157">
        <f>HYPERLINK("https://www.youtube.com/watch?v=tleepA9HvYA&amp;t=18s", "Go to time")</f>
        <v/>
      </c>
    </row>
    <row r="7158">
      <c r="A7158">
        <f>HYPERLINK("https://www.youtube.com/watch?v=tleepA9HvYA", "Video")</f>
        <v/>
      </c>
      <c r="B7158" t="inlineStr">
        <is>
          <t>3:20</t>
        </is>
      </c>
      <c r="C7158" t="inlineStr">
        <is>
          <t>and you still get to procrastinate a bit.</t>
        </is>
      </c>
      <c r="D7158">
        <f>HYPERLINK("https://www.youtube.com/watch?v=tleepA9HvYA&amp;t=200s", "Go to time")</f>
        <v/>
      </c>
    </row>
    <row r="7159">
      <c r="A7159">
        <f>HYPERLINK("https://www.youtube.com/watch?v=tleepA9HvYA", "Video")</f>
        <v/>
      </c>
      <c r="B7159" t="inlineStr">
        <is>
          <t>3:29</t>
        </is>
      </c>
      <c r="C7159" t="inlineStr">
        <is>
          <t>This lets you parcel
them out into little bits</t>
        </is>
      </c>
      <c r="D7159">
        <f>HYPERLINK("https://www.youtube.com/watch?v=tleepA9HvYA&amp;t=209s", "Go to time")</f>
        <v/>
      </c>
    </row>
    <row r="7160">
      <c r="A7160">
        <f>HYPERLINK("https://www.youtube.com/watch?v=tleepA9HvYA", "Video")</f>
        <v/>
      </c>
      <c r="B7160" t="inlineStr">
        <is>
          <t>4:13</t>
        </is>
      </c>
      <c r="C7160" t="inlineStr">
        <is>
          <t>or daydream about it to
get a bit of a boost.</t>
        </is>
      </c>
      <c r="D7160">
        <f>HYPERLINK("https://www.youtube.com/watch?v=tleepA9HvYA&amp;t=253s", "Go to time")</f>
        <v/>
      </c>
    </row>
    <row r="7161">
      <c r="A7161">
        <f>HYPERLINK("https://www.youtube.com/watch?v=tleepA9HvYA", "Video")</f>
        <v/>
      </c>
      <c r="B7161" t="inlineStr">
        <is>
          <t>5:49</t>
        </is>
      </c>
      <c r="C7161" t="inlineStr">
        <is>
          <t>Our modern lives have these
sneaky seemingly normal habits</t>
        </is>
      </c>
      <c r="D7161">
        <f>HYPERLINK("https://www.youtube.com/watch?v=tleepA9HvYA&amp;t=349s", "Go to time")</f>
        <v/>
      </c>
    </row>
    <row r="7162">
      <c r="A7162">
        <f>HYPERLINK("https://www.youtube.com/watch?v=3j9Y29PzjHo", "Video")</f>
        <v/>
      </c>
      <c r="B7162" t="inlineStr">
        <is>
          <t>0:38</t>
        </is>
      </c>
      <c r="C7162" t="inlineStr">
        <is>
          <t>habits this is why we're breaking down</t>
        </is>
      </c>
      <c r="D7162">
        <f>HYPERLINK("https://www.youtube.com/watch?v=3j9Y29PzjHo&amp;t=38s", "Go to time")</f>
        <v/>
      </c>
    </row>
    <row r="7163">
      <c r="A7163">
        <f>HYPERLINK("https://www.youtube.com/watch?v=3j9Y29PzjHo", "Video")</f>
        <v/>
      </c>
      <c r="B7163" t="inlineStr">
        <is>
          <t>3:50</t>
        </is>
      </c>
      <c r="C7163" t="inlineStr">
        <is>
          <t>protection can inhibit the development</t>
        </is>
      </c>
      <c r="D7163">
        <f>HYPERLINK("https://www.youtube.com/watch?v=3j9Y29PzjHo&amp;t=230s", "Go to time")</f>
        <v/>
      </c>
    </row>
    <row r="7164">
      <c r="A7164">
        <f>HYPERLINK("https://www.youtube.com/watch?v=QHq_MEfl3IM", "Video")</f>
        <v/>
      </c>
      <c r="B7164" t="inlineStr">
        <is>
          <t>4:53</t>
        </is>
      </c>
      <c r="C7164" t="inlineStr">
        <is>
          <t>avoid reacting with bitterness and</t>
        </is>
      </c>
      <c r="D7164">
        <f>HYPERLINK("https://www.youtube.com/watch?v=QHq_MEfl3IM&amp;t=293s", "Go to time")</f>
        <v/>
      </c>
    </row>
    <row r="7165">
      <c r="A7165">
        <f>HYPERLINK("https://www.youtube.com/watch?v=qI_rYAL-abg", "Video")</f>
        <v/>
      </c>
      <c r="B7165" t="inlineStr">
        <is>
          <t>0:39</t>
        </is>
      </c>
      <c r="C7165" t="inlineStr">
        <is>
          <t>hazards to habits and Diet high sugar</t>
        </is>
      </c>
      <c r="D7165">
        <f>HYPERLINK("https://www.youtube.com/watch?v=qI_rYAL-abg&amp;t=39s", "Go to time")</f>
        <v/>
      </c>
    </row>
    <row r="7166">
      <c r="A7166">
        <f>HYPERLINK("https://www.youtube.com/watch?v=TBQQexnJcw4", "Video")</f>
        <v/>
      </c>
      <c r="B7166" t="inlineStr">
        <is>
          <t>3:23</t>
        </is>
      </c>
      <c r="C7166" t="inlineStr">
        <is>
          <t>Guy winch points out that this habitual</t>
        </is>
      </c>
      <c r="D7166">
        <f>HYPERLINK("https://www.youtube.com/watch?v=TBQQexnJcw4&amp;t=203s", "Go to time")</f>
        <v/>
      </c>
    </row>
    <row r="7167">
      <c r="A7167">
        <f>HYPERLINK("https://www.youtube.com/watch?v=SNLGu_NA2EE", "Video")</f>
        <v/>
      </c>
      <c r="B7167" t="inlineStr">
        <is>
          <t>3:32</t>
        </is>
      </c>
      <c r="C7167" t="inlineStr">
        <is>
          <t>bitter chaser of i went through this and</t>
        </is>
      </c>
      <c r="D7167">
        <f>HYPERLINK("https://www.youtube.com/watch?v=SNLGu_NA2EE&amp;t=212s", "Go to time")</f>
        <v/>
      </c>
    </row>
    <row r="7168">
      <c r="A7168">
        <f>HYPERLINK("https://www.youtube.com/watch?v=9_RIq9HMdJ0", "Video")</f>
        <v/>
      </c>
      <c r="B7168" t="inlineStr">
        <is>
          <t>1:21</t>
        </is>
      </c>
      <c r="C7168" t="inlineStr">
        <is>
          <t>if you're feeling a bit euphoric just at</t>
        </is>
      </c>
      <c r="D7168">
        <f>HYPERLINK("https://www.youtube.com/watch?v=9_RIq9HMdJ0&amp;t=81s", "Go to time")</f>
        <v/>
      </c>
    </row>
    <row r="7169">
      <c r="A7169">
        <f>HYPERLINK("https://www.youtube.com/watch?v=9_RIq9HMdJ0", "Video")</f>
        <v/>
      </c>
      <c r="B7169" t="inlineStr">
        <is>
          <t>4:43</t>
        </is>
      </c>
      <c r="C7169" t="inlineStr">
        <is>
          <t>is this sexual tension it's a bit</t>
        </is>
      </c>
      <c r="D7169">
        <f>HYPERLINK("https://www.youtube.com/watch?v=9_RIq9HMdJ0&amp;t=283s", "Go to time")</f>
        <v/>
      </c>
    </row>
    <row r="7170">
      <c r="A7170">
        <f>HYPERLINK("https://www.youtube.com/watch?v=FCLaCswy6lI", "Video")</f>
        <v/>
      </c>
      <c r="B7170" t="inlineStr">
        <is>
          <t>1:05</t>
        </is>
      </c>
      <c r="C7170" t="inlineStr">
        <is>
          <t>similarities limerance is a bit more</t>
        </is>
      </c>
      <c r="D7170">
        <f>HYPERLINK("https://www.youtube.com/watch?v=FCLaCswy6lI&amp;t=65s", "Go to time")</f>
        <v/>
      </c>
    </row>
    <row r="7171">
      <c r="A7171">
        <f>HYPERLINK("https://www.youtube.com/watch?v=LwkR5wsOMIQ", "Video")</f>
        <v/>
      </c>
      <c r="B7171" t="inlineStr">
        <is>
          <t>4:00</t>
        </is>
      </c>
      <c r="C7171" t="inlineStr">
        <is>
          <t>bit of research out there showing how</t>
        </is>
      </c>
      <c r="D7171">
        <f>HYPERLINK("https://www.youtube.com/watch?v=LwkR5wsOMIQ&amp;t=240s", "Go to time")</f>
        <v/>
      </c>
    </row>
    <row r="7172">
      <c r="A7172">
        <f>HYPERLINK("https://www.youtube.com/watch?v=g5PUhxv3Ogc", "Video")</f>
        <v/>
      </c>
      <c r="B7172" t="inlineStr">
        <is>
          <t>0:45</t>
        </is>
      </c>
      <c r="C7172" t="inlineStr">
        <is>
          <t>bit of mystery around yourself don't</t>
        </is>
      </c>
      <c r="D7172">
        <f>HYPERLINK("https://www.youtube.com/watch?v=g5PUhxv3Ogc&amp;t=45s", "Go to time")</f>
        <v/>
      </c>
    </row>
    <row r="7173">
      <c r="A7173">
        <f>HYPERLINK("https://www.youtube.com/watch?v=g5PUhxv3Ogc", "Video")</f>
        <v/>
      </c>
      <c r="B7173" t="inlineStr">
        <is>
          <t>1:45</t>
        </is>
      </c>
      <c r="C7173" t="inlineStr">
        <is>
          <t>things a bit open-ended or mysterious</t>
        </is>
      </c>
      <c r="D7173">
        <f>HYPERLINK("https://www.youtube.com/watch?v=g5PUhxv3Ogc&amp;t=105s", "Go to time")</f>
        <v/>
      </c>
    </row>
    <row r="7174">
      <c r="A7174">
        <f>HYPERLINK("https://www.youtube.com/watch?v=_Z2oFHj-oCM", "Video")</f>
        <v/>
      </c>
      <c r="B7174" t="inlineStr">
        <is>
          <t>3:56</t>
        </is>
      </c>
      <c r="C7174" t="inlineStr">
        <is>
          <t>You're bitter and antisocial.</t>
        </is>
      </c>
      <c r="D7174">
        <f>HYPERLINK("https://www.youtube.com/watch?v=_Z2oFHj-oCM&amp;t=236s", "Go to time")</f>
        <v/>
      </c>
    </row>
    <row r="7175">
      <c r="A7175">
        <f>HYPERLINK("https://www.youtube.com/watch?v=zgWjknfeHrU", "Video")</f>
        <v/>
      </c>
      <c r="B7175" t="inlineStr">
        <is>
          <t>3:36</t>
        </is>
      </c>
      <c r="C7175" t="inlineStr">
        <is>
          <t>which in some cases
leads to an awkward habit</t>
        </is>
      </c>
      <c r="D7175">
        <f>HYPERLINK("https://www.youtube.com/watch?v=zgWjknfeHrU&amp;t=216s", "Go to time")</f>
        <v/>
      </c>
    </row>
    <row r="7176">
      <c r="A7176">
        <f>HYPERLINK("https://www.youtube.com/watch?v=7yQYiwuUxa4", "Video")</f>
        <v/>
      </c>
      <c r="B7176" t="inlineStr">
        <is>
          <t>3:21</t>
        </is>
      </c>
      <c r="C7176" t="inlineStr">
        <is>
          <t>for a little bit so you might start</t>
        </is>
      </c>
      <c r="D7176">
        <f>HYPERLINK("https://www.youtube.com/watch?v=7yQYiwuUxa4&amp;t=201s", "Go to time")</f>
        <v/>
      </c>
    </row>
    <row r="7177">
      <c r="A7177">
        <f>HYPERLINK("https://www.youtube.com/watch?v=yH4gnmzVeOY", "Video")</f>
        <v/>
      </c>
      <c r="B7177" t="inlineStr">
        <is>
          <t>0:44</t>
        </is>
      </c>
      <c r="C7177" t="inlineStr">
        <is>
          <t>and preys on her ambition and compassion</t>
        </is>
      </c>
      <c r="D7177">
        <f>HYPERLINK("https://www.youtube.com/watch?v=yH4gnmzVeOY&amp;t=44s", "Go to time")</f>
        <v/>
      </c>
    </row>
    <row r="7178">
      <c r="A7178">
        <f>HYPERLINK("https://www.youtube.com/watch?v=YnN3pS-0WhY", "Video")</f>
        <v/>
      </c>
      <c r="B7178" t="inlineStr">
        <is>
          <t>2:48</t>
        </is>
      </c>
      <c r="C7178" t="inlineStr">
        <is>
          <t>tidbit of advice so many times as easy</t>
        </is>
      </c>
      <c r="D7178">
        <f>HYPERLINK("https://www.youtube.com/watch?v=YnN3pS-0WhY&amp;t=168s", "Go to time")</f>
        <v/>
      </c>
    </row>
    <row r="7179">
      <c r="A7179">
        <f>HYPERLINK("https://www.youtube.com/watch?v=ENr-V93HjAo", "Video")</f>
        <v/>
      </c>
      <c r="B7179" t="inlineStr">
        <is>
          <t>2:54</t>
        </is>
      </c>
      <c r="C7179" t="inlineStr">
        <is>
          <t>it with bitterness improve for yourself</t>
        </is>
      </c>
      <c r="D7179">
        <f>HYPERLINK("https://www.youtube.com/watch?v=ENr-V93HjAo&amp;t=174s", "Go to time")</f>
        <v/>
      </c>
    </row>
    <row r="7180">
      <c r="A7180">
        <f>HYPERLINK("https://www.youtube.com/watch?v=bbi3MHGntxo", "Video")</f>
        <v/>
      </c>
      <c r="B7180" t="inlineStr">
        <is>
          <t>6:43</t>
        </is>
      </c>
      <c r="C7180" t="inlineStr">
        <is>
          <t>and five habits that block intimacy</t>
        </is>
      </c>
      <c r="D7180">
        <f>HYPERLINK("https://www.youtube.com/watch?v=bbi3MHGntxo&amp;t=403s", "Go to time")</f>
        <v/>
      </c>
    </row>
    <row r="7181">
      <c r="A7181">
        <f>HYPERLINK("https://www.youtube.com/watch?v=TvKvTnJCT8k", "Video")</f>
        <v/>
      </c>
      <c r="B7181" t="inlineStr">
        <is>
          <t>7:17</t>
        </is>
      </c>
      <c r="C7181" t="inlineStr">
        <is>
          <t>you're a little bit of all of them and</t>
        </is>
      </c>
      <c r="D7181">
        <f>HYPERLINK("https://www.youtube.com/watch?v=TvKvTnJCT8k&amp;t=437s", "Go to time")</f>
        <v/>
      </c>
    </row>
    <row r="7182">
      <c r="A7182">
        <f>HYPERLINK("https://www.youtube.com/watch?v=aOFjwx3ccug", "Video")</f>
        <v/>
      </c>
      <c r="B7182" t="inlineStr">
        <is>
          <t>0:00</t>
        </is>
      </c>
      <c r="C7182" t="inlineStr">
        <is>
          <t>- So you're feeling a bit lonely, huh?</t>
        </is>
      </c>
      <c r="D7182">
        <f>HYPERLINK("https://www.youtube.com/watch?v=aOFjwx3ccug&amp;t=0s", "Go to time")</f>
        <v/>
      </c>
    </row>
    <row r="7183">
      <c r="A7183">
        <f>HYPERLINK("https://www.youtube.com/watch?v=aOFjwx3ccug", "Video")</f>
        <v/>
      </c>
      <c r="B7183" t="inlineStr">
        <is>
          <t>0:02</t>
        </is>
      </c>
      <c r="C7183" t="inlineStr">
        <is>
          <t>Maybe your social circle
is looking a bit sparse,</t>
        </is>
      </c>
      <c r="D7183">
        <f>HYPERLINK("https://www.youtube.com/watch?v=aOFjwx3ccug&amp;t=2s", "Go to time")</f>
        <v/>
      </c>
    </row>
    <row r="7184">
      <c r="A7184">
        <f>HYPERLINK("https://www.youtube.com/watch?v=aOFjwx3ccug", "Video")</f>
        <v/>
      </c>
      <c r="B7184" t="inlineStr">
        <is>
          <t>1:00</t>
        </is>
      </c>
      <c r="C7184" t="inlineStr">
        <is>
          <t>or even a little bit
socially awkward, like people</t>
        </is>
      </c>
      <c r="D7184">
        <f>HYPERLINK("https://www.youtube.com/watch?v=aOFjwx3ccug&amp;t=60s", "Go to time")</f>
        <v/>
      </c>
    </row>
    <row r="7185">
      <c r="A7185">
        <f>HYPERLINK("https://www.youtube.com/watch?v=aOFjwx3ccug", "Video")</f>
        <v/>
      </c>
      <c r="B7185" t="inlineStr">
        <is>
          <t>2:08</t>
        </is>
      </c>
      <c r="C7185" t="inlineStr">
        <is>
          <t>to feel a bit disconnected sometimes.</t>
        </is>
      </c>
      <c r="D7185">
        <f>HYPERLINK("https://www.youtube.com/watch?v=aOFjwx3ccug&amp;t=128s", "Go to time")</f>
        <v/>
      </c>
    </row>
    <row r="7186">
      <c r="A7186">
        <f>HYPERLINK("https://www.youtube.com/watch?v=aOFjwx3ccug", "Video")</f>
        <v/>
      </c>
      <c r="B7186" t="inlineStr">
        <is>
          <t>4:34</t>
        </is>
      </c>
      <c r="C7186" t="inlineStr">
        <is>
          <t>So if you are feeling a
bit lonely, take heart,</t>
        </is>
      </c>
      <c r="D7186">
        <f>HYPERLINK("https://www.youtube.com/watch?v=aOFjwx3ccug&amp;t=274s", "Go to time")</f>
        <v/>
      </c>
    </row>
    <row r="7187">
      <c r="A7187">
        <f>HYPERLINK("https://www.youtube.com/watch?v=3Z2LZ-qouhQ", "Video")</f>
        <v/>
      </c>
      <c r="B7187" t="inlineStr">
        <is>
          <t>3:01</t>
        </is>
      </c>
      <c r="C7187" t="inlineStr">
        <is>
          <t>of some paraphilias include
exhibitionism masochism sadism</t>
        </is>
      </c>
      <c r="D7187">
        <f>HYPERLINK("https://www.youtube.com/watch?v=3Z2LZ-qouhQ&amp;t=181s", "Go to time")</f>
        <v/>
      </c>
    </row>
    <row r="7188">
      <c r="A7188">
        <f>HYPERLINK("https://www.youtube.com/watch?v=3Z2LZ-qouhQ", "Video")</f>
        <v/>
      </c>
      <c r="B7188" t="inlineStr">
        <is>
          <t>3:15</t>
        </is>
      </c>
      <c r="C7188" t="inlineStr">
        <is>
          <t>5 occurs when an individual
exhibits a pattern</t>
        </is>
      </c>
      <c r="D7188">
        <f>HYPERLINK("https://www.youtube.com/watch?v=3Z2LZ-qouhQ&amp;t=195s", "Go to time")</f>
        <v/>
      </c>
    </row>
    <row r="7189">
      <c r="A7189">
        <f>HYPERLINK("https://www.youtube.com/watch?v=cIGAZ7leGC0", "Video")</f>
        <v/>
      </c>
      <c r="B7189" t="inlineStr">
        <is>
          <t>0:11</t>
        </is>
      </c>
      <c r="C7189" t="inlineStr">
        <is>
          <t>habits that creep into your life you may</t>
        </is>
      </c>
      <c r="D7189">
        <f>HYPERLINK("https://www.youtube.com/watch?v=cIGAZ7leGC0&amp;t=11s", "Go to time")</f>
        <v/>
      </c>
    </row>
    <row r="7190">
      <c r="A7190">
        <f>HYPERLINK("https://www.youtube.com/watch?v=cIGAZ7leGC0", "Video")</f>
        <v/>
      </c>
      <c r="B7190" t="inlineStr">
        <is>
          <t>0:16</t>
        </is>
      </c>
      <c r="C7190" t="inlineStr">
        <is>
          <t>anxiety those habits are not only bad</t>
        </is>
      </c>
      <c r="D7190">
        <f>HYPERLINK("https://www.youtube.com/watch?v=cIGAZ7leGC0&amp;t=16s", "Go to time")</f>
        <v/>
      </c>
    </row>
    <row r="7191">
      <c r="A7191">
        <f>HYPERLINK("https://www.youtube.com/watch?v=cIGAZ7leGC0", "Video")</f>
        <v/>
      </c>
      <c r="B7191" t="inlineStr">
        <is>
          <t>0:52</t>
        </is>
      </c>
      <c r="C7191" t="inlineStr">
        <is>
          <t>mindless habit in a way you enter a new</t>
        </is>
      </c>
      <c r="D7191">
        <f>HYPERLINK("https://www.youtube.com/watch?v=cIGAZ7leGC0&amp;t=52s", "Go to time")</f>
        <v/>
      </c>
    </row>
    <row r="7192">
      <c r="A7192">
        <f>HYPERLINK("https://www.youtube.com/watch?v=cIGAZ7leGC0", "Video")</f>
        <v/>
      </c>
      <c r="B7192" t="inlineStr">
        <is>
          <t>1:34</t>
        </is>
      </c>
      <c r="C7192" t="inlineStr">
        <is>
          <t>leaves you alone for a bit</t>
        </is>
      </c>
      <c r="D7192">
        <f>HYPERLINK("https://www.youtube.com/watch?v=cIGAZ7leGC0&amp;t=94s", "Go to time")</f>
        <v/>
      </c>
    </row>
    <row r="7193">
      <c r="A7193">
        <f>HYPERLINK("https://www.youtube.com/watch?v=cIGAZ7leGC0", "Video")</f>
        <v/>
      </c>
      <c r="B7193" t="inlineStr">
        <is>
          <t>1:56</t>
        </is>
      </c>
      <c r="C7193" t="inlineStr">
        <is>
          <t>your worries away this anxious habit is</t>
        </is>
      </c>
      <c r="D7193">
        <f>HYPERLINK("https://www.youtube.com/watch?v=cIGAZ7leGC0&amp;t=116s", "Go to time")</f>
        <v/>
      </c>
    </row>
    <row r="7194">
      <c r="A7194">
        <f>HYPERLINK("https://www.youtube.com/watch?v=cIGAZ7leGC0", "Video")</f>
        <v/>
      </c>
      <c r="B7194" t="inlineStr">
        <is>
          <t>3:19</t>
        </is>
      </c>
      <c r="C7194" t="inlineStr">
        <is>
          <t>habits became a part of your days</t>
        </is>
      </c>
      <c r="D7194">
        <f>HYPERLINK("https://www.youtube.com/watch?v=cIGAZ7leGC0&amp;t=199s", "Go to time")</f>
        <v/>
      </c>
    </row>
    <row r="7195">
      <c r="A7195">
        <f>HYPERLINK("https://www.youtube.com/watch?v=cIGAZ7leGC0", "Video")</f>
        <v/>
      </c>
      <c r="B7195" t="inlineStr">
        <is>
          <t>3:21</t>
        </is>
      </c>
      <c r="C7195" t="inlineStr">
        <is>
          <t>are there some other anxious habits you</t>
        </is>
      </c>
      <c r="D7195">
        <f>HYPERLINK("https://www.youtube.com/watch?v=cIGAZ7leGC0&amp;t=201s", "Go to time")</f>
        <v/>
      </c>
    </row>
    <row r="7196">
      <c r="A7196">
        <f>HYPERLINK("https://www.youtube.com/watch?v=cIGAZ7leGC0", "Video")</f>
        <v/>
      </c>
      <c r="B7196" t="inlineStr">
        <is>
          <t>3:23</t>
        </is>
      </c>
      <c r="C7196" t="inlineStr">
        <is>
          <t>do when life gets a bit too hard to</t>
        </is>
      </c>
      <c r="D7196">
        <f>HYPERLINK("https://www.youtube.com/watch?v=cIGAZ7leGC0&amp;t=203s", "Go to time")</f>
        <v/>
      </c>
    </row>
    <row r="7197">
      <c r="A7197">
        <f>HYPERLINK("https://www.youtube.com/watch?v=cIGAZ7leGC0", "Video")</f>
        <v/>
      </c>
      <c r="B7197" t="inlineStr">
        <is>
          <t>3:31</t>
        </is>
      </c>
      <c r="C7197" t="inlineStr">
        <is>
          <t>bad habits is the first step towards</t>
        </is>
      </c>
      <c r="D7197">
        <f>HYPERLINK("https://www.youtube.com/watch?v=cIGAZ7leGC0&amp;t=211s", "Go to time")</f>
        <v/>
      </c>
    </row>
    <row r="7198">
      <c r="A7198">
        <f>HYPERLINK("https://www.youtube.com/watch?v=eMySiiMSJI0", "Video")</f>
        <v/>
      </c>
      <c r="B7198" t="inlineStr">
        <is>
          <t>3:14</t>
        </is>
      </c>
      <c r="C7198" t="inlineStr">
        <is>
          <t>and ambitions is a key component</t>
        </is>
      </c>
      <c r="D7198">
        <f>HYPERLINK("https://www.youtube.com/watch?v=eMySiiMSJI0&amp;t=194s", "Go to time")</f>
        <v/>
      </c>
    </row>
    <row r="7199">
      <c r="A7199">
        <f>HYPERLINK("https://www.youtube.com/watch?v=jtkJoapTA4Y", "Video")</f>
        <v/>
      </c>
      <c r="B7199" t="inlineStr">
        <is>
          <t>5:14</t>
        </is>
      </c>
      <c r="C7199" t="inlineStr">
        <is>
          <t>be here for you but I'm feeling a bit</t>
        </is>
      </c>
      <c r="D7199">
        <f>HYPERLINK("https://www.youtube.com/watch?v=jtkJoapTA4Y&amp;t=314s", "Go to time")</f>
        <v/>
      </c>
    </row>
    <row r="7200">
      <c r="A7200">
        <f>HYPERLINK("https://www.youtube.com/watch?v=pwSSc-jDh2A", "Video")</f>
        <v/>
      </c>
      <c r="B7200" t="inlineStr">
        <is>
          <t>0:56</t>
        </is>
      </c>
      <c r="C7200" t="inlineStr">
        <is>
          <t>habit is sleep deprivation which can be</t>
        </is>
      </c>
      <c r="D7200">
        <f>HYPERLINK("https://www.youtube.com/watch?v=pwSSc-jDh2A&amp;t=56s", "Go to time")</f>
        <v/>
      </c>
    </row>
    <row r="7201">
      <c r="A7201">
        <f>HYPERLINK("https://www.youtube.com/watch?v=pwSSc-jDh2A", "Video")</f>
        <v/>
      </c>
      <c r="B7201" t="inlineStr">
        <is>
          <t>1:18</t>
        </is>
      </c>
      <c r="C7201" t="inlineStr">
        <is>
          <t>if you have a habit of skipping meals or</t>
        </is>
      </c>
      <c r="D7201">
        <f>HYPERLINK("https://www.youtube.com/watch?v=pwSSc-jDh2A&amp;t=78s", "Go to time")</f>
        <v/>
      </c>
    </row>
    <row r="7202">
      <c r="A7202">
        <f>HYPERLINK("https://www.youtube.com/watch?v=KP5nsgKHmQE", "Video")</f>
        <v/>
      </c>
      <c r="B7202" t="inlineStr">
        <is>
          <t>0:28</t>
        </is>
      </c>
      <c r="C7202" t="inlineStr">
        <is>
          <t>habits can unknowingly hinder intimacy</t>
        </is>
      </c>
      <c r="D7202">
        <f>HYPERLINK("https://www.youtube.com/watch?v=KP5nsgKHmQE&amp;t=28s", "Go to time")</f>
        <v/>
      </c>
    </row>
    <row r="7203">
      <c r="A7203">
        <f>HYPERLINK("https://www.youtube.com/watch?v=KP5nsgKHmQE", "Video")</f>
        <v/>
      </c>
      <c r="B7203" t="inlineStr">
        <is>
          <t>0:38</t>
        </is>
      </c>
      <c r="C7203" t="inlineStr">
        <is>
          <t>habits that block intimacy and what we</t>
        </is>
      </c>
      <c r="D7203">
        <f>HYPERLINK("https://www.youtube.com/watch?v=KP5nsgKHmQE&amp;t=38s", "Go to time")</f>
        <v/>
      </c>
    </row>
    <row r="7204">
      <c r="A7204">
        <f>HYPERLINK("https://www.youtube.com/watch?v=KP5nsgKHmQE", "Video")</f>
        <v/>
      </c>
      <c r="B7204" t="inlineStr">
        <is>
          <t>1:04</t>
        </is>
      </c>
      <c r="C7204" t="inlineStr">
        <is>
          <t>this habit involves acknowledging and</t>
        </is>
      </c>
      <c r="D7204">
        <f>HYPERLINK("https://www.youtube.com/watch?v=KP5nsgKHmQE&amp;t=64s", "Go to time")</f>
        <v/>
      </c>
    </row>
    <row r="7205">
      <c r="A7205">
        <f>HYPERLINK("https://www.youtube.com/watch?v=KP5nsgKHmQE", "Video")</f>
        <v/>
      </c>
      <c r="B7205" t="inlineStr">
        <is>
          <t>1:22</t>
        </is>
      </c>
      <c r="C7205" t="inlineStr">
        <is>
          <t>a common habit that impedes intimacy is</t>
        </is>
      </c>
      <c r="D7205">
        <f>HYPERLINK("https://www.youtube.com/watch?v=KP5nsgKHmQE&amp;t=82s", "Go to time")</f>
        <v/>
      </c>
    </row>
    <row r="7206">
      <c r="A7206">
        <f>HYPERLINK("https://www.youtube.com/watch?v=KP5nsgKHmQE", "Video")</f>
        <v/>
      </c>
      <c r="B7206" t="inlineStr">
        <is>
          <t>1:36</t>
        </is>
      </c>
      <c r="C7206" t="inlineStr">
        <is>
          <t>to break this habit race and his</t>
        </is>
      </c>
      <c r="D7206">
        <f>HYPERLINK("https://www.youtube.com/watch?v=KP5nsgKHmQE&amp;t=96s", "Go to time")</f>
        <v/>
      </c>
    </row>
    <row r="7207">
      <c r="A7207">
        <f>HYPERLINK("https://www.youtube.com/watch?v=KP5nsgKHmQE", "Video")</f>
        <v/>
      </c>
      <c r="B7207" t="inlineStr">
        <is>
          <t>2:01</t>
        </is>
      </c>
      <c r="C7207" t="inlineStr">
        <is>
          <t>however a habit that blocks intimacy is</t>
        </is>
      </c>
      <c r="D7207">
        <f>HYPERLINK("https://www.youtube.com/watch?v=KP5nsgKHmQE&amp;t=121s", "Go to time")</f>
        <v/>
      </c>
    </row>
    <row r="7208">
      <c r="A7208">
        <f>HYPERLINK("https://www.youtube.com/watch?v=KP5nsgKHmQE", "Video")</f>
        <v/>
      </c>
      <c r="B7208" t="inlineStr">
        <is>
          <t>2:13</t>
        </is>
      </c>
      <c r="C7208" t="inlineStr">
        <is>
          <t>distance breaking this habit involves</t>
        </is>
      </c>
      <c r="D7208">
        <f>HYPERLINK("https://www.youtube.com/watch?v=KP5nsgKHmQE&amp;t=133s", "Go to time")</f>
        <v/>
      </c>
    </row>
    <row r="7209">
      <c r="A7209">
        <f>HYPERLINK("https://www.youtube.com/watch?v=KP5nsgKHmQE", "Video")</f>
        <v/>
      </c>
      <c r="B7209" t="inlineStr">
        <is>
          <t>2:34</t>
        </is>
      </c>
      <c r="C7209" t="inlineStr">
        <is>
          <t>against you when we habitually criticize</t>
        </is>
      </c>
      <c r="D7209">
        <f>HYPERLINK("https://www.youtube.com/watch?v=KP5nsgKHmQE&amp;t=154s", "Go to time")</f>
        <v/>
      </c>
    </row>
    <row r="7210">
      <c r="A7210">
        <f>HYPERLINK("https://www.youtube.com/watch?v=KP5nsgKHmQE", "Video")</f>
        <v/>
      </c>
      <c r="B7210" t="inlineStr">
        <is>
          <t>3:17</t>
        </is>
      </c>
      <c r="C7210" t="inlineStr">
        <is>
          <t>of them to fall apart habitually</t>
        </is>
      </c>
      <c r="D7210">
        <f>HYPERLINK("https://www.youtube.com/watch?v=KP5nsgKHmQE&amp;t=197s", "Go to time")</f>
        <v/>
      </c>
    </row>
    <row r="7211">
      <c r="A7211">
        <f>HYPERLINK("https://www.youtube.com/watch?v=KP5nsgKHmQE", "Video")</f>
        <v/>
      </c>
      <c r="B7211" t="inlineStr">
        <is>
          <t>3:47</t>
        </is>
      </c>
      <c r="C7211" t="inlineStr">
        <is>
          <t>certain habits can obstruct its growth</t>
        </is>
      </c>
      <c r="D7211">
        <f>HYPERLINK("https://www.youtube.com/watch?v=KP5nsgKHmQE&amp;t=227s", "Go to time")</f>
        <v/>
      </c>
    </row>
    <row r="7212">
      <c r="A7212">
        <f>HYPERLINK("https://www.youtube.com/watch?v=KP5nsgKHmQE", "Video")</f>
        <v/>
      </c>
      <c r="B7212" t="inlineStr">
        <is>
          <t>3:51</t>
        </is>
      </c>
      <c r="C7212" t="inlineStr">
        <is>
          <t>habits you can break down barriers and</t>
        </is>
      </c>
      <c r="D7212">
        <f>HYPERLINK("https://www.youtube.com/watch?v=KP5nsgKHmQE&amp;t=231s", "Go to time")</f>
        <v/>
      </c>
    </row>
    <row r="7213">
      <c r="A7213">
        <f>HYPERLINK("https://www.youtube.com/watch?v=KP5nsgKHmQE", "Video")</f>
        <v/>
      </c>
      <c r="B7213" t="inlineStr">
        <is>
          <t>4:17</t>
        </is>
      </c>
      <c r="C7213" t="inlineStr">
        <is>
          <t>what are some habits you're guilty of</t>
        </is>
      </c>
      <c r="D7213">
        <f>HYPERLINK("https://www.youtube.com/watch?v=KP5nsgKHmQE&amp;t=257s", "Go to time")</f>
        <v/>
      </c>
    </row>
    <row r="7214">
      <c r="A7214">
        <f>HYPERLINK("https://www.youtube.com/watch?v=v8G9ofoO1wU", "Video")</f>
        <v/>
      </c>
      <c r="B7214" t="inlineStr">
        <is>
          <t>1:10</t>
        </is>
      </c>
      <c r="C7214" t="inlineStr">
        <is>
          <t>the slightest bit of jealousy that this</t>
        </is>
      </c>
      <c r="D7214">
        <f>HYPERLINK("https://www.youtube.com/watch?v=v8G9ofoO1wU&amp;t=70s", "Go to time")</f>
        <v/>
      </c>
    </row>
    <row r="7215">
      <c r="A7215">
        <f>HYPERLINK("https://www.youtube.com/watch?v=v8G9ofoO1wU", "Video")</f>
        <v/>
      </c>
      <c r="B7215" t="inlineStr">
        <is>
          <t>1:53</t>
        </is>
      </c>
      <c r="C7215" t="inlineStr">
        <is>
          <t>and no it's not because you're bitter</t>
        </is>
      </c>
      <c r="D7215">
        <f>HYPERLINK("https://www.youtube.com/watch?v=v8G9ofoO1wU&amp;t=113s", "Go to time")</f>
        <v/>
      </c>
    </row>
    <row r="7216">
      <c r="A7216">
        <f>HYPERLINK("https://www.youtube.com/watch?v=v8G9ofoO1wU", "Video")</f>
        <v/>
      </c>
      <c r="B7216" t="inlineStr">
        <is>
          <t>4:44</t>
        </is>
      </c>
      <c r="C7216" t="inlineStr">
        <is>
          <t>journey is every bit as important as the</t>
        </is>
      </c>
      <c r="D7216">
        <f>HYPERLINK("https://www.youtube.com/watch?v=v8G9ofoO1wU&amp;t=284s", "Go to time")</f>
        <v/>
      </c>
    </row>
    <row r="7217">
      <c r="A7217">
        <f>HYPERLINK("https://www.youtube.com/watch?v=v8G9ofoO1wU", "Video")</f>
        <v/>
      </c>
      <c r="B7217" t="inlineStr">
        <is>
          <t>10:10</t>
        </is>
      </c>
      <c r="C7217" t="inlineStr">
        <is>
          <t>saying again once bitten twice shy it's</t>
        </is>
      </c>
      <c r="D7217">
        <f>HYPERLINK("https://www.youtube.com/watch?v=v8G9ofoO1wU&amp;t=610s", "Go to time")</f>
        <v/>
      </c>
    </row>
    <row r="7218">
      <c r="A7218">
        <f>HYPERLINK("https://www.youtube.com/watch?v=v8G9ofoO1wU", "Video")</f>
        <v/>
      </c>
      <c r="B7218" t="inlineStr">
        <is>
          <t>16:07</t>
        </is>
      </c>
      <c r="C7218" t="inlineStr">
        <is>
          <t>to be bitter and lonely let's take a</t>
        </is>
      </c>
      <c r="D7218">
        <f>HYPERLINK("https://www.youtube.com/watch?v=v8G9ofoO1wU&amp;t=967s", "Go to time")</f>
        <v/>
      </c>
    </row>
    <row r="7219">
      <c r="A7219">
        <f>HYPERLINK("https://www.youtube.com/watch?v=Vjm7IH__6gU", "Video")</f>
        <v/>
      </c>
      <c r="B7219" t="inlineStr">
        <is>
          <t>1:44</t>
        </is>
      </c>
      <c r="C7219" t="inlineStr">
        <is>
          <t>eye contact and lean in a bit it goes a</t>
        </is>
      </c>
      <c r="D7219">
        <f>HYPERLINK("https://www.youtube.com/watch?v=Vjm7IH__6gU&amp;t=104s", "Go to time")</f>
        <v/>
      </c>
    </row>
    <row r="7220">
      <c r="A7220">
        <f>HYPERLINK("https://www.youtube.com/watch?v=Vjm7IH__6gU", "Video")</f>
        <v/>
      </c>
      <c r="B7220" t="inlineStr">
        <is>
          <t>3:52</t>
        </is>
      </c>
      <c r="C7220" t="inlineStr">
        <is>
          <t>the secret habits of likable people</t>
        </is>
      </c>
      <c r="D7220">
        <f>HYPERLINK("https://www.youtube.com/watch?v=Vjm7IH__6gU&amp;t=232s", "Go to time")</f>
        <v/>
      </c>
    </row>
    <row r="7221">
      <c r="A7221">
        <f>HYPERLINK("https://www.youtube.com/watch?v=Vjm7IH__6gU", "Video")</f>
        <v/>
      </c>
      <c r="B7221" t="inlineStr">
        <is>
          <t>3:57</t>
        </is>
      </c>
      <c r="C7221" t="inlineStr">
        <is>
          <t>habits that can make someone like you</t>
        </is>
      </c>
      <c r="D7221">
        <f>HYPERLINK("https://www.youtube.com/watch?v=Vjm7IH__6gU&amp;t=237s", "Go to time")</f>
        <v/>
      </c>
    </row>
    <row r="7222">
      <c r="A7222">
        <f>HYPERLINK("https://www.youtube.com/watch?v=5jR6oIewZjo", "Video")</f>
        <v/>
      </c>
      <c r="B7222" t="inlineStr">
        <is>
          <t>0:57</t>
        </is>
      </c>
      <c r="C7222" t="inlineStr">
        <is>
          <t>bitterness jealousy anger greed Pride</t>
        </is>
      </c>
      <c r="D7222">
        <f>HYPERLINK("https://www.youtube.com/watch?v=5jR6oIewZjo&amp;t=57s", "Go to time")</f>
        <v/>
      </c>
    </row>
    <row r="7223">
      <c r="A7223">
        <f>HYPERLINK("https://www.youtube.com/watch?v=9AFdVOI0jdw", "Video")</f>
        <v/>
      </c>
      <c r="B7223" t="inlineStr">
        <is>
          <t>3:11</t>
        </is>
      </c>
      <c r="C7223" t="inlineStr">
        <is>
          <t>and not just pick out the bits</t>
        </is>
      </c>
      <c r="D7223">
        <f>HYPERLINK("https://www.youtube.com/watch?v=9AFdVOI0jdw&amp;t=191s", "Go to time")</f>
        <v/>
      </c>
    </row>
    <row r="7224">
      <c r="A7224">
        <f>HYPERLINK("https://www.youtube.com/watch?v=5UeIqwwexWU", "Video")</f>
        <v/>
      </c>
      <c r="B7224" t="inlineStr">
        <is>
          <t>1:59</t>
        </is>
      </c>
      <c r="C7224" t="inlineStr">
        <is>
          <t>saying isn't hurtful or rude a bit of</t>
        </is>
      </c>
      <c r="D7224">
        <f>HYPERLINK("https://www.youtube.com/watch?v=5UeIqwwexWU&amp;t=119s", "Go to time")</f>
        <v/>
      </c>
    </row>
    <row r="7225">
      <c r="A7225">
        <f>HYPERLINK("https://www.youtube.com/watch?v=n2_KGIP4T7k", "Video")</f>
        <v/>
      </c>
      <c r="B7225" t="inlineStr">
        <is>
          <t>2:38</t>
        </is>
      </c>
      <c r="C7225" t="inlineStr">
        <is>
          <t>but a harmful habit for your mental</t>
        </is>
      </c>
      <c r="D7225">
        <f>HYPERLINK("https://www.youtube.com/watch?v=n2_KGIP4T7k&amp;t=158s", "Go to time")</f>
        <v/>
      </c>
    </row>
    <row r="7226">
      <c r="A7226">
        <f>HYPERLINK("https://www.youtube.com/watch?v=OBnD6vHliqY", "Video")</f>
        <v/>
      </c>
      <c r="B7226" t="inlineStr">
        <is>
          <t>6:51</t>
        </is>
      </c>
      <c r="C7226" t="inlineStr">
        <is>
          <t>not all good or all bad it's a bit more</t>
        </is>
      </c>
      <c r="D7226">
        <f>HYPERLINK("https://www.youtube.com/watch?v=OBnD6vHliqY&amp;t=411s", "Go to time")</f>
        <v/>
      </c>
    </row>
    <row r="7227">
      <c r="A7227">
        <f>HYPERLINK("https://www.youtube.com/watch?v=fA-PWbZ78xU", "Video")</f>
        <v/>
      </c>
      <c r="B7227" t="inlineStr">
        <is>
          <t>5:37</t>
        </is>
      </c>
      <c r="C7227" t="inlineStr">
        <is>
          <t>countless stories opinions and bits of</t>
        </is>
      </c>
      <c r="D7227">
        <f>HYPERLINK("https://www.youtube.com/watch?v=fA-PWbZ78xU&amp;t=337s", "Go to time")</f>
        <v/>
      </c>
    </row>
    <row r="7228">
      <c r="A7228">
        <f>HYPERLINK("https://www.youtube.com/watch?v=ZmPzAeIQo6M", "Video")</f>
        <v/>
      </c>
      <c r="B7228" t="inlineStr">
        <is>
          <t>3:05</t>
        </is>
      </c>
      <c r="C7228" t="inlineStr">
        <is>
          <t>laughter rang a bit too loud echoing</t>
        </is>
      </c>
      <c r="D7228">
        <f>HYPERLINK("https://www.youtube.com/watch?v=ZmPzAeIQo6M&amp;t=185s", "Go to time")</f>
        <v/>
      </c>
    </row>
    <row r="7229">
      <c r="A7229">
        <f>HYPERLINK("https://www.youtube.com/watch?v=F8ZAVLcdkAc", "Video")</f>
        <v/>
      </c>
      <c r="B7229" t="inlineStr">
        <is>
          <t>2:39</t>
        </is>
      </c>
      <c r="C7229" t="inlineStr">
        <is>
          <t>little bit easier introducing our</t>
        </is>
      </c>
      <c r="D7229">
        <f>HYPERLINK("https://www.youtube.com/watch?v=F8ZAVLcdkAc&amp;t=159s", "Go to time")</f>
        <v/>
      </c>
    </row>
    <row r="7230">
      <c r="A7230">
        <f>HYPERLINK("https://www.youtube.com/watch?v=XSk6H7twAgk", "Video")</f>
        <v/>
      </c>
      <c r="B7230" t="inlineStr">
        <is>
          <t>0:35</t>
        </is>
      </c>
      <c r="C7230" t="inlineStr">
        <is>
          <t>exhibitionism voyerism and futurism</t>
        </is>
      </c>
      <c r="D7230">
        <f>HYPERLINK("https://www.youtube.com/watch?v=XSk6H7twAgk&amp;t=35s", "Go to time")</f>
        <v/>
      </c>
    </row>
    <row r="7231">
      <c r="A7231">
        <f>HYPERLINK("https://www.youtube.com/watch?v=Uv_0ntbirEw", "Video")</f>
        <v/>
      </c>
      <c r="B7231" t="inlineStr">
        <is>
          <t>4:32</t>
        </is>
      </c>
      <c r="C7231" t="inlineStr">
        <is>
          <t>you've built new habits and now the</t>
        </is>
      </c>
      <c r="D7231">
        <f>HYPERLINK("https://www.youtube.com/watch?v=Uv_0ntbirEw&amp;t=272s", "Go to time")</f>
        <v/>
      </c>
    </row>
    <row r="7232">
      <c r="A7232">
        <f>HYPERLINK("https://www.youtube.com/watch?v=Uv_0ntbirEw", "Video")</f>
        <v/>
      </c>
      <c r="B7232" t="inlineStr">
        <is>
          <t>4:39</t>
        </is>
      </c>
      <c r="C7232" t="inlineStr">
        <is>
          <t>stressful or old habits start calling</t>
        </is>
      </c>
      <c r="D7232">
        <f>HYPERLINK("https://www.youtube.com/watch?v=Uv_0ntbirEw&amp;t=279s", "Go to time")</f>
        <v/>
      </c>
    </row>
    <row r="7233">
      <c r="A7233">
        <f>HYPERLINK("https://www.youtube.com/watch?v=xvgzm60vygE", "Video")</f>
        <v/>
      </c>
      <c r="B7233" t="inlineStr">
        <is>
          <t>6:02</t>
        </is>
      </c>
      <c r="C7233" t="inlineStr">
        <is>
          <t>Any habit that goes into excessive</t>
        </is>
      </c>
      <c r="D7233">
        <f>HYPERLINK("https://www.youtube.com/watch?v=xvgzm60vygE&amp;t=362s", "Go to time")</f>
        <v/>
      </c>
    </row>
    <row r="7234">
      <c r="A7234">
        <f>HYPERLINK("https://www.youtube.com/watch?v=OQlNN1yMD0Y", "Video")</f>
        <v/>
      </c>
      <c r="B7234" t="inlineStr">
        <is>
          <t>3:45</t>
        </is>
      </c>
      <c r="C7234" t="inlineStr">
        <is>
          <t>a chance to improve a bit number three</t>
        </is>
      </c>
      <c r="D7234">
        <f>HYPERLINK("https://www.youtube.com/watch?v=OQlNN1yMD0Y&amp;t=225s", "Go to time")</f>
        <v/>
      </c>
    </row>
    <row r="7235">
      <c r="A7235">
        <f>HYPERLINK("https://www.youtube.com/watch?v=VdMovBHzkt0", "Video")</f>
        <v/>
      </c>
      <c r="B7235" t="inlineStr">
        <is>
          <t>4:55</t>
        </is>
      </c>
      <c r="C7235" t="inlineStr">
        <is>
          <t>or bitterness still linger the</t>
        </is>
      </c>
      <c r="D7235">
        <f>HYPERLINK("https://www.youtube.com/watch?v=VdMovBHzkt0&amp;t=295s", "Go to time")</f>
        <v/>
      </c>
    </row>
    <row r="7236">
      <c r="A7236">
        <f>HYPERLINK("https://www.youtube.com/watch?v=kkvrEeC8hyw", "Video")</f>
        <v/>
      </c>
      <c r="B7236" t="inlineStr">
        <is>
          <t>0:08</t>
        </is>
      </c>
      <c r="C7236" t="inlineStr">
        <is>
          <t>or passionate, but now make
you feel a bit uneasy Sometimes</t>
        </is>
      </c>
      <c r="D7236">
        <f>HYPERLINK("https://www.youtube.com/watch?v=kkvrEeC8hyw&amp;t=8s", "Go to time")</f>
        <v/>
      </c>
    </row>
    <row r="7237">
      <c r="A7237">
        <f>HYPERLINK("https://www.youtube.com/watch?v=jTRhs85PMXw", "Video")</f>
        <v/>
      </c>
      <c r="B7237" t="inlineStr">
        <is>
          <t>2:17</t>
        </is>
      </c>
      <c r="C7237" t="inlineStr">
        <is>
          <t>even though it's bittersweet it's a</t>
        </is>
      </c>
      <c r="D7237">
        <f>HYPERLINK("https://www.youtube.com/watch?v=jTRhs85PMXw&amp;t=137s", "Go to time")</f>
        <v/>
      </c>
    </row>
    <row r="7238">
      <c r="A7238">
        <f>HYPERLINK("https://www.youtube.com/watch?v=nEBattBCqRM", "Video")</f>
        <v/>
      </c>
      <c r="B7238" t="inlineStr">
        <is>
          <t>3:53</t>
        </is>
      </c>
      <c r="C7238" t="inlineStr">
        <is>
          <t>something you want to make a habit of</t>
        </is>
      </c>
      <c r="D7238">
        <f>HYPERLINK("https://www.youtube.com/watch?v=nEBattBCqRM&amp;t=233s", "Go to time")</f>
        <v/>
      </c>
    </row>
    <row r="7239">
      <c r="A7239">
        <f>HYPERLINK("https://www.youtube.com/watch?v=XIfG0VfVwBQ", "Video")</f>
        <v/>
      </c>
      <c r="B7239" t="inlineStr">
        <is>
          <t>3:21</t>
        </is>
      </c>
      <c r="C7239" t="inlineStr">
        <is>
          <t>be exhibited by a sexual narcissist</t>
        </is>
      </c>
      <c r="D7239">
        <f>HYPERLINK("https://www.youtube.com/watch?v=XIfG0VfVwBQ&amp;t=201s", "Go to time")</f>
        <v/>
      </c>
    </row>
    <row r="7240">
      <c r="A7240">
        <f>HYPERLINK("https://www.youtube.com/watch?v=XIfG0VfVwBQ", "Video")</f>
        <v/>
      </c>
      <c r="B7240" t="inlineStr">
        <is>
          <t>3:57</t>
        </is>
      </c>
      <c r="C7240" t="inlineStr">
        <is>
          <t>she was a bit confused and even</t>
        </is>
      </c>
      <c r="D7240">
        <f>HYPERLINK("https://www.youtube.com/watch?v=XIfG0VfVwBQ&amp;t=237s", "Go to time")</f>
        <v/>
      </c>
    </row>
    <row r="7241">
      <c r="A7241">
        <f>HYPERLINK("https://www.youtube.com/watch?v=ID1PfW-G-K4", "Video")</f>
        <v/>
      </c>
      <c r="B7241" t="inlineStr">
        <is>
          <t>4:28</t>
        </is>
      </c>
      <c r="C7241" t="inlineStr">
        <is>
          <t>you're feeling a bit l Lely maybe put</t>
        </is>
      </c>
      <c r="D7241">
        <f>HYPERLINK("https://www.youtube.com/watch?v=ID1PfW-G-K4&amp;t=268s", "Go to time")</f>
        <v/>
      </c>
    </row>
    <row r="7242">
      <c r="A7242">
        <f>HYPERLINK("https://www.youtube.com/watch?v=GTio4Hzcx-E", "Video")</f>
        <v/>
      </c>
      <c r="B7242" t="inlineStr">
        <is>
          <t>0:27</t>
        </is>
      </c>
      <c r="C7242" t="inlineStr">
        <is>
          <t>Ado here are five common habits of</t>
        </is>
      </c>
      <c r="D7242">
        <f>HYPERLINK("https://www.youtube.com/watch?v=GTio4Hzcx-E&amp;t=27s", "Go to time")</f>
        <v/>
      </c>
    </row>
    <row r="7243">
      <c r="A7243">
        <f>HYPERLINK("https://www.youtube.com/watch?v=r96fUhwreFw", "Video")</f>
        <v/>
      </c>
      <c r="B7243" t="inlineStr">
        <is>
          <t>2:45</t>
        </is>
      </c>
      <c r="C7243" t="inlineStr">
        <is>
          <t>beginning of a rabbit hole so as you</t>
        </is>
      </c>
      <c r="D7243">
        <f>HYPERLINK("https://www.youtube.com/watch?v=r96fUhwreFw&amp;t=165s", "Go to time")</f>
        <v/>
      </c>
    </row>
    <row r="7244">
      <c r="A7244">
        <f>HYPERLINK("https://www.youtube.com/watch?v=MWOXTNvmW9E", "Video")</f>
        <v/>
      </c>
      <c r="B7244" t="inlineStr">
        <is>
          <t>2:06</t>
        </is>
      </c>
      <c r="C7244" t="inlineStr">
        <is>
          <t>thing this can lead to a bit of</t>
        </is>
      </c>
      <c r="D7244">
        <f>HYPERLINK("https://www.youtube.com/watch?v=MWOXTNvmW9E&amp;t=126s", "Go to time")</f>
        <v/>
      </c>
    </row>
    <row r="7245">
      <c r="A7245">
        <f>HYPERLINK("https://www.youtube.com/watch?v=MWOXTNvmW9E", "Video")</f>
        <v/>
      </c>
      <c r="B7245" t="inlineStr">
        <is>
          <t>5:43</t>
        </is>
      </c>
      <c r="C7245" t="inlineStr">
        <is>
          <t>but if you're finding you're a bit alone</t>
        </is>
      </c>
      <c r="D7245">
        <f>HYPERLINK("https://www.youtube.com/watch?v=MWOXTNvmW9E&amp;t=343s", "Go to time")</f>
        <v/>
      </c>
    </row>
    <row r="7246">
      <c r="A7246">
        <f>HYPERLINK("https://www.youtube.com/watch?v=MWOXTNvmW9E", "Video")</f>
        <v/>
      </c>
      <c r="B7246" t="inlineStr">
        <is>
          <t>6:02</t>
        </is>
      </c>
      <c r="C7246" t="inlineStr">
        <is>
          <t>for a bit are you constantly thinking</t>
        </is>
      </c>
      <c r="D7246">
        <f>HYPERLINK("https://www.youtube.com/watch?v=MWOXTNvmW9E&amp;t=362s", "Go to time")</f>
        <v/>
      </c>
    </row>
    <row r="7247">
      <c r="A7247">
        <f>HYPERLINK("https://www.youtube.com/watch?v=oFGCtp_8N08", "Video")</f>
        <v/>
      </c>
      <c r="B7247" t="inlineStr">
        <is>
          <t>3:27</t>
        </is>
      </c>
      <c r="C7247" t="inlineStr">
        <is>
          <t>actually supposed to be a bit</t>
        </is>
      </c>
      <c r="D7247">
        <f>HYPERLINK("https://www.youtube.com/watch?v=oFGCtp_8N08&amp;t=207s", "Go to time")</f>
        <v/>
      </c>
    </row>
    <row r="7248">
      <c r="A7248">
        <f>HYPERLINK("https://www.youtube.com/watch?v=oFGCtp_8N08", "Video")</f>
        <v/>
      </c>
      <c r="B7248" t="inlineStr">
        <is>
          <t>4:15</t>
        </is>
      </c>
      <c r="C7248" t="inlineStr">
        <is>
          <t>someone to act a bit self-absorbed this</t>
        </is>
      </c>
      <c r="D7248">
        <f>HYPERLINK("https://www.youtube.com/watch?v=oFGCtp_8N08&amp;t=255s", "Go to time")</f>
        <v/>
      </c>
    </row>
    <row r="7249">
      <c r="A7249">
        <f>HYPERLINK("https://www.youtube.com/watch?v=U732BIxhqPk", "Video")</f>
        <v/>
      </c>
      <c r="B7249" t="inlineStr">
        <is>
          <t>3:21</t>
        </is>
      </c>
      <c r="C7249" t="inlineStr">
        <is>
          <t>settings for example you may feel a bit</t>
        </is>
      </c>
      <c r="D7249">
        <f>HYPERLINK("https://www.youtube.com/watch?v=U732BIxhqPk&amp;t=201s", "Go to time")</f>
        <v/>
      </c>
    </row>
    <row r="7250">
      <c r="A7250">
        <f>HYPERLINK("https://www.youtube.com/watch?v=qrPb0nutBrg", "Video")</f>
        <v/>
      </c>
      <c r="B7250" t="inlineStr">
        <is>
          <t>4:40</t>
        </is>
      </c>
      <c r="C7250" t="inlineStr">
        <is>
          <t>We're trying to create a new healthy habit</t>
        </is>
      </c>
      <c r="D7250">
        <f>HYPERLINK("https://www.youtube.com/watch?v=qrPb0nutBrg&amp;t=280s", "Go to time")</f>
        <v/>
      </c>
    </row>
    <row r="7251">
      <c r="A7251">
        <f>HYPERLINK("https://www.youtube.com/watch?v=9diKzC5X2zA", "Video")</f>
        <v/>
      </c>
      <c r="B7251" t="inlineStr">
        <is>
          <t>0:00</t>
        </is>
      </c>
      <c r="C7251" t="inlineStr">
        <is>
          <t>are you feeling a bit out of sorts did</t>
        </is>
      </c>
      <c r="D7251">
        <f>HYPERLINK("https://www.youtube.com/watch?v=9diKzC5X2zA&amp;t=0s", "Go to time")</f>
        <v/>
      </c>
    </row>
    <row r="7252">
      <c r="A7252">
        <f>HYPERLINK("https://www.youtube.com/watch?v=9diKzC5X2zA", "Video")</f>
        <v/>
      </c>
      <c r="B7252" t="inlineStr">
        <is>
          <t>2:20</t>
        </is>
      </c>
      <c r="C7252" t="inlineStr">
        <is>
          <t>anxiety and bitterness or you could</t>
        </is>
      </c>
      <c r="D7252">
        <f>HYPERLINK("https://www.youtube.com/watch?v=9diKzC5X2zA&amp;t=140s", "Go to time")</f>
        <v/>
      </c>
    </row>
    <row r="7253">
      <c r="A7253">
        <f>HYPERLINK("https://www.youtube.com/watch?v=0w1XnCh5H0k", "Video")</f>
        <v/>
      </c>
      <c r="B7253" t="inlineStr">
        <is>
          <t>0:32</t>
        </is>
      </c>
      <c r="C7253" t="inlineStr">
        <is>
          <t>different people may exhibit different</t>
        </is>
      </c>
      <c r="D7253">
        <f>HYPERLINK("https://www.youtube.com/watch?v=0w1XnCh5H0k&amp;t=32s", "Go to time")</f>
        <v/>
      </c>
    </row>
    <row r="7254">
      <c r="A7254">
        <f>HYPERLINK("https://www.youtube.com/watch?v=x_XwtNxYk_g", "Video")</f>
        <v/>
      </c>
      <c r="B7254" t="inlineStr">
        <is>
          <t>1:47</t>
        </is>
      </c>
      <c r="C7254" t="inlineStr">
        <is>
          <t>lets people know a bit more
about your personality.</t>
        </is>
      </c>
      <c r="D7254">
        <f>HYPERLINK("https://www.youtube.com/watch?v=x_XwtNxYk_g&amp;t=107s", "Go to time")</f>
        <v/>
      </c>
    </row>
    <row r="7255">
      <c r="A7255">
        <f>HYPERLINK("https://www.youtube.com/watch?v=Stb1mRmnZHQ", "Video")</f>
        <v/>
      </c>
      <c r="B7255" t="inlineStr">
        <is>
          <t>1:50</t>
        </is>
      </c>
      <c r="C7255" t="inlineStr">
        <is>
          <t>of emptiness, even engaging in
self-destructive habits like</t>
        </is>
      </c>
      <c r="D7255">
        <f>HYPERLINK("https://www.youtube.com/watch?v=Stb1mRmnZHQ&amp;t=110s", "Go to time")</f>
        <v/>
      </c>
    </row>
    <row r="7256">
      <c r="A7256">
        <f>HYPERLINK("https://www.youtube.com/watch?v=Stb1mRmnZHQ", "Video")</f>
        <v/>
      </c>
      <c r="B7256" t="inlineStr">
        <is>
          <t>6:03</t>
        </is>
      </c>
      <c r="C7256" t="inlineStr">
        <is>
          <t>and you deserve every bit of it.</t>
        </is>
      </c>
      <c r="D7256">
        <f>HYPERLINK("https://www.youtube.com/watch?v=Stb1mRmnZHQ&amp;t=363s", "Go to time")</f>
        <v/>
      </c>
    </row>
    <row r="7257">
      <c r="A7257">
        <f>HYPERLINK("https://www.youtube.com/watch?v=skKCDaVAWyQ", "Video")</f>
        <v/>
      </c>
      <c r="B7257" t="inlineStr">
        <is>
          <t>1:33</t>
        </is>
      </c>
      <c r="C7257" t="inlineStr">
        <is>
          <t>of us probably have a bit of a belly or</t>
        </is>
      </c>
      <c r="D7257">
        <f>HYPERLINK("https://www.youtube.com/watch?v=skKCDaVAWyQ&amp;t=93s", "Go to time")</f>
        <v/>
      </c>
    </row>
    <row r="7258">
      <c r="A7258">
        <f>HYPERLINK("https://www.youtube.com/watch?v=6n0GiBjt3wM", "Video")</f>
        <v/>
      </c>
      <c r="B7258" t="inlineStr">
        <is>
          <t>1:23</t>
        </is>
      </c>
      <c r="C7258" t="inlineStr">
        <is>
          <t>you may have acted a bit awkward at</t>
        </is>
      </c>
      <c r="D7258">
        <f>HYPERLINK("https://www.youtube.com/watch?v=6n0GiBjt3wM&amp;t=83s", "Go to time")</f>
        <v/>
      </c>
    </row>
    <row r="7259">
      <c r="A7259">
        <f>HYPERLINK("https://www.youtube.com/watch?v=6n0GiBjt3wM", "Video")</f>
        <v/>
      </c>
      <c r="B7259" t="inlineStr">
        <is>
          <t>1:44</t>
        </is>
      </c>
      <c r="C7259" t="inlineStr">
        <is>
          <t>consequently act a bit awkward only when</t>
        </is>
      </c>
      <c r="D7259">
        <f>HYPERLINK("https://www.youtube.com/watch?v=6n0GiBjt3wM&amp;t=104s", "Go to time")</f>
        <v/>
      </c>
    </row>
    <row r="7260">
      <c r="A7260">
        <f>HYPERLINK("https://www.youtube.com/watch?v=6n0GiBjt3wM", "Video")</f>
        <v/>
      </c>
      <c r="B7260" t="inlineStr">
        <is>
          <t>1:55</t>
        </is>
      </c>
      <c r="C7260" t="inlineStr">
        <is>
          <t>become a bit giddy when they see you</t>
        </is>
      </c>
      <c r="D7260">
        <f>HYPERLINK("https://www.youtube.com/watch?v=6n0GiBjt3wM&amp;t=115s", "Go to time")</f>
        <v/>
      </c>
    </row>
    <row r="7261">
      <c r="A7261">
        <f>HYPERLINK("https://www.youtube.com/watch?v=6n0GiBjt3wM", "Video")</f>
        <v/>
      </c>
      <c r="B7261" t="inlineStr">
        <is>
          <t>5:33</t>
        </is>
      </c>
      <c r="C7261" t="inlineStr">
        <is>
          <t>hugging you a bit longer than their</t>
        </is>
      </c>
      <c r="D7261">
        <f>HYPERLINK("https://www.youtube.com/watch?v=6n0GiBjt3wM&amp;t=333s", "Go to time")</f>
        <v/>
      </c>
    </row>
    <row r="7262">
      <c r="A7262">
        <f>HYPERLINK("https://www.youtube.com/watch?v=L3lU-WqsdD0", "Video")</f>
        <v/>
      </c>
      <c r="B7262" t="inlineStr">
        <is>
          <t>2:31</t>
        </is>
      </c>
      <c r="C7262" t="inlineStr">
        <is>
          <t>is all about mental habits,</t>
        </is>
      </c>
      <c r="D7262">
        <f>HYPERLINK("https://www.youtube.com/watch?v=L3lU-WqsdD0&amp;t=151s", "Go to time")</f>
        <v/>
      </c>
    </row>
    <row r="7263">
      <c r="A7263">
        <f>HYPERLINK("https://www.youtube.com/watch?v=L3lU-WqsdD0", "Video")</f>
        <v/>
      </c>
      <c r="B7263" t="inlineStr">
        <is>
          <t>2:33</t>
        </is>
      </c>
      <c r="C7263" t="inlineStr">
        <is>
          <t>but your physical habits matter as well.</t>
        </is>
      </c>
      <c r="D7263">
        <f>HYPERLINK("https://www.youtube.com/watch?v=L3lU-WqsdD0&amp;t=153s", "Go to time")</f>
        <v/>
      </c>
    </row>
    <row r="7264">
      <c r="A7264">
        <f>HYPERLINK("https://www.youtube.com/watch?v=L3lU-WqsdD0", "Video")</f>
        <v/>
      </c>
      <c r="B7264" t="inlineStr">
        <is>
          <t>3:19</t>
        </is>
      </c>
      <c r="C7264" t="inlineStr">
        <is>
          <t>to habits of avoiding alcohol and tobacco.</t>
        </is>
      </c>
      <c r="D7264">
        <f>HYPERLINK("https://www.youtube.com/watch?v=L3lU-WqsdD0&amp;t=199s", "Go to time")</f>
        <v/>
      </c>
    </row>
    <row r="7265">
      <c r="A7265">
        <f>HYPERLINK("https://www.youtube.com/watch?v=KIj5cWBIb1c", "Video")</f>
        <v/>
      </c>
      <c r="B7265" t="inlineStr">
        <is>
          <t>0:03</t>
        </is>
      </c>
      <c r="C7265" t="inlineStr">
        <is>
          <t>but maybe wanna get them to
like you a bit first, but how?</t>
        </is>
      </c>
      <c r="D7265">
        <f>HYPERLINK("https://www.youtube.com/watch?v=KIj5cWBIb1c&amp;t=3s", "Go to time")</f>
        <v/>
      </c>
    </row>
    <row r="7266">
      <c r="A7266">
        <f>HYPERLINK("https://www.youtube.com/watch?v=KIj5cWBIb1c", "Video")</f>
        <v/>
      </c>
      <c r="B7266" t="inlineStr">
        <is>
          <t>2:27</t>
        </is>
      </c>
      <c r="C7266" t="inlineStr">
        <is>
          <t>can often take a bit of confidence.</t>
        </is>
      </c>
      <c r="D7266">
        <f>HYPERLINK("https://www.youtube.com/watch?v=KIj5cWBIb1c&amp;t=147s", "Go to time")</f>
        <v/>
      </c>
    </row>
    <row r="7267">
      <c r="A7267">
        <f>HYPERLINK("https://www.youtube.com/watch?v=KIj5cWBIb1c", "Video")</f>
        <v/>
      </c>
      <c r="B7267" t="inlineStr">
        <is>
          <t>2:47</t>
        </is>
      </c>
      <c r="C7267" t="inlineStr">
        <is>
          <t>or not with a bit of flirting</t>
        </is>
      </c>
      <c r="D7267">
        <f>HYPERLINK("https://www.youtube.com/watch?v=KIj5cWBIb1c&amp;t=167s", "Go to time")</f>
        <v/>
      </c>
    </row>
    <row r="7268">
      <c r="A7268">
        <f>HYPERLINK("https://www.youtube.com/watch?v=C1iE_JhIlbI", "Video")</f>
        <v/>
      </c>
      <c r="B7268" t="inlineStr">
        <is>
          <t>0:18</t>
        </is>
      </c>
      <c r="C7268" t="inlineStr">
        <is>
          <t>after all we all have a bit of</t>
        </is>
      </c>
      <c r="D7268">
        <f>HYPERLINK("https://www.youtube.com/watch?v=C1iE_JhIlbI&amp;t=18s", "Go to time")</f>
        <v/>
      </c>
    </row>
    <row r="7269">
      <c r="A7269">
        <f>HYPERLINK("https://www.youtube.com/watch?v=C1iE_JhIlbI", "Video")</f>
        <v/>
      </c>
      <c r="B7269" t="inlineStr">
        <is>
          <t>0:31</t>
        </is>
      </c>
      <c r="C7269" t="inlineStr">
        <is>
          <t>choices than selfish ambition-dominated</t>
        </is>
      </c>
      <c r="D7269">
        <f>HYPERLINK("https://www.youtube.com/watch?v=C1iE_JhIlbI&amp;t=31s", "Go to time")</f>
        <v/>
      </c>
    </row>
    <row r="7270">
      <c r="A7270">
        <f>HYPERLINK("https://www.youtube.com/watch?v=C1iE_JhIlbI", "Video")</f>
        <v/>
      </c>
      <c r="B7270" t="inlineStr">
        <is>
          <t>1:36</t>
        </is>
      </c>
      <c r="C7270" t="inlineStr">
        <is>
          <t>selfish we are motivated by ambition and</t>
        </is>
      </c>
      <c r="D7270">
        <f>HYPERLINK("https://www.youtube.com/watch?v=C1iE_JhIlbI&amp;t=96s", "Go to time")</f>
        <v/>
      </c>
    </row>
    <row r="7271">
      <c r="A7271">
        <f>HYPERLINK("https://www.youtube.com/watch?v=d_o5yZ79pAI", "Video")</f>
        <v/>
      </c>
      <c r="B7271" t="inlineStr">
        <is>
          <t>0:29</t>
        </is>
      </c>
      <c r="C7271" t="inlineStr">
        <is>
          <t>top label your ambition as unrealistic</t>
        </is>
      </c>
      <c r="D7271">
        <f>HYPERLINK("https://www.youtube.com/watch?v=d_o5yZ79pAI&amp;t=29s", "Go to time")</f>
        <v/>
      </c>
    </row>
    <row r="7272">
      <c r="A7272">
        <f>HYPERLINK("https://www.youtube.com/watch?v=d_o5yZ79pAI", "Video")</f>
        <v/>
      </c>
      <c r="B7272" t="inlineStr">
        <is>
          <t>4:49</t>
        </is>
      </c>
      <c r="C7272" t="inlineStr">
        <is>
          <t>learn more about seven habits you have</t>
        </is>
      </c>
      <c r="D7272">
        <f>HYPERLINK("https://www.youtube.com/watch?v=d_o5yZ79pAI&amp;t=289s", "Go to time")</f>
        <v/>
      </c>
    </row>
    <row r="7273">
      <c r="A7273">
        <f>HYPERLINK("https://www.youtube.com/watch?v=qEaGSIL7lUU", "Video")</f>
        <v/>
      </c>
      <c r="B7273" t="inlineStr">
        <is>
          <t>0:18</t>
        </is>
      </c>
      <c r="C7273" t="inlineStr">
        <is>
          <t>can be a bit well toxic</t>
        </is>
      </c>
      <c r="D7273">
        <f>HYPERLINK("https://www.youtube.com/watch?v=qEaGSIL7lUU&amp;t=18s", "Go to time")</f>
        <v/>
      </c>
    </row>
    <row r="7274">
      <c r="A7274">
        <f>HYPERLINK("https://www.youtube.com/watch?v=qEaGSIL7lUU", "Video")</f>
        <v/>
      </c>
      <c r="B7274" t="inlineStr">
        <is>
          <t>2:34</t>
        </is>
      </c>
      <c r="C7274" t="inlineStr">
        <is>
          <t>does this sound a bit like you</t>
        </is>
      </c>
      <c r="D7274">
        <f>HYPERLINK("https://www.youtube.com/watch?v=qEaGSIL7lUU&amp;t=154s", "Go to time")</f>
        <v/>
      </c>
    </row>
    <row r="7275">
      <c r="A7275">
        <f>HYPERLINK("https://www.youtube.com/watch?v=qEaGSIL7lUU", "Video")</f>
        <v/>
      </c>
      <c r="B7275" t="inlineStr">
        <is>
          <t>4:08</t>
        </is>
      </c>
      <c r="C7275" t="inlineStr">
        <is>
          <t>makes them a bit uptight unable to relax</t>
        </is>
      </c>
      <c r="D7275">
        <f>HYPERLINK("https://www.youtube.com/watch?v=qEaGSIL7lUU&amp;t=248s", "Go to time")</f>
        <v/>
      </c>
    </row>
    <row r="7276">
      <c r="A7276">
        <f>HYPERLINK("https://www.youtube.com/watch?v=qEaGSIL7lUU", "Video")</f>
        <v/>
      </c>
      <c r="B7276" t="inlineStr">
        <is>
          <t>5:09</t>
        </is>
      </c>
      <c r="C7276" t="inlineStr">
        <is>
          <t>if you're a defender and are a bit too</t>
        </is>
      </c>
      <c r="D7276">
        <f>HYPERLINK("https://www.youtube.com/watch?v=qEaGSIL7lUU&amp;t=309s", "Go to time")</f>
        <v/>
      </c>
    </row>
    <row r="7277">
      <c r="A7277">
        <f>HYPERLINK("https://www.youtube.com/watch?v=qEaGSIL7lUU", "Video")</f>
        <v/>
      </c>
      <c r="B7277" t="inlineStr">
        <is>
          <t>8:56</t>
        </is>
      </c>
      <c r="C7277" t="inlineStr">
        <is>
          <t>they also come off a bit condescending</t>
        </is>
      </c>
      <c r="D7277">
        <f>HYPERLINK("https://www.youtube.com/watch?v=qEaGSIL7lUU&amp;t=536s", "Go to time")</f>
        <v/>
      </c>
    </row>
    <row r="7278">
      <c r="A7278">
        <f>HYPERLINK("https://www.youtube.com/watch?v=qEaGSIL7lUU", "Video")</f>
        <v/>
      </c>
      <c r="B7278" t="inlineStr">
        <is>
          <t>10:22</t>
        </is>
      </c>
      <c r="C7278" t="inlineStr">
        <is>
          <t>completely dismiss emotion and be a bit</t>
        </is>
      </c>
      <c r="D7278">
        <f>HYPERLINK("https://www.youtube.com/watch?v=qEaGSIL7lUU&amp;t=622s", "Go to time")</f>
        <v/>
      </c>
    </row>
    <row r="7279">
      <c r="A7279">
        <f>HYPERLINK("https://www.youtube.com/watch?v=qEaGSIL7lUU", "Video")</f>
        <v/>
      </c>
      <c r="B7279" t="inlineStr">
        <is>
          <t>10:26</t>
        </is>
      </c>
      <c r="C7279" t="inlineStr">
        <is>
          <t>this can be a bit toxic if you're an</t>
        </is>
      </c>
      <c r="D7279">
        <f>HYPERLINK("https://www.youtube.com/watch?v=qEaGSIL7lUU&amp;t=626s", "Go to time")</f>
        <v/>
      </c>
    </row>
    <row r="7280">
      <c r="A7280">
        <f>HYPERLINK("https://www.youtube.com/watch?v=POrIk0ZN4ms", "Video")</f>
        <v/>
      </c>
      <c r="B7280" t="inlineStr">
        <is>
          <t>3:07</t>
        </is>
      </c>
      <c r="C7280" t="inlineStr">
        <is>
          <t>his habits to those of Sheldon Cooper</t>
        </is>
      </c>
      <c r="D7280">
        <f>HYPERLINK("https://www.youtube.com/watch?v=POrIk0ZN4ms&amp;t=187s", "Go to time")</f>
        <v/>
      </c>
    </row>
    <row r="7281">
      <c r="A7281">
        <f>HYPERLINK("https://www.youtube.com/watch?v=POrIk0ZN4ms", "Video")</f>
        <v/>
      </c>
      <c r="B7281" t="inlineStr">
        <is>
          <t>4:25</t>
        </is>
      </c>
      <c r="C7281" t="inlineStr">
        <is>
          <t>one part of the autistic rabbit hole</t>
        </is>
      </c>
      <c r="D7281">
        <f>HYPERLINK("https://www.youtube.com/watch?v=POrIk0ZN4ms&amp;t=265s", "Go to time")</f>
        <v/>
      </c>
    </row>
    <row r="7282">
      <c r="A7282">
        <f>HYPERLINK("https://www.youtube.com/watch?v=4bbXc6nWmN0", "Video")</f>
        <v/>
      </c>
      <c r="B7282" t="inlineStr">
        <is>
          <t>3:52</t>
        </is>
      </c>
      <c r="C7282" t="inlineStr">
        <is>
          <t>she reigned in her bad habits though I</t>
        </is>
      </c>
      <c r="D7282">
        <f>HYPERLINK("https://www.youtube.com/watch?v=4bbXc6nWmN0&amp;t=232s", "Go to time")</f>
        <v/>
      </c>
    </row>
    <row r="7283">
      <c r="A7283">
        <f>HYPERLINK("https://www.youtube.com/watch?v=4bbXc6nWmN0", "Video")</f>
        <v/>
      </c>
      <c r="B7283" t="inlineStr">
        <is>
          <t>4:46</t>
        </is>
      </c>
      <c r="C7283" t="inlineStr">
        <is>
          <t>after spending a bit of time with them</t>
        </is>
      </c>
      <c r="D7283">
        <f>HYPERLINK("https://www.youtube.com/watch?v=4bbXc6nWmN0&amp;t=286s", "Go to time")</f>
        <v/>
      </c>
    </row>
    <row r="7284">
      <c r="A7284">
        <f>HYPERLINK("https://www.youtube.com/watch?v=4bbXc6nWmN0", "Video")</f>
        <v/>
      </c>
      <c r="B7284" t="inlineStr">
        <is>
          <t>5:30</t>
        </is>
      </c>
      <c r="C7284" t="inlineStr">
        <is>
          <t>loosen up a bit I started to dance and</t>
        </is>
      </c>
      <c r="D7284">
        <f>HYPERLINK("https://www.youtube.com/watch?v=4bbXc6nWmN0&amp;t=330s", "Go to time")</f>
        <v/>
      </c>
    </row>
    <row r="7285">
      <c r="A7285">
        <f>HYPERLINK("https://www.youtube.com/watch?v=4bbXc6nWmN0", "Video")</f>
        <v/>
      </c>
      <c r="B7285" t="inlineStr">
        <is>
          <t>5:45</t>
        </is>
      </c>
      <c r="C7285" t="inlineStr">
        <is>
          <t>a bit being alone for so long showed me</t>
        </is>
      </c>
      <c r="D7285">
        <f>HYPERLINK("https://www.youtube.com/watch?v=4bbXc6nWmN0&amp;t=345s", "Go to time")</f>
        <v/>
      </c>
    </row>
    <row r="7286">
      <c r="A7286">
        <f>HYPERLINK("https://www.youtube.com/watch?v=Rj6RoxiEJ0Q", "Video")</f>
        <v/>
      </c>
      <c r="B7286" t="inlineStr">
        <is>
          <t>0:40</t>
        </is>
      </c>
      <c r="C7286" t="inlineStr">
        <is>
          <t>at a few habits to get the dopamine</t>
        </is>
      </c>
      <c r="D7286">
        <f>HYPERLINK("https://www.youtube.com/watch?v=Rj6RoxiEJ0Q&amp;t=40s", "Go to time")</f>
        <v/>
      </c>
    </row>
    <row r="7287">
      <c r="A7287">
        <f>HYPERLINK("https://www.youtube.com/watch?v=Rj6RoxiEJ0Q", "Video")</f>
        <v/>
      </c>
      <c r="B7287" t="inlineStr">
        <is>
          <t>2:43</t>
        </is>
      </c>
      <c r="C7287" t="inlineStr">
        <is>
          <t>do a bit of this touchy social thing</t>
        </is>
      </c>
      <c r="D7287">
        <f>HYPERLINK("https://www.youtube.com/watch?v=Rj6RoxiEJ0Q&amp;t=163s", "Go to time")</f>
        <v/>
      </c>
    </row>
    <row r="7288">
      <c r="A7288">
        <f>HYPERLINK("https://www.youtube.com/watch?v=8gGZz-9oCb4", "Video")</f>
        <v/>
      </c>
      <c r="B7288" t="inlineStr">
        <is>
          <t>4:33</t>
        </is>
      </c>
      <c r="C7288" t="inlineStr">
        <is>
          <t>a bit of play in your adult life might</t>
        </is>
      </c>
      <c r="D7288">
        <f>HYPERLINK("https://www.youtube.com/watch?v=8gGZz-9oCb4&amp;t=273s", "Go to time")</f>
        <v/>
      </c>
    </row>
    <row r="7289">
      <c r="A7289">
        <f>HYPERLINK("https://www.youtube.com/watch?v=BzoehnfnJCs", "Video")</f>
        <v/>
      </c>
      <c r="B7289" t="inlineStr">
        <is>
          <t>0:52</t>
        </is>
      </c>
      <c r="C7289" t="inlineStr">
        <is>
          <t>similar shopping habits are you a saver</t>
        </is>
      </c>
      <c r="D7289">
        <f>HYPERLINK("https://www.youtube.com/watch?v=BzoehnfnJCs&amp;t=52s", "Go to time")</f>
        <v/>
      </c>
    </row>
    <row r="7290">
      <c r="A7290">
        <f>HYPERLINK("https://www.youtube.com/watch?v=BzoehnfnJCs", "Video")</f>
        <v/>
      </c>
      <c r="B7290" t="inlineStr">
        <is>
          <t>1:16</t>
        </is>
      </c>
      <c r="C7290" t="inlineStr">
        <is>
          <t>when you have similar shopping habits</t>
        </is>
      </c>
      <c r="D7290">
        <f>HYPERLINK("https://www.youtube.com/watch?v=BzoehnfnJCs&amp;t=76s", "Go to time")</f>
        <v/>
      </c>
    </row>
    <row r="7291">
      <c r="A7291">
        <f>HYPERLINK("https://www.youtube.com/watch?v=TvceM986s0k", "Video")</f>
        <v/>
      </c>
      <c r="B7291" t="inlineStr">
        <is>
          <t>5:50</t>
        </is>
      </c>
      <c r="C7291" t="inlineStr">
        <is>
          <t>your next steps and habits check out our</t>
        </is>
      </c>
      <c r="D7291">
        <f>HYPERLINK("https://www.youtube.com/watch?v=TvceM986s0k&amp;t=350s", "Go to time")</f>
        <v/>
      </c>
    </row>
    <row r="7292">
      <c r="A7292">
        <f>HYPERLINK("https://www.youtube.com/watch?v=TvceM986s0k", "Video")</f>
        <v/>
      </c>
      <c r="B7292" t="inlineStr">
        <is>
          <t>5:52</t>
        </is>
      </c>
      <c r="C7292" t="inlineStr">
        <is>
          <t>video on micro habit and remember to</t>
        </is>
      </c>
      <c r="D7292">
        <f>HYPERLINK("https://www.youtube.com/watch?v=TvceM986s0k&amp;t=352s", "Go to time")</f>
        <v/>
      </c>
    </row>
    <row r="7293">
      <c r="A7293">
        <f>HYPERLINK("https://www.youtube.com/watch?v=5pzcRH665Lw", "Video")</f>
        <v/>
      </c>
      <c r="B7293" t="inlineStr">
        <is>
          <t>3:11</t>
        </is>
      </c>
      <c r="C7293" t="inlineStr">
        <is>
          <t>Writing it down could help
you build a habit of tuning in</t>
        </is>
      </c>
      <c r="D7293">
        <f>HYPERLINK("https://www.youtube.com/watch?v=5pzcRH665Lw&amp;t=191s", "Go to time")</f>
        <v/>
      </c>
    </row>
    <row r="7294">
      <c r="A7294">
        <f>HYPERLINK("https://www.youtube.com/watch?v=MO7KfHMTEvg", "Video")</f>
        <v/>
      </c>
      <c r="B7294" t="inlineStr">
        <is>
          <t>4:07</t>
        </is>
      </c>
      <c r="C7294" t="inlineStr">
        <is>
          <t>chronic stress burnout and habitual</t>
        </is>
      </c>
      <c r="D7294">
        <f>HYPERLINK("https://www.youtube.com/watch?v=MO7KfHMTEvg&amp;t=247s", "Go to time")</f>
        <v/>
      </c>
    </row>
    <row r="7295">
      <c r="A7295">
        <f>HYPERLINK("https://www.youtube.com/watch?v=557LGAMzguM", "Video")</f>
        <v/>
      </c>
      <c r="B7295" t="inlineStr">
        <is>
          <t>0:55</t>
        </is>
      </c>
      <c r="C7295" t="inlineStr">
        <is>
          <t>and stubbornness can
become habitual behaviors.</t>
        </is>
      </c>
      <c r="D7295">
        <f>HYPERLINK("https://www.youtube.com/watch?v=557LGAMzguM&amp;t=55s", "Go to time")</f>
        <v/>
      </c>
    </row>
    <row r="7296">
      <c r="A7296">
        <f>HYPERLINK("https://www.youtube.com/watch?v=557LGAMzguM", "Video")</f>
        <v/>
      </c>
      <c r="B7296" t="inlineStr">
        <is>
          <t>1:00</t>
        </is>
      </c>
      <c r="C7296" t="inlineStr">
        <is>
          <t>and habit forming by social scientist, Dr.</t>
        </is>
      </c>
      <c r="D7296">
        <f>HYPERLINK("https://www.youtube.com/watch?v=557LGAMzguM&amp;t=60s", "Go to time")</f>
        <v/>
      </c>
    </row>
    <row r="7297">
      <c r="A7297">
        <f>HYPERLINK("https://www.youtube.com/watch?v=557LGAMzguM", "Video")</f>
        <v/>
      </c>
      <c r="B7297" t="inlineStr">
        <is>
          <t>1:07</t>
        </is>
      </c>
      <c r="C7297" t="inlineStr">
        <is>
          <t>it could be very difficult
to break that habit.</t>
        </is>
      </c>
      <c r="D7297">
        <f>HYPERLINK("https://www.youtube.com/watch?v=557LGAMzguM&amp;t=67s", "Go to time")</f>
        <v/>
      </c>
    </row>
    <row r="7298">
      <c r="A7298">
        <f>HYPERLINK("https://www.youtube.com/watch?v=557LGAMzguM", "Video")</f>
        <v/>
      </c>
      <c r="B7298" t="inlineStr">
        <is>
          <t>1:10</t>
        </is>
      </c>
      <c r="C7298" t="inlineStr">
        <is>
          <t>Introducing someone new
to your habits, no matter</t>
        </is>
      </c>
      <c r="D7298">
        <f>HYPERLINK("https://www.youtube.com/watch?v=557LGAMzguM&amp;t=70s", "Go to time")</f>
        <v/>
      </c>
    </row>
    <row r="7299">
      <c r="A7299">
        <f>HYPERLINK("https://www.youtube.com/watch?v=557LGAMzguM", "Video")</f>
        <v/>
      </c>
      <c r="B7299" t="inlineStr">
        <is>
          <t>1:12</t>
        </is>
      </c>
      <c r="C7299" t="inlineStr">
        <is>
          <t>how much you love them,
will not break those habits.</t>
        </is>
      </c>
      <c r="D7299">
        <f>HYPERLINK("https://www.youtube.com/watch?v=557LGAMzguM&amp;t=72s", "Go to time")</f>
        <v/>
      </c>
    </row>
    <row r="7300">
      <c r="A7300">
        <f>HYPERLINK("https://www.youtube.com/watch?v=557LGAMzguM", "Video")</f>
        <v/>
      </c>
      <c r="B7300" t="inlineStr">
        <is>
          <t>3:03</t>
        </is>
      </c>
      <c r="C7300" t="inlineStr">
        <is>
          <t>or even physical habits to the
point you grow out of touch</t>
        </is>
      </c>
      <c r="D7300">
        <f>HYPERLINK("https://www.youtube.com/watch?v=557LGAMzguM&amp;t=183s", "Go to time")</f>
        <v/>
      </c>
    </row>
    <row r="7301">
      <c r="A7301">
        <f>HYPERLINK("https://www.youtube.com/watch?v=cTkTD8gccCo", "Video")</f>
        <v/>
      </c>
      <c r="B7301" t="inlineStr">
        <is>
          <t>0:01</t>
        </is>
      </c>
      <c r="C7301" t="inlineStr">
        <is>
          <t>Having a bit of trouble determining</t>
        </is>
      </c>
      <c r="D7301">
        <f>HYPERLINK("https://www.youtube.com/watch?v=cTkTD8gccCo&amp;t=1s", "Go to time")</f>
        <v/>
      </c>
    </row>
    <row r="7302">
      <c r="A7302">
        <f>HYPERLINK("https://www.youtube.com/watch?v=cTkTD8gccCo", "Video")</f>
        <v/>
      </c>
      <c r="B7302" t="inlineStr">
        <is>
          <t>2:33</t>
        </is>
      </c>
      <c r="C7302" t="inlineStr">
        <is>
          <t>or do they get a bit
nervous around you, blush,</t>
        </is>
      </c>
      <c r="D7302">
        <f>HYPERLINK("https://www.youtube.com/watch?v=cTkTD8gccCo&amp;t=153s", "Go to time")</f>
        <v/>
      </c>
    </row>
    <row r="7303">
      <c r="A7303">
        <f>HYPERLINK("https://www.youtube.com/watch?v=cTkTD8gccCo", "Video")</f>
        <v/>
      </c>
      <c r="B7303" t="inlineStr">
        <is>
          <t>2:36</t>
        </is>
      </c>
      <c r="C7303" t="inlineStr">
        <is>
          <t>try to impress you a bit?</t>
        </is>
      </c>
      <c r="D7303">
        <f>HYPERLINK("https://www.youtube.com/watch?v=cTkTD8gccCo&amp;t=156s", "Go to time")</f>
        <v/>
      </c>
    </row>
    <row r="7304">
      <c r="A7304">
        <f>HYPERLINK("https://www.youtube.com/watch?v=cTkTD8gccCo", "Video")</f>
        <v/>
      </c>
      <c r="B7304" t="inlineStr">
        <is>
          <t>2:38</t>
        </is>
      </c>
      <c r="C7304" t="inlineStr">
        <is>
          <t>Does their vocabulary suddenly
sound a bit gentler and nice,</t>
        </is>
      </c>
      <c r="D7304">
        <f>HYPERLINK("https://www.youtube.com/watch?v=cTkTD8gccCo&amp;t=158s", "Go to time")</f>
        <v/>
      </c>
    </row>
    <row r="7305">
      <c r="A7305">
        <f>HYPERLINK("https://www.youtube.com/watch?v=n5dJ6unjAFc", "Video")</f>
        <v/>
      </c>
      <c r="B7305" t="inlineStr">
        <is>
          <t>5:13</t>
        </is>
      </c>
      <c r="C7305" t="inlineStr">
        <is>
          <t>bit longer than what is normal can</t>
        </is>
      </c>
      <c r="D7305">
        <f>HYPERLINK("https://www.youtube.com/watch?v=n5dJ6unjAFc&amp;t=313s", "Go to time")</f>
        <v/>
      </c>
    </row>
    <row r="7306">
      <c r="A7306">
        <f>HYPERLINK("https://www.youtube.com/watch?v=p06OwBbR6gU", "Video")</f>
        <v/>
      </c>
      <c r="B7306" t="inlineStr">
        <is>
          <t>5:18</t>
        </is>
      </c>
      <c r="C7306" t="inlineStr">
        <is>
          <t>trauma doesn't make you more bitter and</t>
        </is>
      </c>
      <c r="D7306">
        <f>HYPERLINK("https://www.youtube.com/watch?v=p06OwBbR6gU&amp;t=318s", "Go to time")</f>
        <v/>
      </c>
    </row>
    <row r="7307">
      <c r="A7307">
        <f>HYPERLINK("https://www.youtube.com/watch?v=5fgfnX2K0mY", "Video")</f>
        <v/>
      </c>
      <c r="B7307" t="inlineStr">
        <is>
          <t>1:25</t>
        </is>
      </c>
      <c r="C7307" t="inlineStr">
        <is>
          <t>that they like you a bit more than</t>
        </is>
      </c>
      <c r="D7307">
        <f>HYPERLINK("https://www.youtube.com/watch?v=5fgfnX2K0mY&amp;t=85s", "Go to time")</f>
        <v/>
      </c>
    </row>
    <row r="7308">
      <c r="A7308">
        <f>HYPERLINK("https://www.youtube.com/watch?v=jIS6ngKQbxQ", "Video")</f>
        <v/>
      </c>
      <c r="B7308" t="inlineStr">
        <is>
          <t>1:42</t>
        </is>
      </c>
      <c r="C7308" t="inlineStr">
        <is>
          <t>does your partner have a habit of</t>
        </is>
      </c>
      <c r="D7308">
        <f>HYPERLINK("https://www.youtube.com/watch?v=jIS6ngKQbxQ&amp;t=102s", "Go to time")</f>
        <v/>
      </c>
    </row>
    <row r="7309">
      <c r="A7309">
        <f>HYPERLINK("https://www.youtube.com/watch?v=KUSXhORFehI", "Video")</f>
        <v/>
      </c>
      <c r="B7309" t="inlineStr">
        <is>
          <t>4:37</t>
        </is>
      </c>
      <c r="C7309" t="inlineStr">
        <is>
          <t>own habits will make you a better friend</t>
        </is>
      </c>
      <c r="D7309">
        <f>HYPERLINK("https://www.youtube.com/watch?v=KUSXhORFehI&amp;t=277s", "Go to time")</f>
        <v/>
      </c>
    </row>
    <row r="7310">
      <c r="A7310">
        <f>HYPERLINK("https://www.youtube.com/watch?v=y4s1IxLWjTM", "Video")</f>
        <v/>
      </c>
      <c r="B7310" t="inlineStr">
        <is>
          <t>3:34</t>
        </is>
      </c>
      <c r="C7310" t="inlineStr">
        <is>
          <t>habits if all your friends are smoking</t>
        </is>
      </c>
      <c r="D7310">
        <f>HYPERLINK("https://www.youtube.com/watch?v=y4s1IxLWjTM&amp;t=214s", "Go to time")</f>
        <v/>
      </c>
    </row>
    <row r="7311">
      <c r="A7311">
        <f>HYPERLINK("https://www.youtube.com/watch?v=Q16GMp65LCE", "Video")</f>
        <v/>
      </c>
      <c r="B7311" t="inlineStr">
        <is>
          <t>0:38</t>
        </is>
      </c>
      <c r="C7311" t="inlineStr">
        <is>
          <t>We're gonna point out five habits</t>
        </is>
      </c>
      <c r="D7311">
        <f>HYPERLINK("https://www.youtube.com/watch?v=Q16GMp65LCE&amp;t=38s", "Go to time")</f>
        <v/>
      </c>
    </row>
    <row r="7312">
      <c r="A7312">
        <f>HYPERLINK("https://www.youtube.com/watch?v=Q16GMp65LCE", "Video")</f>
        <v/>
      </c>
      <c r="B7312" t="inlineStr">
        <is>
          <t>0:41</t>
        </is>
      </c>
      <c r="C7312" t="inlineStr">
        <is>
          <t>Number one, the habit of ex-parison</t>
        </is>
      </c>
      <c r="D7312">
        <f>HYPERLINK("https://www.youtube.com/watch?v=Q16GMp65LCE&amp;t=41s", "Go to time")</f>
        <v/>
      </c>
    </row>
    <row r="7313">
      <c r="A7313">
        <f>HYPERLINK("https://www.youtube.com/watch?v=Q16GMp65LCE", "Video")</f>
        <v/>
      </c>
      <c r="B7313" t="inlineStr">
        <is>
          <t>2:04</t>
        </is>
      </c>
      <c r="C7313" t="inlineStr">
        <is>
          <t>Number two, the habit of complacency.</t>
        </is>
      </c>
      <c r="D7313">
        <f>HYPERLINK("https://www.youtube.com/watch?v=Q16GMp65LCE&amp;t=124s", "Go to time")</f>
        <v/>
      </c>
    </row>
    <row r="7314">
      <c r="A7314">
        <f>HYPERLINK("https://www.youtube.com/watch?v=Q16GMp65LCE", "Video")</f>
        <v/>
      </c>
      <c r="B7314" t="inlineStr">
        <is>
          <t>2:19</t>
        </is>
      </c>
      <c r="C7314" t="inlineStr">
        <is>
          <t>This is a bit of a tipping point</t>
        </is>
      </c>
      <c r="D7314">
        <f>HYPERLINK("https://www.youtube.com/watch?v=Q16GMp65LCE&amp;t=139s", "Go to time")</f>
        <v/>
      </c>
    </row>
    <row r="7315">
      <c r="A7315">
        <f>HYPERLINK("https://www.youtube.com/watch?v=Q16GMp65LCE", "Video")</f>
        <v/>
      </c>
      <c r="B7315" t="inlineStr">
        <is>
          <t>2:41</t>
        </is>
      </c>
      <c r="C7315" t="inlineStr">
        <is>
          <t>but really it's just forming a good habit</t>
        </is>
      </c>
      <c r="D7315">
        <f>HYPERLINK("https://www.youtube.com/watch?v=Q16GMp65LCE&amp;t=161s", "Go to time")</f>
        <v/>
      </c>
    </row>
    <row r="7316">
      <c r="A7316">
        <f>HYPERLINK("https://www.youtube.com/watch?v=Q16GMp65LCE", "Video")</f>
        <v/>
      </c>
      <c r="B7316" t="inlineStr">
        <is>
          <t>2:44</t>
        </is>
      </c>
      <c r="C7316" t="inlineStr">
        <is>
          <t>The habit of being complacent
looks like sweatpants 24-7,</t>
        </is>
      </c>
      <c r="D7316">
        <f>HYPERLINK("https://www.youtube.com/watch?v=Q16GMp65LCE&amp;t=164s", "Go to time")</f>
        <v/>
      </c>
    </row>
    <row r="7317">
      <c r="A7317">
        <f>HYPERLINK("https://www.youtube.com/watch?v=Q16GMp65LCE", "Video")</f>
        <v/>
      </c>
      <c r="B7317" t="inlineStr">
        <is>
          <t>3:03</t>
        </is>
      </c>
      <c r="C7317" t="inlineStr">
        <is>
          <t>A good habit is taking
periodic relationship checks</t>
        </is>
      </c>
      <c r="D7317">
        <f>HYPERLINK("https://www.youtube.com/watch?v=Q16GMp65LCE&amp;t=183s", "Go to time")</f>
        <v/>
      </c>
    </row>
    <row r="7318">
      <c r="A7318">
        <f>HYPERLINK("https://www.youtube.com/watch?v=Q16GMp65LCE", "Video")</f>
        <v/>
      </c>
      <c r="B7318" t="inlineStr">
        <is>
          <t>3:14</t>
        </is>
      </c>
      <c r="C7318" t="inlineStr">
        <is>
          <t>Number three, the habit of ego.</t>
        </is>
      </c>
      <c r="D7318">
        <f>HYPERLINK("https://www.youtube.com/watch?v=Q16GMp65LCE&amp;t=194s", "Go to time")</f>
        <v/>
      </c>
    </row>
    <row r="7319">
      <c r="A7319">
        <f>HYPERLINK("https://www.youtube.com/watch?v=Q16GMp65LCE", "Video")</f>
        <v/>
      </c>
      <c r="B7319" t="inlineStr">
        <is>
          <t>3:59</t>
        </is>
      </c>
      <c r="C7319" t="inlineStr">
        <is>
          <t>Number four, the habit of being a jerk.</t>
        </is>
      </c>
      <c r="D7319">
        <f>HYPERLINK("https://www.youtube.com/watch?v=Q16GMp65LCE&amp;t=239s", "Go to time")</f>
        <v/>
      </c>
    </row>
    <row r="7320">
      <c r="A7320">
        <f>HYPERLINK("https://www.youtube.com/watch?v=Q16GMp65LCE", "Video")</f>
        <v/>
      </c>
      <c r="B7320" t="inlineStr">
        <is>
          <t>4:48</t>
        </is>
      </c>
      <c r="C7320" t="inlineStr">
        <is>
          <t>And number five, the habit of infidelity.</t>
        </is>
      </c>
      <c r="D7320">
        <f>HYPERLINK("https://www.youtube.com/watch?v=Q16GMp65LCE&amp;t=288s", "Go to time")</f>
        <v/>
      </c>
    </row>
    <row r="7321">
      <c r="A7321">
        <f>HYPERLINK("https://www.youtube.com/watch?v=Q16GMp65LCE", "Video")</f>
        <v/>
      </c>
      <c r="B7321" t="inlineStr">
        <is>
          <t>5:36</t>
        </is>
      </c>
      <c r="C7321" t="inlineStr">
        <is>
          <t>This habit denotes that
there is a lack of trust</t>
        </is>
      </c>
      <c r="D7321">
        <f>HYPERLINK("https://www.youtube.com/watch?v=Q16GMp65LCE&amp;t=336s", "Go to time")</f>
        <v/>
      </c>
    </row>
    <row r="7322">
      <c r="A7322">
        <f>HYPERLINK("https://www.youtube.com/watch?v=Q16GMp65LCE", "Video")</f>
        <v/>
      </c>
      <c r="B7322" t="inlineStr">
        <is>
          <t>5:42</t>
        </is>
      </c>
      <c r="C7322" t="inlineStr">
        <is>
          <t>Did you relate to any of these habits?</t>
        </is>
      </c>
      <c r="D7322">
        <f>HYPERLINK("https://www.youtube.com/watch?v=Q16GMp65LCE&amp;t=342s", "Go to time")</f>
        <v/>
      </c>
    </row>
    <row r="7323">
      <c r="A7323">
        <f>HYPERLINK("https://www.youtube.com/watch?v=FqH3FFKX6n4", "Video")</f>
        <v/>
      </c>
      <c r="B7323" t="inlineStr">
        <is>
          <t>2:07</t>
        </is>
      </c>
      <c r="C7323" t="inlineStr">
        <is>
          <t>you don't have to love every habit about</t>
        </is>
      </c>
      <c r="D7323">
        <f>HYPERLINK("https://www.youtube.com/watch?v=FqH3FFKX6n4&amp;t=127s", "Go to time")</f>
        <v/>
      </c>
    </row>
    <row r="7324">
      <c r="A7324">
        <f>HYPERLINK("https://www.youtube.com/watch?v=E2OqV2La4TU", "Video")</f>
        <v/>
      </c>
      <c r="B7324" t="inlineStr">
        <is>
          <t>11:25</t>
        </is>
      </c>
      <c r="C7324" t="inlineStr">
        <is>
          <t>habits after this one setback</t>
        </is>
      </c>
      <c r="D7324">
        <f>HYPERLINK("https://www.youtube.com/watch?v=E2OqV2La4TU&amp;t=685s", "Go to time")</f>
        <v/>
      </c>
    </row>
    <row r="7325">
      <c r="A7325">
        <f>HYPERLINK("https://www.youtube.com/watch?v=lC06zQ6MZXo", "Video")</f>
        <v/>
      </c>
      <c r="B7325" t="inlineStr">
        <is>
          <t>2:47</t>
        </is>
      </c>
      <c r="C7325" t="inlineStr">
        <is>
          <t>maybe you have a habit of taking on</t>
        </is>
      </c>
      <c r="D7325">
        <f>HYPERLINK("https://www.youtube.com/watch?v=lC06zQ6MZXo&amp;t=167s", "Go to time")</f>
        <v/>
      </c>
    </row>
    <row r="7326">
      <c r="A7326">
        <f>HYPERLINK("https://www.youtube.com/watch?v=ban7PimYyn4", "Video")</f>
        <v/>
      </c>
      <c r="B7326" t="inlineStr">
        <is>
          <t>2:03</t>
        </is>
      </c>
      <c r="C7326" t="inlineStr">
        <is>
          <t>people might find you a bit daunting to</t>
        </is>
      </c>
      <c r="D7326">
        <f>HYPERLINK("https://www.youtube.com/watch?v=ban7PimYyn4&amp;t=123s", "Go to time")</f>
        <v/>
      </c>
    </row>
    <row r="7327">
      <c r="A7327">
        <f>HYPERLINK("https://www.youtube.com/watch?v=ban7PimYyn4", "Video")</f>
        <v/>
      </c>
      <c r="B7327" t="inlineStr">
        <is>
          <t>2:54</t>
        </is>
      </c>
      <c r="C7327" t="inlineStr">
        <is>
          <t>self-conscious and a bit out of their</t>
        </is>
      </c>
      <c r="D7327">
        <f>HYPERLINK("https://www.youtube.com/watch?v=ban7PimYyn4&amp;t=174s", "Go to time")</f>
        <v/>
      </c>
    </row>
    <row r="7328">
      <c r="A7328">
        <f>HYPERLINK("https://www.youtube.com/watch?v=ban7PimYyn4", "Video")</f>
        <v/>
      </c>
      <c r="B7328" t="inlineStr">
        <is>
          <t>3:09</t>
        </is>
      </c>
      <c r="C7328" t="inlineStr">
        <is>
          <t>attitude can seem a bit harsh and aloof</t>
        </is>
      </c>
      <c r="D7328">
        <f>HYPERLINK("https://www.youtube.com/watch?v=ban7PimYyn4&amp;t=189s", "Go to time")</f>
        <v/>
      </c>
    </row>
    <row r="7329">
      <c r="A7329">
        <f>HYPERLINK("https://www.youtube.com/watch?v=ban7PimYyn4", "Video")</f>
        <v/>
      </c>
      <c r="B7329" t="inlineStr">
        <is>
          <t>3:56</t>
        </is>
      </c>
      <c r="C7329" t="inlineStr">
        <is>
          <t>ambition and drive for instance let's</t>
        </is>
      </c>
      <c r="D7329">
        <f>HYPERLINK("https://www.youtube.com/watch?v=ban7PimYyn4&amp;t=236s", "Go to time")</f>
        <v/>
      </c>
    </row>
    <row r="7330">
      <c r="A7330">
        <f>HYPERLINK("https://www.youtube.com/watch?v=STAafnlUtDc", "Video")</f>
        <v/>
      </c>
      <c r="B7330" t="inlineStr">
        <is>
          <t>4:50</t>
        </is>
      </c>
      <c r="C7330" t="inlineStr">
        <is>
          <t>and you have a bit more confidence.</t>
        </is>
      </c>
      <c r="D7330">
        <f>HYPERLINK("https://www.youtube.com/watch?v=STAafnlUtDc&amp;t=290s", "Go to time")</f>
        <v/>
      </c>
    </row>
    <row r="7331">
      <c r="A7331">
        <f>HYPERLINK("https://www.youtube.com/watch?v=h_EqPTKZykE", "Video")</f>
        <v/>
      </c>
      <c r="B7331" t="inlineStr">
        <is>
          <t>0:31</t>
        </is>
      </c>
      <c r="C7331" t="inlineStr">
        <is>
          <t>exhibit any of these six signs you are</t>
        </is>
      </c>
      <c r="D7331">
        <f>HYPERLINK("https://www.youtube.com/watch?v=h_EqPTKZykE&amp;t=31s", "Go to time")</f>
        <v/>
      </c>
    </row>
    <row r="7332">
      <c r="A7332">
        <f>HYPERLINK("https://www.youtube.com/watch?v=h_EqPTKZykE", "Video")</f>
        <v/>
      </c>
      <c r="B7332" t="inlineStr">
        <is>
          <t>3:58</t>
        </is>
      </c>
      <c r="C7332" t="inlineStr">
        <is>
          <t>compared to another's do you exhibit any</t>
        </is>
      </c>
      <c r="D7332">
        <f>HYPERLINK("https://www.youtube.com/watch?v=h_EqPTKZykE&amp;t=238s", "Go to time")</f>
        <v/>
      </c>
    </row>
    <row r="7333">
      <c r="A7333">
        <f>HYPERLINK("https://www.youtube.com/watch?v=32wa2win3tE", "Video")</f>
        <v/>
      </c>
      <c r="B7333" t="inlineStr">
        <is>
          <t>1:41</t>
        </is>
      </c>
      <c r="C7333" t="inlineStr">
        <is>
          <t>that if gossiping is a habit for them,</t>
        </is>
      </c>
      <c r="D7333">
        <f>HYPERLINK("https://www.youtube.com/watch?v=32wa2win3tE&amp;t=101s", "Go to time")</f>
        <v/>
      </c>
    </row>
    <row r="7334">
      <c r="A7334">
        <f>HYPERLINK("https://www.youtube.com/watch?v=32wa2win3tE", "Video")</f>
        <v/>
      </c>
      <c r="B7334" t="inlineStr">
        <is>
          <t>6:30</t>
        </is>
      </c>
      <c r="C7334" t="inlineStr">
        <is>
          <t>Having dreams and ambitions can be scary.</t>
        </is>
      </c>
      <c r="D7334">
        <f>HYPERLINK("https://www.youtube.com/watch?v=32wa2win3tE&amp;t=390s", "Go to time")</f>
        <v/>
      </c>
    </row>
    <row r="7335">
      <c r="A7335">
        <f>HYPERLINK("https://www.youtube.com/watch?v=32wa2win3tE", "Video")</f>
        <v/>
      </c>
      <c r="B7335" t="inlineStr">
        <is>
          <t>7:36</t>
        </is>
      </c>
      <c r="C7335" t="inlineStr">
        <is>
          <t>or exhibit odd, possibly even</t>
        </is>
      </c>
      <c r="D7335">
        <f>HYPERLINK("https://www.youtube.com/watch?v=32wa2win3tE&amp;t=456s", "Go to time")</f>
        <v/>
      </c>
    </row>
    <row r="7336">
      <c r="A7336">
        <f>HYPERLINK("https://www.youtube.com/watch?v=mPu3EXP7LO4", "Video")</f>
        <v/>
      </c>
      <c r="B7336" t="inlineStr">
        <is>
          <t>1:05</t>
        </is>
      </c>
      <c r="C7336" t="inlineStr">
        <is>
          <t>experienced tted trauma May exhibit</t>
        </is>
      </c>
      <c r="D7336">
        <f>HYPERLINK("https://www.youtube.com/watch?v=mPu3EXP7LO4&amp;t=65s", "Go to time")</f>
        <v/>
      </c>
    </row>
    <row r="7337">
      <c r="A7337">
        <f>HYPERLINK("https://www.youtube.com/watch?v=_qDkUgppb3I", "Video")</f>
        <v/>
      </c>
      <c r="B7337" t="inlineStr">
        <is>
          <t>1:47</t>
        </is>
      </c>
      <c r="C7337" t="inlineStr">
        <is>
          <t>decisions and habits but these might not</t>
        </is>
      </c>
      <c r="D7337">
        <f>HYPERLINK("https://www.youtube.com/watch?v=_qDkUgppb3I&amp;t=107s", "Go to time")</f>
        <v/>
      </c>
    </row>
    <row r="7338">
      <c r="A7338">
        <f>HYPERLINK("https://www.youtube.com/watch?v=5xie-potD08", "Video")</f>
        <v/>
      </c>
      <c r="B7338" t="inlineStr">
        <is>
          <t>3:42</t>
        </is>
      </c>
      <c r="C7338" t="inlineStr">
        <is>
          <t>that can help relieve a bit of
stress we feel from the day.</t>
        </is>
      </c>
      <c r="D7338">
        <f>HYPERLINK("https://www.youtube.com/watch?v=5xie-potD08&amp;t=222s", "Go to time")</f>
        <v/>
      </c>
    </row>
    <row r="7339">
      <c r="A7339">
        <f>HYPERLINK("https://www.youtube.com/watch?v=308bosLrtsY", "Video")</f>
        <v/>
      </c>
      <c r="B7339" t="inlineStr">
        <is>
          <t>3:31</t>
        </is>
      </c>
      <c r="C7339" t="inlineStr">
        <is>
          <t>habits leading to issues like depression</t>
        </is>
      </c>
      <c r="D7339">
        <f>HYPERLINK("https://www.youtube.com/watch?v=308bosLrtsY&amp;t=211s", "Go to time")</f>
        <v/>
      </c>
    </row>
    <row r="7340">
      <c r="A7340">
        <f>HYPERLINK("https://www.youtube.com/watch?v=308bosLrtsY", "Video")</f>
        <v/>
      </c>
      <c r="B7340" t="inlineStr">
        <is>
          <t>3:41</t>
        </is>
      </c>
      <c r="C7340" t="inlineStr">
        <is>
          <t>duration or intensity of your porn habit</t>
        </is>
      </c>
      <c r="D7340">
        <f>HYPERLINK("https://www.youtube.com/watch?v=308bosLrtsY&amp;t=221s", "Go to time")</f>
        <v/>
      </c>
    </row>
    <row r="7341">
      <c r="A7341">
        <f>HYPERLINK("https://www.youtube.com/watch?v=vC_eN771isk", "Video")</f>
        <v/>
      </c>
      <c r="B7341" t="inlineStr">
        <is>
          <t>0:01</t>
        </is>
      </c>
      <c r="C7341" t="inlineStr">
        <is>
          <t>handle on your bad habits but what if I</t>
        </is>
      </c>
      <c r="D7341">
        <f>HYPERLINK("https://www.youtube.com/watch?v=vC_eN771isk&amp;t=1s", "Go to time")</f>
        <v/>
      </c>
    </row>
    <row r="7342">
      <c r="A7342">
        <f>HYPERLINK("https://www.youtube.com/watch?v=vC_eN771isk", "Video")</f>
        <v/>
      </c>
      <c r="B7342" t="inlineStr">
        <is>
          <t>0:13</t>
        </is>
      </c>
      <c r="C7342" t="inlineStr">
        <is>
          <t>normal everyday habits silently</t>
        </is>
      </c>
      <c r="D7342">
        <f>HYPERLINK("https://www.youtube.com/watch?v=vC_eN771isk&amp;t=13s", "Go to time")</f>
        <v/>
      </c>
    </row>
    <row r="7343">
      <c r="A7343">
        <f>HYPERLINK("https://www.youtube.com/watch?v=3SQ1aXfFMXU", "Video")</f>
        <v/>
      </c>
      <c r="B7343" t="inlineStr">
        <is>
          <t>1:58</t>
        </is>
      </c>
      <c r="C7343" t="inlineStr">
        <is>
          <t>sometimes the problem may be a bit</t>
        </is>
      </c>
      <c r="D7343">
        <f>HYPERLINK("https://www.youtube.com/watch?v=3SQ1aXfFMXU&amp;t=118s", "Go to time")</f>
        <v/>
      </c>
    </row>
    <row r="7344">
      <c r="A7344">
        <f>HYPERLINK("https://www.youtube.com/watch?v=ujuSfT-sWL8", "Video")</f>
        <v/>
      </c>
      <c r="B7344" t="inlineStr">
        <is>
          <t>3:33</t>
        </is>
      </c>
      <c r="C7344" t="inlineStr">
        <is>
          <t>to know someone better,
learn their habits and ticks.</t>
        </is>
      </c>
      <c r="D7344">
        <f>HYPERLINK("https://www.youtube.com/watch?v=ujuSfT-sWL8&amp;t=213s", "Go to time")</f>
        <v/>
      </c>
    </row>
    <row r="7345">
      <c r="A7345">
        <f>HYPERLINK("https://www.youtube.com/watch?v=-LgvyFwxJKM", "Video")</f>
        <v/>
      </c>
      <c r="B7345" t="inlineStr">
        <is>
          <t>3:22</t>
        </is>
      </c>
      <c r="C7345" t="inlineStr">
        <is>
          <t>settings for example you may feel a bit</t>
        </is>
      </c>
      <c r="D7345">
        <f>HYPERLINK("https://www.youtube.com/watch?v=-LgvyFwxJKM&amp;t=202s", "Go to time")</f>
        <v/>
      </c>
    </row>
    <row r="7346">
      <c r="A7346">
        <f>HYPERLINK("https://www.youtube.com/watch?v=FcqHQYCysz8", "Video")</f>
        <v/>
      </c>
      <c r="B7346" t="inlineStr">
        <is>
          <t>1:22</t>
        </is>
      </c>
      <c r="C7346" t="inlineStr">
        <is>
          <t>simple as integrating a new habit into</t>
        </is>
      </c>
      <c r="D7346">
        <f>HYPERLINK("https://www.youtube.com/watch?v=FcqHQYCysz8&amp;t=82s", "Go to time")</f>
        <v/>
      </c>
    </row>
    <row r="7347">
      <c r="A7347">
        <f>HYPERLINK("https://www.youtube.com/watch?v=0XVJIFZjoAo", "Video")</f>
        <v/>
      </c>
      <c r="B7347" t="inlineStr">
        <is>
          <t>0:25</t>
        </is>
      </c>
      <c r="C7347" t="inlineStr">
        <is>
          <t>sound a bit strange but it's true an</t>
        </is>
      </c>
      <c r="D7347">
        <f>HYPERLINK("https://www.youtube.com/watch?v=0XVJIFZjoAo&amp;t=25s", "Go to time")</f>
        <v/>
      </c>
    </row>
    <row r="7348">
      <c r="A7348">
        <f>HYPERLINK("https://www.youtube.com/watch?v=0XVJIFZjoAo", "Video")</f>
        <v/>
      </c>
      <c r="B7348" t="inlineStr">
        <is>
          <t>2:25</t>
        </is>
      </c>
      <c r="C7348" t="inlineStr">
        <is>
          <t>gently biting this combination of</t>
        </is>
      </c>
      <c r="D7348">
        <f>HYPERLINK("https://www.youtube.com/watch?v=0XVJIFZjoAo&amp;t=145s", "Go to time")</f>
        <v/>
      </c>
    </row>
    <row r="7349">
      <c r="A7349">
        <f>HYPERLINK("https://www.youtube.com/watch?v=0XVJIFZjoAo", "Video")</f>
        <v/>
      </c>
      <c r="B7349" t="inlineStr">
        <is>
          <t>4:23</t>
        </is>
      </c>
      <c r="C7349" t="inlineStr">
        <is>
          <t>explains why you might feel a bit out of</t>
        </is>
      </c>
      <c r="D7349">
        <f>HYPERLINK("https://www.youtube.com/watch?v=0XVJIFZjoAo&amp;t=263s", "Go to time")</f>
        <v/>
      </c>
    </row>
    <row r="7350">
      <c r="A7350">
        <f>HYPERLINK("https://www.youtube.com/watch?v=0XVJIFZjoAo", "Video")</f>
        <v/>
      </c>
      <c r="B7350" t="inlineStr">
        <is>
          <t>4:25</t>
        </is>
      </c>
      <c r="C7350" t="inlineStr">
        <is>
          <t>control involuntarily scream a bit</t>
        </is>
      </c>
      <c r="D7350">
        <f>HYPERLINK("https://www.youtube.com/watch?v=0XVJIFZjoAo&amp;t=265s", "Go to time")</f>
        <v/>
      </c>
    </row>
    <row r="7351">
      <c r="A7351">
        <f>HYPERLINK("https://www.youtube.com/watch?v=0OUeBAwyx2Q", "Video")</f>
        <v/>
      </c>
      <c r="B7351" t="inlineStr">
        <is>
          <t>3:10</t>
        </is>
      </c>
      <c r="C7351" t="inlineStr">
        <is>
          <t>but maybe you're a bit clueless too do</t>
        </is>
      </c>
      <c r="D7351">
        <f>HYPERLINK("https://www.youtube.com/watch?v=0OUeBAwyx2Q&amp;t=190s", "Go to time")</f>
        <v/>
      </c>
    </row>
    <row r="7352">
      <c r="A7352">
        <f>HYPERLINK("https://www.youtube.com/watch?v=Cer3RHehcso", "Video")</f>
        <v/>
      </c>
      <c r="B7352" t="inlineStr">
        <is>
          <t>3:35</t>
        </is>
      </c>
      <c r="C7352" t="inlineStr">
        <is>
          <t>habits and while forgiveness is</t>
        </is>
      </c>
      <c r="D7352">
        <f>HYPERLINK("https://www.youtube.com/watch?v=Cer3RHehcso&amp;t=215s", "Go to time")</f>
        <v/>
      </c>
    </row>
    <row r="7353">
      <c r="A7353">
        <f>HYPERLINK("https://www.youtube.com/watch?v=QgTEZtIQDOQ", "Video")</f>
        <v/>
      </c>
      <c r="B7353" t="inlineStr">
        <is>
          <t>0:39</t>
        </is>
      </c>
      <c r="C7353" t="inlineStr">
        <is>
          <t>someone who may exhibit these traits can</t>
        </is>
      </c>
      <c r="D7353">
        <f>HYPERLINK("https://www.youtube.com/watch?v=QgTEZtIQDOQ&amp;t=39s", "Go to time")</f>
        <v/>
      </c>
    </row>
    <row r="7354">
      <c r="A7354">
        <f>HYPERLINK("https://www.youtube.com/watch?v=qBFtlAy9vvI", "Video")</f>
        <v/>
      </c>
      <c r="B7354" t="inlineStr">
        <is>
          <t>0:57</t>
        </is>
      </c>
      <c r="C7354" t="inlineStr">
        <is>
          <t>patterns eating habits and an ability to</t>
        </is>
      </c>
      <c r="D7354">
        <f>HYPERLINK("https://www.youtube.com/watch?v=qBFtlAy9vvI&amp;t=57s", "Go to time")</f>
        <v/>
      </c>
    </row>
    <row r="7355">
      <c r="A7355">
        <f>HYPERLINK("https://www.youtube.com/watch?v=zDICBpqXQCU", "Video")</f>
        <v/>
      </c>
      <c r="B7355" t="inlineStr">
        <is>
          <t>3:55</t>
        </is>
      </c>
      <c r="C7355" t="inlineStr">
        <is>
          <t>how would you habitually react when</t>
        </is>
      </c>
      <c r="D7355">
        <f>HYPERLINK("https://www.youtube.com/watch?v=zDICBpqXQCU&amp;t=235s", "Go to time")</f>
        <v/>
      </c>
    </row>
    <row r="7356">
      <c r="A7356">
        <f>HYPERLINK("https://www.youtube.com/watch?v=RuFj2_tBnO0", "Video")</f>
        <v/>
      </c>
      <c r="B7356" t="inlineStr">
        <is>
          <t>1:03</t>
        </is>
      </c>
      <c r="C7356" t="inlineStr">
        <is>
          <t>bite their lips and because the body</t>
        </is>
      </c>
      <c r="D7356">
        <f>HYPERLINK("https://www.youtube.com/watch?v=RuFj2_tBnO0&amp;t=63s", "Go to time")</f>
        <v/>
      </c>
    </row>
    <row r="7357">
      <c r="A7357">
        <f>HYPERLINK("https://www.youtube.com/watch?v=RuFj2_tBnO0", "Video")</f>
        <v/>
      </c>
      <c r="B7357" t="inlineStr">
        <is>
          <t>1:37</t>
        </is>
      </c>
      <c r="C7357" t="inlineStr">
        <is>
          <t>lingers just a bit longer than usual</t>
        </is>
      </c>
      <c r="D7357">
        <f>HYPERLINK("https://www.youtube.com/watch?v=RuFj2_tBnO0&amp;t=97s", "Go to time")</f>
        <v/>
      </c>
    </row>
    <row r="7358">
      <c r="A7358">
        <f>HYPERLINK("https://www.youtube.com/watch?v=Q7YuwwL_VHs", "Video")</f>
        <v/>
      </c>
      <c r="B7358" t="inlineStr">
        <is>
          <t>1:30</t>
        </is>
      </c>
      <c r="C7358" t="inlineStr">
        <is>
          <t>tripping this tactic is a bit like</t>
        </is>
      </c>
      <c r="D7358">
        <f>HYPERLINK("https://www.youtube.com/watch?v=Q7YuwwL_VHs&amp;t=90s", "Go to time")</f>
        <v/>
      </c>
    </row>
    <row r="7359">
      <c r="A7359">
        <f>HYPERLINK("https://www.youtube.com/watch?v=Iz_uA9Mo0y8", "Video")</f>
        <v/>
      </c>
      <c r="B7359" t="inlineStr">
        <is>
          <t>1:09</t>
        </is>
      </c>
      <c r="C7359" t="inlineStr">
        <is>
          <t>your habit hearing someone talk about</t>
        </is>
      </c>
      <c r="D7359">
        <f>HYPERLINK("https://www.youtube.com/watch?v=Iz_uA9Mo0y8&amp;t=69s", "Go to time")</f>
        <v/>
      </c>
    </row>
    <row r="7360">
      <c r="A7360">
        <f>HYPERLINK("https://www.youtube.com/watch?v=Iz_uA9Mo0y8", "Video")</f>
        <v/>
      </c>
      <c r="B7360" t="inlineStr">
        <is>
          <t>1:52</t>
        </is>
      </c>
      <c r="C7360" t="inlineStr">
        <is>
          <t>habits but as with any addiction relapse</t>
        </is>
      </c>
      <c r="D7360">
        <f>HYPERLINK("https://www.youtube.com/watch?v=Iz_uA9Mo0y8&amp;t=112s", "Go to time")</f>
        <v/>
      </c>
    </row>
    <row r="7361">
      <c r="A7361">
        <f>HYPERLINK("https://www.youtube.com/watch?v=_SIj6fUnG2Y", "Video")</f>
        <v/>
      </c>
      <c r="B7361" t="inlineStr">
        <is>
          <t>7:19</t>
        </is>
      </c>
      <c r="C7361" t="inlineStr">
        <is>
          <t>rabbit holes communities like the incel</t>
        </is>
      </c>
      <c r="D7361">
        <f>HYPERLINK("https://www.youtube.com/watch?v=_SIj6fUnG2Y&amp;t=439s", "Go to time")</f>
        <v/>
      </c>
    </row>
    <row r="7362">
      <c r="A7362">
        <f>HYPERLINK("https://www.youtube.com/watch?v=_SIj6fUnG2Y", "Video")</f>
        <v/>
      </c>
      <c r="B7362" t="inlineStr">
        <is>
          <t>9:50</t>
        </is>
      </c>
      <c r="C7362" t="inlineStr">
        <is>
          <t>asking someone out seems like a bit too</t>
        </is>
      </c>
      <c r="D7362">
        <f>HYPERLINK("https://www.youtube.com/watch?v=_SIj6fUnG2Y&amp;t=590s", "Go to time")</f>
        <v/>
      </c>
    </row>
    <row r="7363">
      <c r="A7363">
        <f>HYPERLINK("https://www.youtube.com/watch?v=eyvkipK1vSA", "Video")</f>
        <v/>
      </c>
      <c r="B7363" t="inlineStr">
        <is>
          <t>1:18</t>
        </is>
      </c>
      <c r="C7363" t="inlineStr">
        <is>
          <t>is understandable, but
fatigue is a bit different.</t>
        </is>
      </c>
      <c r="D7363">
        <f>HYPERLINK("https://www.youtube.com/watch?v=eyvkipK1vSA&amp;t=78s", "Go to time")</f>
        <v/>
      </c>
    </row>
    <row r="7364">
      <c r="A7364">
        <f>HYPERLINK("https://www.youtube.com/watch?v=eyvkipK1vSA", "Video")</f>
        <v/>
      </c>
      <c r="B7364" t="inlineStr">
        <is>
          <t>1:48</t>
        </is>
      </c>
      <c r="C7364" t="inlineStr">
        <is>
          <t>Chronic stress affects your
sleep and eating habits</t>
        </is>
      </c>
      <c r="D7364">
        <f>HYPERLINK("https://www.youtube.com/watch?v=eyvkipK1vSA&amp;t=108s", "Go to time")</f>
        <v/>
      </c>
    </row>
    <row r="7365">
      <c r="A7365">
        <f>HYPERLINK("https://www.youtube.com/watch?v=eyvkipK1vSA", "Video")</f>
        <v/>
      </c>
      <c r="B7365" t="inlineStr">
        <is>
          <t>3:26</t>
        </is>
      </c>
      <c r="C7365" t="inlineStr">
        <is>
          <t>but can also be caused by
a change in eating habits.</t>
        </is>
      </c>
      <c r="D7365">
        <f>HYPERLINK("https://www.youtube.com/watch?v=eyvkipK1vSA&amp;t=206s", "Go to time")</f>
        <v/>
      </c>
    </row>
    <row r="7366">
      <c r="A7366">
        <f>HYPERLINK("https://www.youtube.com/watch?v=eyvkipK1vSA", "Video")</f>
        <v/>
      </c>
      <c r="B7366" t="inlineStr">
        <is>
          <t>7:11</t>
        </is>
      </c>
      <c r="C7366" t="inlineStr">
        <is>
          <t>Find ways to make your
life just a bit easier.</t>
        </is>
      </c>
      <c r="D7366">
        <f>HYPERLINK("https://www.youtube.com/watch?v=eyvkipK1vSA&amp;t=431s", "Go to time")</f>
        <v/>
      </c>
    </row>
    <row r="7367">
      <c r="A7367">
        <f>HYPERLINK("https://www.youtube.com/watch?v=n7MuE03dP-E", "Video")</f>
        <v/>
      </c>
      <c r="B7367" t="inlineStr">
        <is>
          <t>2:19</t>
        </is>
      </c>
      <c r="C7367" t="inlineStr">
        <is>
          <t>and ambition can lead to
impressive achievements,</t>
        </is>
      </c>
      <c r="D7367">
        <f>HYPERLINK("https://www.youtube.com/watch?v=n7MuE03dP-E&amp;t=139s", "Go to time")</f>
        <v/>
      </c>
    </row>
    <row r="7368">
      <c r="A7368">
        <f>HYPERLINK("https://www.youtube.com/watch?v=j9Bpg1cCmU4", "Video")</f>
        <v/>
      </c>
      <c r="B7368" t="inlineStr">
        <is>
          <t>5:53</t>
        </is>
      </c>
      <c r="C7368" t="inlineStr">
        <is>
          <t>this weight at the bit of my stomach and</t>
        </is>
      </c>
      <c r="D7368">
        <f>HYPERLINK("https://www.youtube.com/watch?v=j9Bpg1cCmU4&amp;t=353s", "Go to time")</f>
        <v/>
      </c>
    </row>
    <row r="7369">
      <c r="A7369">
        <f>HYPERLINK("https://www.youtube.com/watch?v=_1vnNiU-njk", "Video")</f>
        <v/>
      </c>
      <c r="B7369" t="inlineStr">
        <is>
          <t>3:54</t>
        </is>
      </c>
      <c r="C7369" t="inlineStr">
        <is>
          <t>habits into your daily life such as</t>
        </is>
      </c>
      <c r="D7369">
        <f>HYPERLINK("https://www.youtube.com/watch?v=_1vnNiU-njk&amp;t=234s", "Go to time")</f>
        <v/>
      </c>
    </row>
    <row r="7370">
      <c r="A7370">
        <f>HYPERLINK("https://www.youtube.com/watch?v=_1vnNiU-njk", "Video")</f>
        <v/>
      </c>
      <c r="B7370" t="inlineStr">
        <is>
          <t>4:41</t>
        </is>
      </c>
      <c r="C7370" t="inlineStr">
        <is>
          <t>numb their pain does this sound a bit</t>
        </is>
      </c>
      <c r="D7370">
        <f>HYPERLINK("https://www.youtube.com/watch?v=_1vnNiU-njk&amp;t=281s", "Go to time")</f>
        <v/>
      </c>
    </row>
    <row r="7371">
      <c r="A7371">
        <f>HYPERLINK("https://www.youtube.com/watch?v=nSzZfHqNuRs", "Video")</f>
        <v/>
      </c>
      <c r="B7371" t="inlineStr">
        <is>
          <t>5:49</t>
        </is>
      </c>
      <c r="C7371" t="inlineStr">
        <is>
          <t>little bit more attracted to yourself in</t>
        </is>
      </c>
      <c r="D7371">
        <f>HYPERLINK("https://www.youtube.com/watch?v=nSzZfHqNuRs&amp;t=349s", "Go to time")</f>
        <v/>
      </c>
    </row>
    <row r="7372">
      <c r="A7372">
        <f>HYPERLINK("https://www.youtube.com/watch?v=gFwvzS0H-8Q", "Video")</f>
        <v/>
      </c>
      <c r="B7372" t="inlineStr">
        <is>
          <t>1:47</t>
        </is>
      </c>
      <c r="C7372" t="inlineStr">
        <is>
          <t>excessive Drive ambition</t>
        </is>
      </c>
      <c r="D7372">
        <f>HYPERLINK("https://www.youtube.com/watch?v=gFwvzS0H-8Q&amp;t=107s", "Go to time")</f>
        <v/>
      </c>
    </row>
    <row r="7373">
      <c r="A7373">
        <f>HYPERLINK("https://www.youtube.com/watch?v=gFwvzS0H-8Q", "Video")</f>
        <v/>
      </c>
      <c r="B7373" t="inlineStr">
        <is>
          <t>2:16</t>
        </is>
      </c>
      <c r="C7373" t="inlineStr">
        <is>
          <t>ambition you can then find yourself</t>
        </is>
      </c>
      <c r="D7373">
        <f>HYPERLINK("https://www.youtube.com/watch?v=gFwvzS0H-8Q&amp;t=136s", "Go to time")</f>
        <v/>
      </c>
    </row>
    <row r="7374">
      <c r="A7374">
        <f>HYPERLINK("https://www.youtube.com/watch?v=AppeOVZwAjU", "Video")</f>
        <v/>
      </c>
      <c r="B7374" t="inlineStr">
        <is>
          <t>3:59</t>
        </is>
      </c>
      <c r="C7374" t="inlineStr">
        <is>
          <t>with license counselor Tabitha Westbrook</t>
        </is>
      </c>
      <c r="D7374">
        <f>HYPERLINK("https://www.youtube.com/watch?v=AppeOVZwAjU&amp;t=239s", "Go to time")</f>
        <v/>
      </c>
    </row>
    <row r="7375">
      <c r="A7375">
        <f>HYPERLINK("https://www.youtube.com/watch?v=kF5R_a_e1Hc", "Video")</f>
        <v/>
      </c>
      <c r="B7375" t="inlineStr">
        <is>
          <t>5:10</t>
        </is>
      </c>
      <c r="C7375" t="inlineStr">
        <is>
          <t>why let your less than Stellar habits</t>
        </is>
      </c>
      <c r="D7375">
        <f>HYPERLINK("https://www.youtube.com/watch?v=kF5R_a_e1Hc&amp;t=310s", "Go to time")</f>
        <v/>
      </c>
    </row>
    <row r="7376">
      <c r="A7376">
        <f>HYPERLINK("https://www.youtube.com/watch?v=rPvZmuDSgZg", "Video")</f>
        <v/>
      </c>
      <c r="B7376" t="inlineStr">
        <is>
          <t>4:51</t>
        </is>
      </c>
      <c r="C7376" t="inlineStr">
        <is>
          <t>you know other people who exhibit these</t>
        </is>
      </c>
      <c r="D7376">
        <f>HYPERLINK("https://www.youtube.com/watch?v=rPvZmuDSgZg&amp;t=291s", "Go to time")</f>
        <v/>
      </c>
    </row>
    <row r="7377">
      <c r="A7377">
        <f>HYPERLINK("https://www.youtube.com/watch?v=WlZn8vKDFHk", "Video")</f>
        <v/>
      </c>
      <c r="B7377" t="inlineStr">
        <is>
          <t>0:09</t>
        </is>
      </c>
      <c r="C7377" t="inlineStr">
        <is>
          <t>even just a little bit tipsy how exactly</t>
        </is>
      </c>
      <c r="D7377">
        <f>HYPERLINK("https://www.youtube.com/watch?v=WlZn8vKDFHk&amp;t=9s", "Go to time")</f>
        <v/>
      </c>
    </row>
    <row r="7378">
      <c r="A7378">
        <f>HYPERLINK("https://www.youtube.com/watch?v=WlZn8vKDFHk", "Video")</f>
        <v/>
      </c>
      <c r="B7378" t="inlineStr">
        <is>
          <t>0:33</t>
        </is>
      </c>
      <c r="C7378" t="inlineStr">
        <is>
          <t>affects your brain it reduces inhibitory</t>
        </is>
      </c>
      <c r="D7378">
        <f>HYPERLINK("https://www.youtube.com/watch?v=WlZn8vKDFHk&amp;t=33s", "Go to time")</f>
        <v/>
      </c>
    </row>
    <row r="7379">
      <c r="A7379">
        <f>HYPERLINK("https://www.youtube.com/watch?v=WlZn8vKDFHk", "Video")</f>
        <v/>
      </c>
      <c r="B7379" t="inlineStr">
        <is>
          <t>0:47</t>
        </is>
      </c>
      <c r="C7379" t="inlineStr">
        <is>
          <t>Gaba for short is an inhibitory</t>
        </is>
      </c>
      <c r="D7379">
        <f>HYPERLINK("https://www.youtube.com/watch?v=WlZn8vKDFHk&amp;t=47s", "Go to time")</f>
        <v/>
      </c>
    </row>
    <row r="7380">
      <c r="A7380">
        <f>HYPERLINK("https://www.youtube.com/watch?v=WlZn8vKDFHk", "Video")</f>
        <v/>
      </c>
      <c r="B7380" t="inlineStr">
        <is>
          <t>1:38</t>
        </is>
      </c>
      <c r="C7380" t="inlineStr">
        <is>
          <t>inhibitory chemicals in the brain the</t>
        </is>
      </c>
      <c r="D7380">
        <f>HYPERLINK("https://www.youtube.com/watch?v=WlZn8vKDFHk&amp;t=98s", "Go to time")</f>
        <v/>
      </c>
    </row>
    <row r="7381">
      <c r="A7381">
        <f>HYPERLINK("https://www.youtube.com/watch?v=5_db_0AmlNo", "Video")</f>
        <v/>
      </c>
      <c r="B7381" t="inlineStr">
        <is>
          <t>0:09</t>
        </is>
      </c>
      <c r="C7381" t="inlineStr">
        <is>
          <t>bit different but an important one</t>
        </is>
      </c>
      <c r="D7381">
        <f>HYPERLINK("https://www.youtube.com/watch?v=5_db_0AmlNo&amp;t=9s", "Go to time")</f>
        <v/>
      </c>
    </row>
    <row r="7382">
      <c r="A7382">
        <f>HYPERLINK("https://www.youtube.com/watch?v=FkFqr0wdxAI", "Video")</f>
        <v/>
      </c>
      <c r="B7382" t="inlineStr">
        <is>
          <t>2:33</t>
        </is>
      </c>
      <c r="C7382" t="inlineStr">
        <is>
          <t>It just means you might be a bit smarter,</t>
        </is>
      </c>
      <c r="D7382">
        <f>HYPERLINK("https://www.youtube.com/watch?v=FkFqr0wdxAI&amp;t=153s", "Go to time")</f>
        <v/>
      </c>
    </row>
    <row r="7383">
      <c r="A7383">
        <f>HYPERLINK("https://www.youtube.com/watch?v=gh04szUW4Bs", "Video")</f>
        <v/>
      </c>
      <c r="B7383" t="inlineStr">
        <is>
          <t>0:07</t>
        </is>
      </c>
      <c r="C7383" t="inlineStr">
        <is>
          <t>It's also about the habits you cultivate</t>
        </is>
      </c>
      <c r="D7383">
        <f>HYPERLINK("https://www.youtube.com/watch?v=gh04szUW4Bs&amp;t=7s", "Go to time")</f>
        <v/>
      </c>
    </row>
    <row r="7384">
      <c r="A7384">
        <f>HYPERLINK("https://www.youtube.com/watch?v=gh04szUW4Bs", "Video")</f>
        <v/>
      </c>
      <c r="B7384" t="inlineStr">
        <is>
          <t>0:17</t>
        </is>
      </c>
      <c r="C7384" t="inlineStr">
        <is>
          <t>yet powerful habits</t>
        </is>
      </c>
      <c r="D7384">
        <f>HYPERLINK("https://www.youtube.com/watch?v=gh04szUW4Bs&amp;t=17s", "Go to time")</f>
        <v/>
      </c>
    </row>
    <row r="7385">
      <c r="A7385">
        <f>HYPERLINK("https://www.youtube.com/watch?v=gh04szUW4Bs", "Video")</f>
        <v/>
      </c>
      <c r="B7385" t="inlineStr">
        <is>
          <t>0:27</t>
        </is>
      </c>
      <c r="C7385" t="inlineStr">
        <is>
          <t>these habits are guaranteed
to transform your life.</t>
        </is>
      </c>
      <c r="D7385">
        <f>HYPERLINK("https://www.youtube.com/watch?v=gh04szUW4Bs&amp;t=27s", "Go to time")</f>
        <v/>
      </c>
    </row>
    <row r="7386">
      <c r="A7386">
        <f>HYPERLINK("https://www.youtube.com/watch?v=gh04szUW4Bs", "Video")</f>
        <v/>
      </c>
      <c r="B7386" t="inlineStr">
        <is>
          <t>5:05</t>
        </is>
      </c>
      <c r="C7386" t="inlineStr">
        <is>
          <t>or habits that can make
you seem more attractive?</t>
        </is>
      </c>
      <c r="D7386">
        <f>HYPERLINK("https://www.youtube.com/watch?v=gh04szUW4Bs&amp;t=305s", "Go to time")</f>
        <v/>
      </c>
    </row>
    <row r="7387">
      <c r="A7387">
        <f>HYPERLINK("https://www.youtube.com/watch?v=2kDPKRdNycM", "Video")</f>
        <v/>
      </c>
      <c r="B7387" t="inlineStr">
        <is>
          <t>2:06</t>
        </is>
      </c>
      <c r="C7387" t="inlineStr">
        <is>
          <t>If you or your partner fall into habits</t>
        </is>
      </c>
      <c r="D7387">
        <f>HYPERLINK("https://www.youtube.com/watch?v=2kDPKRdNycM&amp;t=126s", "Go to time")</f>
        <v/>
      </c>
    </row>
    <row r="7388">
      <c r="A7388">
        <f>HYPERLINK("https://www.youtube.com/watch?v=lIor2GRveXI", "Video")</f>
        <v/>
      </c>
      <c r="B7388" t="inlineStr">
        <is>
          <t>6:54</t>
        </is>
      </c>
      <c r="C7388" t="inlineStr">
        <is>
          <t>alone if you or your loved one exhibits</t>
        </is>
      </c>
      <c r="D7388">
        <f>HYPERLINK("https://www.youtube.com/watch?v=lIor2GRveXI&amp;t=414s", "Go to time")</f>
        <v/>
      </c>
    </row>
    <row r="7389">
      <c r="A7389">
        <f>HYPERLINK("https://www.youtube.com/watch?v=iL7EkUJ92UA", "Video")</f>
        <v/>
      </c>
      <c r="B7389" t="inlineStr">
        <is>
          <t>4:17</t>
        </is>
      </c>
      <c r="C7389" t="inlineStr">
        <is>
          <t>a bit adventurous it really draws people</t>
        </is>
      </c>
      <c r="D7389">
        <f>HYPERLINK("https://www.youtube.com/watch?v=iL7EkUJ92UA&amp;t=257s", "Go to time")</f>
        <v/>
      </c>
    </row>
    <row r="7390">
      <c r="A7390">
        <f>HYPERLINK("https://www.youtube.com/watch?v=vPlE4w-_5Qw", "Video")</f>
        <v/>
      </c>
      <c r="B7390" t="inlineStr">
        <is>
          <t>5:41</t>
        </is>
      </c>
      <c r="C7390" t="inlineStr">
        <is>
          <t>it can be the beginning
of a very unhealthy habit.</t>
        </is>
      </c>
      <c r="D7390">
        <f>HYPERLINK("https://www.youtube.com/watch?v=vPlE4w-_5Qw&amp;t=341s", "Go to time")</f>
        <v/>
      </c>
    </row>
    <row r="7391">
      <c r="A7391">
        <f>HYPERLINK("https://www.youtube.com/watch?v=1Xps2hiNsqw", "Video")</f>
        <v/>
      </c>
      <c r="B7391" t="inlineStr">
        <is>
          <t>5:06</t>
        </is>
      </c>
      <c r="C7391" t="inlineStr">
        <is>
          <t>type you can let go of Habitual patterns</t>
        </is>
      </c>
      <c r="D7391">
        <f>HYPERLINK("https://www.youtube.com/watch?v=1Xps2hiNsqw&amp;t=306s", "Go to time")</f>
        <v/>
      </c>
    </row>
    <row r="7392">
      <c r="A7392">
        <f>HYPERLINK("https://www.youtube.com/watch?v=TRHdyruiPoo", "Video")</f>
        <v/>
      </c>
      <c r="B7392" t="inlineStr">
        <is>
          <t>5:22</t>
        </is>
      </c>
      <c r="C7392" t="inlineStr">
        <is>
          <t>exhibition you start doubting your</t>
        </is>
      </c>
      <c r="D7392">
        <f>HYPERLINK("https://www.youtube.com/watch?v=TRHdyruiPoo&amp;t=322s", "Go to time")</f>
        <v/>
      </c>
    </row>
    <row r="7393">
      <c r="A7393">
        <f>HYPERLINK("https://www.youtube.com/watch?v=rso8dzmdkXg", "Video")</f>
        <v/>
      </c>
      <c r="B7393" t="inlineStr">
        <is>
          <t>0:07</t>
        </is>
      </c>
      <c r="C7393" t="inlineStr">
        <is>
          <t>in your way okay hold up that's a bit</t>
        </is>
      </c>
      <c r="D7393">
        <f>HYPERLINK("https://www.youtube.com/watch?v=rso8dzmdkXg&amp;t=7s", "Go to time")</f>
        <v/>
      </c>
    </row>
    <row r="7394">
      <c r="A7394">
        <f>HYPERLINK("https://www.youtube.com/watch?v=rso8dzmdkXg", "Video")</f>
        <v/>
      </c>
      <c r="B7394" t="inlineStr">
        <is>
          <t>2:41</t>
        </is>
      </c>
      <c r="C7394" t="inlineStr">
        <is>
          <t>and not being available for a bit is not</t>
        </is>
      </c>
      <c r="D7394">
        <f>HYPERLINK("https://www.youtube.com/watch?v=rso8dzmdkXg&amp;t=161s", "Go to time")</f>
        <v/>
      </c>
    </row>
    <row r="7395">
      <c r="A7395">
        <f>HYPERLINK("https://www.youtube.com/watch?v=rso8dzmdkXg", "Video")</f>
        <v/>
      </c>
      <c r="B7395" t="inlineStr">
        <is>
          <t>2:50</t>
        </is>
      </c>
      <c r="C7395" t="inlineStr">
        <is>
          <t>for a bit instead of apologizing say i'</t>
        </is>
      </c>
      <c r="D7395">
        <f>HYPERLINK("https://www.youtube.com/watch?v=rso8dzmdkXg&amp;t=170s", "Go to time")</f>
        <v/>
      </c>
    </row>
    <row r="7396">
      <c r="A7396">
        <f>HYPERLINK("https://www.youtube.com/watch?v=TEIab_K35ao", "Video")</f>
        <v/>
      </c>
      <c r="B7396" t="inlineStr">
        <is>
          <t>2:27</t>
        </is>
      </c>
      <c r="C7396" t="inlineStr">
        <is>
          <t>others bad habits</t>
        </is>
      </c>
      <c r="D7396">
        <f>HYPERLINK("https://www.youtube.com/watch?v=TEIab_K35ao&amp;t=147s", "Go to time")</f>
        <v/>
      </c>
    </row>
    <row r="7397">
      <c r="A7397">
        <f>HYPERLINK("https://www.youtube.com/watch?v=TEIab_K35ao", "Video")</f>
        <v/>
      </c>
      <c r="B7397" t="inlineStr">
        <is>
          <t>2:30</t>
        </is>
      </c>
      <c r="C7397" t="inlineStr">
        <is>
          <t>when your loved one has bad habits do</t>
        </is>
      </c>
      <c r="D7397">
        <f>HYPERLINK("https://www.youtube.com/watch?v=TEIab_K35ao&amp;t=150s", "Go to time")</f>
        <v/>
      </c>
    </row>
    <row r="7398">
      <c r="A7398">
        <f>HYPERLINK("https://www.youtube.com/watch?v=TEIab_K35ao", "Video")</f>
        <v/>
      </c>
      <c r="B7398" t="inlineStr">
        <is>
          <t>2:42</t>
        </is>
      </c>
      <c r="C7398" t="inlineStr">
        <is>
          <t>habits licensed professional counselor</t>
        </is>
      </c>
      <c r="D7398">
        <f>HYPERLINK("https://www.youtube.com/watch?v=TEIab_K35ao&amp;t=162s", "Go to time")</f>
        <v/>
      </c>
    </row>
    <row r="7399">
      <c r="A7399">
        <f>HYPERLINK("https://www.youtube.com/watch?v=TEIab_K35ao", "Video")</f>
        <v/>
      </c>
      <c r="B7399" t="inlineStr">
        <is>
          <t>2:48</t>
        </is>
      </c>
      <c r="C7399" t="inlineStr">
        <is>
          <t>your loved ones to drop their bad habits</t>
        </is>
      </c>
      <c r="D7399">
        <f>HYPERLINK("https://www.youtube.com/watch?v=TEIab_K35ao&amp;t=168s", "Go to time")</f>
        <v/>
      </c>
    </row>
    <row r="7400">
      <c r="A7400">
        <f>HYPERLINK("https://www.youtube.com/watch?v=TEIab_K35ao", "Video")</f>
        <v/>
      </c>
      <c r="B7400" t="inlineStr">
        <is>
          <t>4:17</t>
        </is>
      </c>
      <c r="C7400" t="inlineStr">
        <is>
          <t>every last bit of it if you chose the</t>
        </is>
      </c>
      <c r="D7400">
        <f>HYPERLINK("https://www.youtube.com/watch?v=TEIab_K35ao&amp;t=257s", "Go to time")</f>
        <v/>
      </c>
    </row>
    <row r="7401">
      <c r="A7401">
        <f>HYPERLINK("https://www.youtube.com/watch?v=TEIab_K35ao", "Video")</f>
        <v/>
      </c>
      <c r="B7401" t="inlineStr">
        <is>
          <t>5:44</t>
        </is>
      </c>
      <c r="C7401" t="inlineStr">
        <is>
          <t>their unfulfilled Ambitions onto their</t>
        </is>
      </c>
      <c r="D7401">
        <f>HYPERLINK("https://www.youtube.com/watch?v=TEIab_K35ao&amp;t=344s", "Go to time")</f>
        <v/>
      </c>
    </row>
    <row r="7402">
      <c r="A7402">
        <f>HYPERLINK("https://www.youtube.com/watch?v=RpcjziNlC7A", "Video")</f>
        <v/>
      </c>
      <c r="B7402" t="inlineStr">
        <is>
          <t>4:45</t>
        </is>
      </c>
      <c r="C7402" t="inlineStr">
        <is>
          <t>habits but they understand that's how</t>
        </is>
      </c>
      <c r="D7402">
        <f>HYPERLINK("https://www.youtube.com/watch?v=RpcjziNlC7A&amp;t=285s", "Go to time")</f>
        <v/>
      </c>
    </row>
    <row r="7403">
      <c r="A7403">
        <f>HYPERLINK("https://www.youtube.com/watch?v=_S54LPHlEKM", "Video")</f>
        <v/>
      </c>
      <c r="B7403" t="inlineStr">
        <is>
          <t>1:11</t>
        </is>
      </c>
      <c r="C7403" t="inlineStr">
        <is>
          <t>generosity beware of those who exhibit</t>
        </is>
      </c>
      <c r="D7403">
        <f>HYPERLINK("https://www.youtube.com/watch?v=_S54LPHlEKM&amp;t=71s", "Go to time")</f>
        <v/>
      </c>
    </row>
    <row r="7404">
      <c r="A7404">
        <f>HYPERLINK("https://www.youtube.com/watch?v=_S54LPHlEKM", "Video")</f>
        <v/>
      </c>
      <c r="B7404" t="inlineStr">
        <is>
          <t>3:15</t>
        </is>
      </c>
      <c r="C7404" t="inlineStr">
        <is>
          <t>exhibit a noticeable inconsistency most</t>
        </is>
      </c>
      <c r="D7404">
        <f>HYPERLINK("https://www.youtube.com/watch?v=_S54LPHlEKM&amp;t=195s", "Go to time")</f>
        <v/>
      </c>
    </row>
    <row r="7405">
      <c r="A7405">
        <f>HYPERLINK("https://www.youtube.com/watch?v=yCBG2RiX1cA", "Video")</f>
        <v/>
      </c>
      <c r="B7405" t="inlineStr">
        <is>
          <t>3:29</t>
        </is>
      </c>
      <c r="C7405" t="inlineStr">
        <is>
          <t>might just make you a bit more liked</t>
        </is>
      </c>
      <c r="D7405">
        <f>HYPERLINK("https://www.youtube.com/watch?v=yCBG2RiX1cA&amp;t=209s", "Go to time")</f>
        <v/>
      </c>
    </row>
    <row r="7406">
      <c r="A7406">
        <f>HYPERLINK("https://www.youtube.com/watch?v=yCBG2RiX1cA", "Video")</f>
        <v/>
      </c>
      <c r="B7406" t="inlineStr">
        <is>
          <t>4:41</t>
        </is>
      </c>
      <c r="C7406" t="inlineStr">
        <is>
          <t>stress you ever show stress by biting</t>
        </is>
      </c>
      <c r="D7406">
        <f>HYPERLINK("https://www.youtube.com/watch?v=yCBG2RiX1cA&amp;t=281s", "Go to time")</f>
        <v/>
      </c>
    </row>
    <row r="7407">
      <c r="A7407">
        <f>HYPERLINK("https://www.youtube.com/watch?v=NuFZFL6V2Js", "Video")</f>
        <v/>
      </c>
      <c r="B7407" t="inlineStr">
        <is>
          <t>0:00</t>
        </is>
      </c>
      <c r="C7407" t="inlineStr">
        <is>
          <t>- Have you ever felt like
your life is a bit messed up?</t>
        </is>
      </c>
      <c r="D7407">
        <f>HYPERLINK("https://www.youtube.com/watch?v=NuFZFL6V2Js&amp;t=0s", "Go to time")</f>
        <v/>
      </c>
    </row>
    <row r="7408">
      <c r="A7408">
        <f>HYPERLINK("https://www.youtube.com/watch?v=NuFZFL6V2Js", "Video")</f>
        <v/>
      </c>
      <c r="B7408" t="inlineStr">
        <is>
          <t>0:46</t>
        </is>
      </c>
      <c r="C7408" t="inlineStr">
        <is>
          <t>Sometimes life can be a
bit like a roller coaster</t>
        </is>
      </c>
      <c r="D7408">
        <f>HYPERLINK("https://www.youtube.com/watch?v=NuFZFL6V2Js&amp;t=46s", "Go to time")</f>
        <v/>
      </c>
    </row>
    <row r="7409">
      <c r="A7409">
        <f>HYPERLINK("https://www.youtube.com/watch?v=NuFZFL6V2Js", "Video")</f>
        <v/>
      </c>
      <c r="B7409" t="inlineStr">
        <is>
          <t>1:38</t>
        </is>
      </c>
      <c r="C7409" t="inlineStr">
        <is>
          <t>Do you have a bad habit
that you need to break?</t>
        </is>
      </c>
      <c r="D7409">
        <f>HYPERLINK("https://www.youtube.com/watch?v=NuFZFL6V2Js&amp;t=98s", "Go to time")</f>
        <v/>
      </c>
    </row>
    <row r="7410">
      <c r="A7410">
        <f>HYPERLINK("https://www.youtube.com/watch?v=NuFZFL6V2Js", "Video")</f>
        <v/>
      </c>
      <c r="B7410" t="inlineStr">
        <is>
          <t>2:52</t>
        </is>
      </c>
      <c r="C7410" t="inlineStr">
        <is>
          <t>Step four, break your bad habits.</t>
        </is>
      </c>
      <c r="D7410">
        <f>HYPERLINK("https://www.youtube.com/watch?v=NuFZFL6V2Js&amp;t=172s", "Go to time")</f>
        <v/>
      </c>
    </row>
    <row r="7411">
      <c r="A7411">
        <f>HYPERLINK("https://www.youtube.com/watch?v=NuFZFL6V2Js", "Video")</f>
        <v/>
      </c>
      <c r="B7411" t="inlineStr">
        <is>
          <t>3:00</t>
        </is>
      </c>
      <c r="C7411" t="inlineStr">
        <is>
          <t>We all have those bad habits.
We just can't seem to break.</t>
        </is>
      </c>
      <c r="D7411">
        <f>HYPERLINK("https://www.youtube.com/watch?v=NuFZFL6V2Js&amp;t=180s", "Go to time")</f>
        <v/>
      </c>
    </row>
    <row r="7412">
      <c r="A7412">
        <f>HYPERLINK("https://www.youtube.com/watch?v=NuFZFL6V2Js", "Video")</f>
        <v/>
      </c>
      <c r="B7412" t="inlineStr">
        <is>
          <t>3:17</t>
        </is>
      </c>
      <c r="C7412" t="inlineStr">
        <is>
          <t>quitting them because certain
habits are ways for us</t>
        </is>
      </c>
      <c r="D7412">
        <f>HYPERLINK("https://www.youtube.com/watch?v=NuFZFL6V2Js&amp;t=197s", "Go to time")</f>
        <v/>
      </c>
    </row>
    <row r="7413">
      <c r="A7413">
        <f>HYPERLINK("https://www.youtube.com/watch?v=NuFZFL6V2Js", "Video")</f>
        <v/>
      </c>
      <c r="B7413" t="inlineStr">
        <is>
          <t>3:42</t>
        </is>
      </c>
      <c r="C7413" t="inlineStr">
        <is>
          <t>to stop bad habits and make good ones,</t>
        </is>
      </c>
      <c r="D7413">
        <f>HYPERLINK("https://www.youtube.com/watch?v=NuFZFL6V2Js&amp;t=222s", "Go to time")</f>
        <v/>
      </c>
    </row>
    <row r="7414">
      <c r="A7414">
        <f>HYPERLINK("https://www.youtube.com/watch?v=NuFZFL6V2Js", "Video")</f>
        <v/>
      </c>
      <c r="B7414" t="inlineStr">
        <is>
          <t>3:45</t>
        </is>
      </c>
      <c r="C7414" t="inlineStr">
        <is>
          <t>and seven little habits
to have a better day</t>
        </is>
      </c>
      <c r="D7414">
        <f>HYPERLINK("https://www.youtube.com/watch?v=NuFZFL6V2Js&amp;t=225s", "Go to time")</f>
        <v/>
      </c>
    </row>
    <row r="7415">
      <c r="A7415">
        <f>HYPERLINK("https://www.youtube.com/watch?v=NuFZFL6V2Js", "Video")</f>
        <v/>
      </c>
      <c r="B7415" t="inlineStr">
        <is>
          <t>3:49</t>
        </is>
      </c>
      <c r="C7415" t="inlineStr">
        <is>
          <t>But to make a long story
short, identify your bad habits</t>
        </is>
      </c>
      <c r="D7415">
        <f>HYPERLINK("https://www.youtube.com/watch?v=NuFZFL6V2Js&amp;t=229s", "Go to time")</f>
        <v/>
      </c>
    </row>
    <row r="7416">
      <c r="A7416">
        <f>HYPERLINK("https://www.youtube.com/watch?v=NuFZFL6V2Js", "Video")</f>
        <v/>
      </c>
      <c r="B7416" t="inlineStr">
        <is>
          <t>3:57</t>
        </is>
      </c>
      <c r="C7416" t="inlineStr">
        <is>
          <t>and watch as your life
transforms one habit at a time.</t>
        </is>
      </c>
      <c r="D7416">
        <f>HYPERLINK("https://www.youtube.com/watch?v=NuFZFL6V2Js&amp;t=237s", "Go to time")</f>
        <v/>
      </c>
    </row>
    <row r="7417">
      <c r="A7417">
        <f>HYPERLINK("https://www.youtube.com/watch?v=NuFZFL6V2Js", "Video")</f>
        <v/>
      </c>
      <c r="B7417" t="inlineStr">
        <is>
          <t>7:27</t>
        </is>
      </c>
      <c r="C7417" t="inlineStr">
        <is>
          <t>Both a little bit of effort
and a whole lot of self love.</t>
        </is>
      </c>
      <c r="D7417">
        <f>HYPERLINK("https://www.youtube.com/watch?v=NuFZFL6V2Js&amp;t=447s", "Go to time")</f>
        <v/>
      </c>
    </row>
    <row r="7418">
      <c r="A7418">
        <f>HYPERLINK("https://www.youtube.com/watch?v=yt-PZKOwsiA", "Video")</f>
        <v/>
      </c>
      <c r="B7418" t="inlineStr">
        <is>
          <t>4:45</t>
        </is>
      </c>
      <c r="C7418" t="inlineStr">
        <is>
          <t>habit of belittling their partners and</t>
        </is>
      </c>
      <c r="D7418">
        <f>HYPERLINK("https://www.youtube.com/watch?v=yt-PZKOwsiA&amp;t=285s", "Go to time")</f>
        <v/>
      </c>
    </row>
    <row r="7419">
      <c r="A7419">
        <f>HYPERLINK("https://www.youtube.com/watch?v=yt-PZKOwsiA", "Video")</f>
        <v/>
      </c>
      <c r="B7419" t="inlineStr">
        <is>
          <t>4:46</t>
        </is>
      </c>
      <c r="C7419" t="inlineStr">
        <is>
          <t>dark empaths have the habit of</t>
        </is>
      </c>
      <c r="D7419">
        <f>HYPERLINK("https://www.youtube.com/watch?v=yt-PZKOwsiA&amp;t=286s", "Go to time")</f>
        <v/>
      </c>
    </row>
    <row r="7420">
      <c r="A7420">
        <f>HYPERLINK("https://www.youtube.com/watch?v=SwdbL0LAZGY", "Video")</f>
        <v/>
      </c>
      <c r="B7420" t="inlineStr">
        <is>
          <t>2:18</t>
        </is>
      </c>
      <c r="C7420" t="inlineStr">
        <is>
          <t>habits such as eating or sleeping</t>
        </is>
      </c>
      <c r="D7420">
        <f>HYPERLINK("https://www.youtube.com/watch?v=SwdbL0LAZGY&amp;t=138s", "Go to time")</f>
        <v/>
      </c>
    </row>
    <row r="7421">
      <c r="A7421">
        <f>HYPERLINK("https://www.youtube.com/watch?v=YP4wxSlENI0", "Video")</f>
        <v/>
      </c>
      <c r="B7421" t="inlineStr">
        <is>
          <t>6:19</t>
        </is>
      </c>
      <c r="C7421" t="inlineStr">
        <is>
          <t>thinking can severely inhibit what you</t>
        </is>
      </c>
      <c r="D7421">
        <f>HYPERLINK("https://www.youtube.com/watch?v=YP4wxSlENI0&amp;t=379s", "Go to time")</f>
        <v/>
      </c>
    </row>
    <row r="7422">
      <c r="A7422">
        <f>HYPERLINK("https://www.youtube.com/watch?v=J9y3mNsVA40", "Video")</f>
        <v/>
      </c>
      <c r="B7422" t="inlineStr">
        <is>
          <t>4:08</t>
        </is>
      </c>
      <c r="C7422" t="inlineStr">
        <is>
          <t>and perform uninhibited
activities by themself.</t>
        </is>
      </c>
      <c r="D7422">
        <f>HYPERLINK("https://www.youtube.com/watch?v=J9y3mNsVA40&amp;t=248s", "Go to time")</f>
        <v/>
      </c>
    </row>
    <row r="7423">
      <c r="A7423">
        <f>HYPERLINK("https://www.youtube.com/watch?v=PVBJyTIJaVM", "Video")</f>
        <v/>
      </c>
      <c r="B7423" t="inlineStr">
        <is>
          <t>2:12</t>
        </is>
      </c>
      <c r="C7423" t="inlineStr">
        <is>
          <t>and become habits you end up sending</t>
        </is>
      </c>
      <c r="D7423">
        <f>HYPERLINK("https://www.youtube.com/watch?v=PVBJyTIJaVM&amp;t=132s", "Go to time")</f>
        <v/>
      </c>
    </row>
    <row r="7424">
      <c r="A7424">
        <f>HYPERLINK("https://www.youtube.com/watch?v=PVBJyTIJaVM", "Video")</f>
        <v/>
      </c>
      <c r="B7424" t="inlineStr">
        <is>
          <t>2:36</t>
        </is>
      </c>
      <c r="C7424" t="inlineStr">
        <is>
          <t>habit for yourself and stick to it take</t>
        </is>
      </c>
      <c r="D7424">
        <f>HYPERLINK("https://www.youtube.com/watch?v=PVBJyTIJaVM&amp;t=156s", "Go to time")</f>
        <v/>
      </c>
    </row>
    <row r="7425">
      <c r="A7425">
        <f>HYPERLINK("https://www.youtube.com/watch?v=PVBJyTIJaVM", "Video")</f>
        <v/>
      </c>
      <c r="B7425" t="inlineStr">
        <is>
          <t>3:13</t>
        </is>
      </c>
      <c r="C7425" t="inlineStr">
        <is>
          <t>this near-constant habit of worrying</t>
        </is>
      </c>
      <c r="D7425">
        <f>HYPERLINK("https://www.youtube.com/watch?v=PVBJyTIJaVM&amp;t=193s", "Go to time")</f>
        <v/>
      </c>
    </row>
    <row r="7426">
      <c r="A7426">
        <f>HYPERLINK("https://www.youtube.com/watch?v=PVBJyTIJaVM", "Video")</f>
        <v/>
      </c>
      <c r="B7426" t="inlineStr">
        <is>
          <t>3:43</t>
        </is>
      </c>
      <c r="C7426" t="inlineStr">
        <is>
          <t>self-deprecating habits we're slowly</t>
        </is>
      </c>
      <c r="D7426">
        <f>HYPERLINK("https://www.youtube.com/watch?v=PVBJyTIJaVM&amp;t=223s", "Go to time")</f>
        <v/>
      </c>
    </row>
    <row r="7427">
      <c r="A7427">
        <f>HYPERLINK("https://www.youtube.com/watch?v=FMr84B1TRec", "Video")</f>
        <v/>
      </c>
      <c r="B7427" t="inlineStr">
        <is>
          <t>0:36</t>
        </is>
      </c>
      <c r="C7427" t="inlineStr">
        <is>
          <t>need a bit of advice to help get the</t>
        </is>
      </c>
      <c r="D7427">
        <f>HYPERLINK("https://www.youtube.com/watch?v=FMr84B1TRec&amp;t=36s", "Go to time")</f>
        <v/>
      </c>
    </row>
    <row r="7428">
      <c r="A7428">
        <f>HYPERLINK("https://www.youtube.com/watch?v=FMr84B1TRec", "Video")</f>
        <v/>
      </c>
      <c r="B7428" t="inlineStr">
        <is>
          <t>0:58</t>
        </is>
      </c>
      <c r="C7428" t="inlineStr">
        <is>
          <t>so if you notice your date is a bit</t>
        </is>
      </c>
      <c r="D7428">
        <f>HYPERLINK("https://www.youtube.com/watch?v=FMr84B1TRec&amp;t=58s", "Go to time")</f>
        <v/>
      </c>
    </row>
    <row r="7429">
      <c r="A7429">
        <f>HYPERLINK("https://www.youtube.com/watch?v=FMr84B1TRec", "Video")</f>
        <v/>
      </c>
      <c r="B7429" t="inlineStr">
        <is>
          <t>2:29</t>
        </is>
      </c>
      <c r="C7429" t="inlineStr">
        <is>
          <t>a bit uneasy about something express it</t>
        </is>
      </c>
      <c r="D7429">
        <f>HYPERLINK("https://www.youtube.com/watch?v=FMr84B1TRec&amp;t=149s", "Go to time")</f>
        <v/>
      </c>
    </row>
    <row r="7430">
      <c r="A7430">
        <f>HYPERLINK("https://www.youtube.com/watch?v=FMr84B1TRec", "Video")</f>
        <v/>
      </c>
      <c r="B7430" t="inlineStr">
        <is>
          <t>2:56</t>
        </is>
      </c>
      <c r="C7430" t="inlineStr">
        <is>
          <t>important for couples to know a bit</t>
        </is>
      </c>
      <c r="D7430">
        <f>HYPERLINK("https://www.youtube.com/watch?v=FMr84B1TRec&amp;t=176s", "Go to time")</f>
        <v/>
      </c>
    </row>
    <row r="7431">
      <c r="A7431">
        <f>HYPERLINK("https://www.youtube.com/watch?v=sthDvhAwLR4", "Video")</f>
        <v/>
      </c>
      <c r="B7431" t="inlineStr">
        <is>
          <t>5:25</t>
        </is>
      </c>
      <c r="C7431" t="inlineStr">
        <is>
          <t>bit of a mystery can you identify with</t>
        </is>
      </c>
      <c r="D7431">
        <f>HYPERLINK("https://www.youtube.com/watch?v=sthDvhAwLR4&amp;t=325s", "Go to time")</f>
        <v/>
      </c>
    </row>
    <row r="7432">
      <c r="A7432">
        <f>HYPERLINK("https://www.youtube.com/watch?v=-ocgiyVSjOU", "Video")</f>
        <v/>
      </c>
      <c r="B7432" t="inlineStr">
        <is>
          <t>2:23</t>
        </is>
      </c>
      <c r="C7432" t="inlineStr">
        <is>
          <t>Do they have a habit of
becoming all too charming</t>
        </is>
      </c>
      <c r="D7432">
        <f>HYPERLINK("https://www.youtube.com/watch?v=-ocgiyVSjOU&amp;t=143s", "Go to time")</f>
        <v/>
      </c>
    </row>
    <row r="7433">
      <c r="A7433">
        <f>HYPERLINK("https://www.youtube.com/watch?v=N2JbLYhf8Go", "Video")</f>
        <v/>
      </c>
      <c r="B7433" t="inlineStr">
        <is>
          <t>4:53</t>
        </is>
      </c>
      <c r="C7433" t="inlineStr">
        <is>
          <t>to adjusting or changing their habits is</t>
        </is>
      </c>
      <c r="D7433">
        <f>HYPERLINK("https://www.youtube.com/watch?v=N2JbLYhf8Go&amp;t=293s", "Go to time")</f>
        <v/>
      </c>
    </row>
    <row r="7434">
      <c r="A7434">
        <f>HYPERLINK("https://www.youtube.com/watch?v=N2JbLYhf8Go", "Video")</f>
        <v/>
      </c>
      <c r="B7434" t="inlineStr">
        <is>
          <t>7:11</t>
        </is>
      </c>
      <c r="C7434" t="inlineStr">
        <is>
          <t>thinking and changing your habits can be</t>
        </is>
      </c>
      <c r="D7434">
        <f>HYPERLINK("https://www.youtube.com/watch?v=N2JbLYhf8Go&amp;t=431s", "Go to time")</f>
        <v/>
      </c>
    </row>
    <row r="7435">
      <c r="A7435">
        <f>HYPERLINK("https://www.youtube.com/watch?v=EyTBcSG3mK0", "Video")</f>
        <v/>
      </c>
      <c r="B7435" t="inlineStr">
        <is>
          <t>0:33</t>
        </is>
      </c>
      <c r="C7435" t="inlineStr">
        <is>
          <t>- [Narrator] A bit too cheesy?</t>
        </is>
      </c>
      <c r="D7435">
        <f>HYPERLINK("https://www.youtube.com/watch?v=EyTBcSG3mK0&amp;t=33s", "Go to time")</f>
        <v/>
      </c>
    </row>
    <row r="7436">
      <c r="A7436">
        <f>HYPERLINK("https://www.youtube.com/watch?v=EyTBcSG3mK0", "Video")</f>
        <v/>
      </c>
      <c r="B7436" t="inlineStr">
        <is>
          <t>2:07</t>
        </is>
      </c>
      <c r="C7436" t="inlineStr">
        <is>
          <t>with your crush could make
them like you a bit more.</t>
        </is>
      </c>
      <c r="D7436">
        <f>HYPERLINK("https://www.youtube.com/watch?v=EyTBcSG3mK0&amp;t=127s", "Go to time")</f>
        <v/>
      </c>
    </row>
    <row r="7437">
      <c r="A7437">
        <f>HYPERLINK("https://www.youtube.com/watch?v=MIsPsIEuiTw", "Video")</f>
        <v/>
      </c>
      <c r="B7437" t="inlineStr">
        <is>
          <t>5:29</t>
        </is>
      </c>
      <c r="C7437" t="inlineStr">
        <is>
          <t>career Ambitions and pursuing higher</t>
        </is>
      </c>
      <c r="D7437">
        <f>HYPERLINK("https://www.youtube.com/watch?v=MIsPsIEuiTw&amp;t=329s", "Go to time")</f>
        <v/>
      </c>
    </row>
    <row r="7438">
      <c r="A7438">
        <f>HYPERLINK("https://www.youtube.com/watch?v=gKHnpiTWx78", "Video")</f>
        <v/>
      </c>
      <c r="B7438" t="inlineStr">
        <is>
          <t>0:11</t>
        </is>
      </c>
      <c r="C7438" t="inlineStr">
        <is>
          <t>mentally undesirable habits can</t>
        </is>
      </c>
      <c r="D7438">
        <f>HYPERLINK("https://www.youtube.com/watch?v=gKHnpiTWx78&amp;t=11s", "Go to time")</f>
        <v/>
      </c>
    </row>
    <row r="7439">
      <c r="A7439">
        <f>HYPERLINK("https://www.youtube.com/watch?v=gKHnpiTWx78", "Video")</f>
        <v/>
      </c>
      <c r="B7439" t="inlineStr">
        <is>
          <t>0:18</t>
        </is>
      </c>
      <c r="C7439" t="inlineStr">
        <is>
          <t>habits and easy tips to avoid them and</t>
        </is>
      </c>
      <c r="D7439">
        <f>HYPERLINK("https://www.youtube.com/watch?v=gKHnpiTWx78&amp;t=18s", "Go to time")</f>
        <v/>
      </c>
    </row>
    <row r="7440">
      <c r="A7440">
        <f>HYPERLINK("https://www.youtube.com/watch?v=gKHnpiTWx78", "Video")</f>
        <v/>
      </c>
      <c r="B7440" t="inlineStr">
        <is>
          <t>0:23</t>
        </is>
      </c>
      <c r="C7440" t="inlineStr">
        <is>
          <t>effortlessly backbiting do you ever find</t>
        </is>
      </c>
      <c r="D7440">
        <f>HYPERLINK("https://www.youtube.com/watch?v=gKHnpiTWx78&amp;t=23s", "Go to time")</f>
        <v/>
      </c>
    </row>
    <row r="7441">
      <c r="A7441">
        <f>HYPERLINK("https://www.youtube.com/watch?v=gKHnpiTWx78", "Video")</f>
        <v/>
      </c>
      <c r="B7441" t="inlineStr">
        <is>
          <t>1:57</t>
        </is>
      </c>
      <c r="C7441" t="inlineStr">
        <is>
          <t>making it a habit reflects a certain</t>
        </is>
      </c>
      <c r="D7441">
        <f>HYPERLINK("https://www.youtube.com/watch?v=gKHnpiTWx78&amp;t=117s", "Go to time")</f>
        <v/>
      </c>
    </row>
    <row r="7442">
      <c r="A7442">
        <f>HYPERLINK("https://www.youtube.com/watch?v=gKHnpiTWx78", "Video")</f>
        <v/>
      </c>
      <c r="B7442" t="inlineStr">
        <is>
          <t>2:10</t>
        </is>
      </c>
      <c r="C7442" t="inlineStr">
        <is>
          <t>a habit of planning is key Embrace</t>
        </is>
      </c>
      <c r="D7442">
        <f>HYPERLINK("https://www.youtube.com/watch?v=gKHnpiTWx78&amp;t=130s", "Go to time")</f>
        <v/>
      </c>
    </row>
    <row r="7443">
      <c r="A7443">
        <f>HYPERLINK("https://www.youtube.com/watch?v=gKHnpiTWx78", "Video")</f>
        <v/>
      </c>
      <c r="B7443" t="inlineStr">
        <is>
          <t>6:46</t>
        </is>
      </c>
      <c r="C7443" t="inlineStr">
        <is>
          <t>entitled individuals exhibiting</t>
        </is>
      </c>
      <c r="D7443">
        <f>HYPERLINK("https://www.youtube.com/watch?v=gKHnpiTWx78&amp;t=406s", "Go to time")</f>
        <v/>
      </c>
    </row>
    <row r="7444">
      <c r="A7444">
        <f>HYPERLINK("https://www.youtube.com/watch?v=gKHnpiTWx78", "Video")</f>
        <v/>
      </c>
      <c r="B7444" t="inlineStr">
        <is>
          <t>9:42</t>
        </is>
      </c>
      <c r="C7444" t="inlineStr">
        <is>
          <t>avoid undesirable habits with these easy</t>
        </is>
      </c>
      <c r="D7444">
        <f>HYPERLINK("https://www.youtube.com/watch?v=gKHnpiTWx78&amp;t=582s", "Go to time")</f>
        <v/>
      </c>
    </row>
    <row r="7445">
      <c r="A7445">
        <f>HYPERLINK("https://www.youtube.com/watch?v=MLX2PfA1vVU", "Video")</f>
        <v/>
      </c>
      <c r="B7445" t="inlineStr">
        <is>
          <t>3:25</t>
        </is>
      </c>
      <c r="C7445" t="inlineStr">
        <is>
          <t>of purpose as opposed to a habit rituals</t>
        </is>
      </c>
      <c r="D7445">
        <f>HYPERLINK("https://www.youtube.com/watch?v=MLX2PfA1vVU&amp;t=205s", "Go to time")</f>
        <v/>
      </c>
    </row>
    <row r="7446">
      <c r="A7446">
        <f>HYPERLINK("https://www.youtube.com/watch?v=MLX2PfA1vVU", "Video")</f>
        <v/>
      </c>
      <c r="B7446" t="inlineStr">
        <is>
          <t>3:28</t>
        </is>
      </c>
      <c r="C7446" t="inlineStr">
        <is>
          <t>require you to be a bit more Mindful and</t>
        </is>
      </c>
      <c r="D7446">
        <f>HYPERLINK("https://www.youtube.com/watch?v=MLX2PfA1vVU&amp;t=208s", "Go to time")</f>
        <v/>
      </c>
    </row>
    <row r="7447">
      <c r="A7447">
        <f>HYPERLINK("https://www.youtube.com/watch?v=MLX2PfA1vVU", "Video")</f>
        <v/>
      </c>
      <c r="B7447" t="inlineStr">
        <is>
          <t>6:53</t>
        </is>
      </c>
      <c r="C7447" t="inlineStr">
        <is>
          <t>bit more confident about implementing</t>
        </is>
      </c>
      <c r="D7447">
        <f>HYPERLINK("https://www.youtube.com/watch?v=MLX2PfA1vVU&amp;t=413s", "Go to time")</f>
        <v/>
      </c>
    </row>
    <row r="7448">
      <c r="A7448">
        <f>HYPERLINK("https://www.youtube.com/watch?v=Ntvx5o0bO7w", "Video")</f>
        <v/>
      </c>
      <c r="B7448" t="inlineStr">
        <is>
          <t>3:27</t>
        </is>
      </c>
      <c r="C7448" t="inlineStr">
        <is>
          <t>exhibitionism some individuals may</t>
        </is>
      </c>
      <c r="D7448">
        <f>HYPERLINK("https://www.youtube.com/watch?v=Ntvx5o0bO7w&amp;t=207s", "Go to time")</f>
        <v/>
      </c>
    </row>
    <row r="7449">
      <c r="A7449">
        <f>HYPERLINK("https://www.youtube.com/watch?v=Ntvx5o0bO7w", "Video")</f>
        <v/>
      </c>
      <c r="B7449" t="inlineStr">
        <is>
          <t>3:44</t>
        </is>
      </c>
      <c r="C7449" t="inlineStr">
        <is>
          <t>Indigo stray konga defines exhibitionism</t>
        </is>
      </c>
      <c r="D7449">
        <f>HYPERLINK("https://www.youtube.com/watch?v=Ntvx5o0bO7w&amp;t=224s", "Go to time")</f>
        <v/>
      </c>
    </row>
    <row r="7450">
      <c r="A7450">
        <f>HYPERLINK("https://www.youtube.com/watch?v=Ntvx5o0bO7w", "Video")</f>
        <v/>
      </c>
      <c r="B7450" t="inlineStr">
        <is>
          <t>4:02</t>
        </is>
      </c>
      <c r="C7450" t="inlineStr">
        <is>
          <t>exhibitionism is a sex positive</t>
        </is>
      </c>
      <c r="D7450">
        <f>HYPERLINK("https://www.youtube.com/watch?v=Ntvx5o0bO7w&amp;t=242s", "Go to time")</f>
        <v/>
      </c>
    </row>
    <row r="7451">
      <c r="A7451">
        <f>HYPERLINK("https://www.youtube.com/watch?v=Ntvx5o0bO7w", "Video")</f>
        <v/>
      </c>
      <c r="B7451" t="inlineStr">
        <is>
          <t>4:06</t>
        </is>
      </c>
      <c r="C7451" t="inlineStr">
        <is>
          <t>be confused with exhibitionistic</t>
        </is>
      </c>
      <c r="D7451">
        <f>HYPERLINK("https://www.youtube.com/watch?v=Ntvx5o0bO7w&amp;t=246s", "Go to time")</f>
        <v/>
      </c>
    </row>
    <row r="7452">
      <c r="A7452">
        <f>HYPERLINK("https://www.youtube.com/watch?v=Ntvx5o0bO7w", "Video")</f>
        <v/>
      </c>
      <c r="B7452" t="inlineStr">
        <is>
          <t>4:38</t>
        </is>
      </c>
      <c r="C7452" t="inlineStr">
        <is>
          <t>bit of an exhibitionist streak in us she</t>
        </is>
      </c>
      <c r="D7452">
        <f>HYPERLINK("https://www.youtube.com/watch?v=Ntvx5o0bO7w&amp;t=278s", "Go to time")</f>
        <v/>
      </c>
    </row>
    <row r="7453">
      <c r="A7453">
        <f>HYPERLINK("https://www.youtube.com/watch?v=wN6FtBwWe2s", "Video")</f>
        <v/>
      </c>
      <c r="B7453" t="inlineStr">
        <is>
          <t>0:15</t>
        </is>
      </c>
      <c r="C7453" t="inlineStr">
        <is>
          <t>about how certain habits
affect you mentally.</t>
        </is>
      </c>
      <c r="D7453">
        <f>HYPERLINK("https://www.youtube.com/watch?v=wN6FtBwWe2s&amp;t=15s", "Go to time")</f>
        <v/>
      </c>
    </row>
    <row r="7454">
      <c r="A7454">
        <f>HYPERLINK("https://www.youtube.com/watch?v=wN6FtBwWe2s", "Video")</f>
        <v/>
      </c>
      <c r="B7454" t="inlineStr">
        <is>
          <t>0:18</t>
        </is>
      </c>
      <c r="C7454" t="inlineStr">
        <is>
          <t>Here are seven habits</t>
        </is>
      </c>
      <c r="D7454">
        <f>HYPERLINK("https://www.youtube.com/watch?v=wN6FtBwWe2s&amp;t=18s", "Go to time")</f>
        <v/>
      </c>
    </row>
    <row r="7455">
      <c r="A7455">
        <f>HYPERLINK("https://www.youtube.com/watch?v=wN6FtBwWe2s", "Video")</f>
        <v/>
      </c>
      <c r="B7455" t="inlineStr">
        <is>
          <t>0:48</t>
        </is>
      </c>
      <c r="C7455" t="inlineStr">
        <is>
          <t>Another habit connected to this is fishing</t>
        </is>
      </c>
      <c r="D7455">
        <f>HYPERLINK("https://www.youtube.com/watch?v=wN6FtBwWe2s&amp;t=48s", "Go to time")</f>
        <v/>
      </c>
    </row>
    <row r="7456">
      <c r="A7456">
        <f>HYPERLINK("https://www.youtube.com/watch?v=wN6FtBwWe2s", "Video")</f>
        <v/>
      </c>
      <c r="B7456" t="inlineStr">
        <is>
          <t>1:11</t>
        </is>
      </c>
      <c r="C7456" t="inlineStr">
        <is>
          <t>Wonderland's White Rabbit
was always in a hurry.</t>
        </is>
      </c>
      <c r="D7456">
        <f>HYPERLINK("https://www.youtube.com/watch?v=wN6FtBwWe2s&amp;t=71s", "Go to time")</f>
        <v/>
      </c>
    </row>
    <row r="7457">
      <c r="A7457">
        <f>HYPERLINK("https://www.youtube.com/watch?v=wN6FtBwWe2s", "Video")</f>
        <v/>
      </c>
      <c r="B7457" t="inlineStr">
        <is>
          <t>1:14</t>
        </is>
      </c>
      <c r="C7457" t="inlineStr">
        <is>
          <t>Has this habit rubbed off on you too?</t>
        </is>
      </c>
      <c r="D7457">
        <f>HYPERLINK("https://www.youtube.com/watch?v=wN6FtBwWe2s&amp;t=74s", "Go to time")</f>
        <v/>
      </c>
    </row>
    <row r="7458">
      <c r="A7458">
        <f>HYPERLINK("https://www.youtube.com/watch?v=wN6FtBwWe2s", "Video")</f>
        <v/>
      </c>
      <c r="B7458" t="inlineStr">
        <is>
          <t>3:10</t>
        </is>
      </c>
      <c r="C7458" t="inlineStr">
        <is>
          <t>However, overspending as a
habit is actually harmful</t>
        </is>
      </c>
      <c r="D7458">
        <f>HYPERLINK("https://www.youtube.com/watch?v=wN6FtBwWe2s&amp;t=190s", "Go to time")</f>
        <v/>
      </c>
    </row>
    <row r="7459">
      <c r="A7459">
        <f>HYPERLINK("https://www.youtube.com/watch?v=wN6FtBwWe2s", "Video")</f>
        <v/>
      </c>
      <c r="B7459" t="inlineStr">
        <is>
          <t>3:32</t>
        </is>
      </c>
      <c r="C7459" t="inlineStr">
        <is>
          <t>instead of changing our habits.</t>
        </is>
      </c>
      <c r="D7459">
        <f>HYPERLINK("https://www.youtube.com/watch?v=wN6FtBwWe2s&amp;t=212s", "Go to time")</f>
        <v/>
      </c>
    </row>
    <row r="7460">
      <c r="A7460">
        <f>HYPERLINK("https://www.youtube.com/watch?v=wN6FtBwWe2s", "Video")</f>
        <v/>
      </c>
      <c r="B7460" t="inlineStr">
        <is>
          <t>5:19</t>
        </is>
      </c>
      <c r="C7460" t="inlineStr">
        <is>
          <t>While you can't change habits overnight,</t>
        </is>
      </c>
      <c r="D7460">
        <f>HYPERLINK("https://www.youtube.com/watch?v=wN6FtBwWe2s&amp;t=319s", "Go to time")</f>
        <v/>
      </c>
    </row>
    <row r="7461">
      <c r="A7461">
        <f>HYPERLINK("https://www.youtube.com/watch?v=wN6FtBwWe2s", "Video")</f>
        <v/>
      </c>
      <c r="B7461" t="inlineStr">
        <is>
          <t>6:30</t>
        </is>
      </c>
      <c r="C7461" t="inlineStr">
        <is>
          <t>on habits that you didn't
realize you engage in?</t>
        </is>
      </c>
      <c r="D7461">
        <f>HYPERLINK("https://www.youtube.com/watch?v=wN6FtBwWe2s&amp;t=390s", "Go to time")</f>
        <v/>
      </c>
    </row>
    <row r="7462">
      <c r="A7462">
        <f>HYPERLINK("https://www.youtube.com/watch?v=nTtaKPZX098", "Video")</f>
        <v/>
      </c>
      <c r="B7462" t="inlineStr">
        <is>
          <t>4:53</t>
        </is>
      </c>
      <c r="C7462" t="inlineStr">
        <is>
          <t>want a bit of Adventure some people may</t>
        </is>
      </c>
      <c r="D7462">
        <f>HYPERLINK("https://www.youtube.com/watch?v=nTtaKPZX098&amp;t=293s", "Go to time")</f>
        <v/>
      </c>
    </row>
    <row r="7463">
      <c r="A7463">
        <f>HYPERLINK("https://www.youtube.com/watch?v=nTtaKPZX098", "Video")</f>
        <v/>
      </c>
      <c r="B7463" t="inlineStr">
        <is>
          <t>5:21</t>
        </is>
      </c>
      <c r="C7463" t="inlineStr">
        <is>
          <t>some people may just want a bit of</t>
        </is>
      </c>
      <c r="D7463">
        <f>HYPERLINK("https://www.youtube.com/watch?v=nTtaKPZX098&amp;t=321s", "Go to time")</f>
        <v/>
      </c>
    </row>
    <row r="7464">
      <c r="A7464">
        <f>HYPERLINK("https://www.youtube.com/watch?v=1GSz3OkKZ1M", "Video")</f>
        <v/>
      </c>
      <c r="B7464" t="inlineStr">
        <is>
          <t>0:19</t>
        </is>
      </c>
      <c r="C7464" t="inlineStr">
        <is>
          <t>different behaviors we exhibit in a</t>
        </is>
      </c>
      <c r="D7464">
        <f>HYPERLINK("https://www.youtube.com/watch?v=1GSz3OkKZ1M&amp;t=19s", "Go to time")</f>
        <v/>
      </c>
    </row>
    <row r="7465">
      <c r="A7465">
        <f>HYPERLINK("https://www.youtube.com/watch?v=1GSz3OkKZ1M", "Video")</f>
        <v/>
      </c>
      <c r="B7465" t="inlineStr">
        <is>
          <t>0:41</t>
        </is>
      </c>
      <c r="C7465" t="inlineStr">
        <is>
          <t>we'll tell you a little bit about each</t>
        </is>
      </c>
      <c r="D7465">
        <f>HYPERLINK("https://www.youtube.com/watch?v=1GSz3OkKZ1M&amp;t=41s", "Go to time")</f>
        <v/>
      </c>
    </row>
    <row r="7466">
      <c r="A7466">
        <f>HYPERLINK("https://www.youtube.com/watch?v=1GSz3OkKZ1M", "Video")</f>
        <v/>
      </c>
      <c r="B7466" t="inlineStr">
        <is>
          <t>4:06</t>
        </is>
      </c>
      <c r="C7466" t="inlineStr">
        <is>
          <t>while you'd like them to be a bit more</t>
        </is>
      </c>
      <c r="D7466">
        <f>HYPERLINK("https://www.youtube.com/watch?v=1GSz3OkKZ1M&amp;t=246s", "Go to time")</f>
        <v/>
      </c>
    </row>
    <row r="7467">
      <c r="A7467">
        <f>HYPERLINK("https://www.youtube.com/watch?v=1GSz3OkKZ1M", "Video")</f>
        <v/>
      </c>
      <c r="B7467" t="inlineStr">
        <is>
          <t>5:24</t>
        </is>
      </c>
      <c r="C7467" t="inlineStr">
        <is>
          <t>and bitter towards your partner and in</t>
        </is>
      </c>
      <c r="D7467">
        <f>HYPERLINK("https://www.youtube.com/watch?v=1GSz3OkKZ1M&amp;t=324s", "Go to time")</f>
        <v/>
      </c>
    </row>
    <row r="7468">
      <c r="A7468">
        <f>HYPERLINK("https://www.youtube.com/watch?v=ma9SZPVSv7Y", "Video")</f>
        <v/>
      </c>
      <c r="B7468" t="inlineStr">
        <is>
          <t>0:50</t>
        </is>
      </c>
      <c r="C7468" t="inlineStr">
        <is>
          <t>free after her passing a bit morbid but</t>
        </is>
      </c>
      <c r="D7468">
        <f>HYPERLINK("https://www.youtube.com/watch?v=ma9SZPVSv7Y&amp;t=50s", "Go to time")</f>
        <v/>
      </c>
    </row>
    <row r="7469">
      <c r="A7469">
        <f>HYPERLINK("https://www.youtube.com/watch?v=yA5OkdZnAPg", "Video")</f>
        <v/>
      </c>
      <c r="B7469" t="inlineStr">
        <is>
          <t>0:04</t>
        </is>
      </c>
      <c r="C7469" t="inlineStr">
        <is>
          <t>it people can exhibit confidence in a</t>
        </is>
      </c>
      <c r="D7469">
        <f>HYPERLINK("https://www.youtube.com/watch?v=yA5OkdZnAPg&amp;t=4s", "Go to time")</f>
        <v/>
      </c>
    </row>
    <row r="7470">
      <c r="A7470">
        <f>HYPERLINK("https://www.youtube.com/watch?v=C3GXByPCKQs", "Video")</f>
        <v/>
      </c>
      <c r="B7470" t="inlineStr">
        <is>
          <t>3:02</t>
        </is>
      </c>
      <c r="C7470" t="inlineStr">
        <is>
          <t>to do you sweet favors
with a bit of flirting.</t>
        </is>
      </c>
      <c r="D7470">
        <f>HYPERLINK("https://www.youtube.com/watch?v=C3GXByPCKQs&amp;t=182s", "Go to time")</f>
        <v/>
      </c>
    </row>
    <row r="7471">
      <c r="A7471">
        <f>HYPERLINK("https://www.youtube.com/watch?v=m9JFeA3_Psg", "Video")</f>
        <v/>
      </c>
      <c r="B7471" t="inlineStr">
        <is>
          <t>1:54</t>
        </is>
      </c>
      <c r="C7471" t="inlineStr">
        <is>
          <t>referred to as discouraged BPD exhibits</t>
        </is>
      </c>
      <c r="D7471">
        <f>HYPERLINK("https://www.youtube.com/watch?v=m9JFeA3_Psg&amp;t=114s", "Go to time")</f>
        <v/>
      </c>
    </row>
    <row r="7472">
      <c r="A7472">
        <f>HYPERLINK("https://www.youtube.com/watch?v=a9qUjGV5Tc4", "Video")</f>
        <v/>
      </c>
      <c r="B7472" t="inlineStr">
        <is>
          <t>2:47</t>
        </is>
      </c>
      <c r="C7472" t="inlineStr">
        <is>
          <t>ADHD and poor study habits having</t>
        </is>
      </c>
      <c r="D7472">
        <f>HYPERLINK("https://www.youtube.com/watch?v=a9qUjGV5Tc4&amp;t=167s", "Go to time")</f>
        <v/>
      </c>
    </row>
    <row r="7473">
      <c r="A7473">
        <f>HYPERLINK("https://www.youtube.com/watch?v=BAhy4BYzYdM", "Video")</f>
        <v/>
      </c>
      <c r="B7473" t="inlineStr">
        <is>
          <t>2:12</t>
        </is>
      </c>
      <c r="C7473" t="inlineStr">
        <is>
          <t>a bit neglected Paul says that when you</t>
        </is>
      </c>
      <c r="D7473">
        <f>HYPERLINK("https://www.youtube.com/watch?v=BAhy4BYzYdM&amp;t=132s", "Go to time")</f>
        <v/>
      </c>
    </row>
    <row r="7474">
      <c r="A7474">
        <f>HYPERLINK("https://www.youtube.com/watch?v=BAhy4BYzYdM", "Video")</f>
        <v/>
      </c>
      <c r="B7474" t="inlineStr">
        <is>
          <t>6:25</t>
        </is>
      </c>
      <c r="C7474" t="inlineStr">
        <is>
          <t>bit detached in response to your joy if</t>
        </is>
      </c>
      <c r="D7474">
        <f>HYPERLINK("https://www.youtube.com/watch?v=BAhy4BYzYdM&amp;t=385s", "Go to time")</f>
        <v/>
      </c>
    </row>
    <row r="7475">
      <c r="A7475">
        <f>HYPERLINK("https://www.youtube.com/watch?v=9MAONow5CGI", "Video")</f>
        <v/>
      </c>
      <c r="B7475" t="inlineStr">
        <is>
          <t>8:10</t>
        </is>
      </c>
      <c r="C7475" t="inlineStr">
        <is>
          <t>video to learn habits of living a</t>
        </is>
      </c>
      <c r="D7475">
        <f>HYPERLINK("https://www.youtube.com/watch?v=9MAONow5CGI&amp;t=490s", "Go to time")</f>
        <v/>
      </c>
    </row>
    <row r="7476">
      <c r="A7476">
        <f>HYPERLINK("https://www.youtube.com/watch?v=Gn4AxslXe6Q", "Video")</f>
        <v/>
      </c>
      <c r="B7476" t="inlineStr">
        <is>
          <t>3:14</t>
        </is>
      </c>
      <c r="C7476" t="inlineStr">
        <is>
          <t>can become an automatic habit and easily</t>
        </is>
      </c>
      <c r="D7476">
        <f>HYPERLINK("https://www.youtube.com/watch?v=Gn4AxslXe6Q&amp;t=194s", "Go to time")</f>
        <v/>
      </c>
    </row>
    <row r="7477">
      <c r="A7477">
        <f>HYPERLINK("https://www.youtube.com/watch?v=Gn4AxslXe6Q", "Video")</f>
        <v/>
      </c>
      <c r="B7477" t="inlineStr">
        <is>
          <t>3:58</t>
        </is>
      </c>
      <c r="C7477" t="inlineStr">
        <is>
          <t>bite of your favorite chocolate bar</t>
        </is>
      </c>
      <c r="D7477">
        <f>HYPERLINK("https://www.youtube.com/watch?v=Gn4AxslXe6Q&amp;t=238s", "Go to time")</f>
        <v/>
      </c>
    </row>
    <row r="7478">
      <c r="A7478">
        <f>HYPERLINK("https://www.youtube.com/watch?v=Gn4AxslXe6Q", "Video")</f>
        <v/>
      </c>
      <c r="B7478" t="inlineStr">
        <is>
          <t>4:34</t>
        </is>
      </c>
      <c r="C7478" t="inlineStr">
        <is>
          <t>your eating habits could suffer a study</t>
        </is>
      </c>
      <c r="D7478">
        <f>HYPERLINK("https://www.youtube.com/watch?v=Gn4AxslXe6Q&amp;t=274s", "Go to time")</f>
        <v/>
      </c>
    </row>
    <row r="7479">
      <c r="A7479">
        <f>HYPERLINK("https://www.youtube.com/watch?v=g_6-na5q0oQ", "Video")</f>
        <v/>
      </c>
      <c r="B7479" t="inlineStr">
        <is>
          <t>0:29</t>
        </is>
      </c>
      <c r="C7479" t="inlineStr">
        <is>
          <t>a bitter sweet sense of longing for the</t>
        </is>
      </c>
      <c r="D7479">
        <f>HYPERLINK("https://www.youtube.com/watch?v=g_6-na5q0oQ&amp;t=29s", "Go to time")</f>
        <v/>
      </c>
    </row>
    <row r="7480">
      <c r="A7480">
        <f>HYPERLINK("https://www.youtube.com/watch?v=g_6-na5q0oQ", "Video")</f>
        <v/>
      </c>
      <c r="B7480" t="inlineStr">
        <is>
          <t>1:44</t>
        </is>
      </c>
      <c r="C7480" t="inlineStr">
        <is>
          <t>unhealthy habit if we fixate on memories</t>
        </is>
      </c>
      <c r="D7480">
        <f>HYPERLINK("https://www.youtube.com/watch?v=g_6-na5q0oQ&amp;t=104s", "Go to time")</f>
        <v/>
      </c>
    </row>
    <row r="7481">
      <c r="A7481">
        <f>HYPERLINK("https://www.youtube.com/watch?v=JjlSzhaEChk", "Video")</f>
        <v/>
      </c>
      <c r="B7481" t="inlineStr">
        <is>
          <t>6:50</t>
        </is>
      </c>
      <c r="C7481" t="inlineStr">
        <is>
          <t>detox this helps in Breaking the Habit</t>
        </is>
      </c>
      <c r="D7481">
        <f>HYPERLINK("https://www.youtube.com/watch?v=JjlSzhaEChk&amp;t=410s", "Go to time")</f>
        <v/>
      </c>
    </row>
    <row r="7482">
      <c r="A7482">
        <f>HYPERLINK("https://www.youtube.com/watch?v=_Z0O6qmLBwg", "Video")</f>
        <v/>
      </c>
      <c r="B7482" t="inlineStr">
        <is>
          <t>1:35</t>
        </is>
      </c>
      <c r="C7482" t="inlineStr">
        <is>
          <t>happened may be a habit that sticks with</t>
        </is>
      </c>
      <c r="D7482">
        <f>HYPERLINK("https://www.youtube.com/watch?v=_Z0O6qmLBwg&amp;t=95s", "Go to time")</f>
        <v/>
      </c>
    </row>
    <row r="7483">
      <c r="A7483">
        <f>HYPERLINK("https://www.youtube.com/watch?v=_Z0O6qmLBwg", "Video")</f>
        <v/>
      </c>
      <c r="B7483" t="inlineStr">
        <is>
          <t>3:54</t>
        </is>
      </c>
      <c r="C7483" t="inlineStr">
        <is>
          <t>become reinforced and turn into a habit</t>
        </is>
      </c>
      <c r="D7483">
        <f>HYPERLINK("https://www.youtube.com/watch?v=_Z0O6qmLBwg&amp;t=234s", "Go to time")</f>
        <v/>
      </c>
    </row>
    <row r="7484">
      <c r="A7484">
        <f>HYPERLINK("https://www.youtube.com/watch?v=CCo47zEONP8", "Video")</f>
        <v/>
      </c>
      <c r="B7484" t="inlineStr">
        <is>
          <t>4:13</t>
        </is>
      </c>
      <c r="C7484" t="inlineStr">
        <is>
          <t>still feel a bit unsure now so if you</t>
        </is>
      </c>
      <c r="D7484">
        <f>HYPERLINK("https://www.youtube.com/watch?v=CCo47zEONP8&amp;t=253s", "Go to time")</f>
        <v/>
      </c>
    </row>
    <row r="7485">
      <c r="A7485">
        <f>HYPERLINK("https://www.youtube.com/watch?v=CCo47zEONP8", "Video")</f>
        <v/>
      </c>
      <c r="B7485" t="inlineStr">
        <is>
          <t>6:10</t>
        </is>
      </c>
      <c r="C7485" t="inlineStr">
        <is>
          <t>others a bit tough recognizing why your</t>
        </is>
      </c>
      <c r="D7485">
        <f>HYPERLINK("https://www.youtube.com/watch?v=CCo47zEONP8&amp;t=370s", "Go to time")</f>
        <v/>
      </c>
    </row>
    <row r="7486">
      <c r="A7486">
        <f>HYPERLINK("https://www.youtube.com/watch?v=Vi0J9oj4aoA", "Video")</f>
        <v/>
      </c>
      <c r="B7486" t="inlineStr">
        <is>
          <t>0:13</t>
        </is>
      </c>
      <c r="C7486" t="inlineStr">
        <is>
          <t>there are certain healthy habits</t>
        </is>
      </c>
      <c r="D7486">
        <f>HYPERLINK("https://www.youtube.com/watch?v=Vi0J9oj4aoA&amp;t=13s", "Go to time")</f>
        <v/>
      </c>
    </row>
    <row r="7487">
      <c r="A7487">
        <f>HYPERLINK("https://www.youtube.com/watch?v=htew2mLu1-I", "Video")</f>
        <v/>
      </c>
      <c r="B7487" t="inlineStr">
        <is>
          <t>2:12</t>
        </is>
      </c>
      <c r="C7487" t="inlineStr">
        <is>
          <t>disorder like exhibitionist disorder.</t>
        </is>
      </c>
      <c r="D7487">
        <f>HYPERLINK("https://www.youtube.com/watch?v=htew2mLu1-I&amp;t=132s", "Go to time")</f>
        <v/>
      </c>
    </row>
    <row r="7488">
      <c r="A7488">
        <f>HYPERLINK("https://www.youtube.com/watch?v=htew2mLu1-I", "Video")</f>
        <v/>
      </c>
      <c r="B7488" t="inlineStr">
        <is>
          <t>2:14</t>
        </is>
      </c>
      <c r="C7488" t="inlineStr">
        <is>
          <t>Voyeuristic and exhibitionism
activities are often illegal,</t>
        </is>
      </c>
      <c r="D7488">
        <f>HYPERLINK("https://www.youtube.com/watch?v=htew2mLu1-I&amp;t=134s", "Go to time")</f>
        <v/>
      </c>
    </row>
    <row r="7489">
      <c r="A7489">
        <f>HYPERLINK("https://www.youtube.com/watch?v=htew2mLu1-I", "Video")</f>
        <v/>
      </c>
      <c r="B7489" t="inlineStr">
        <is>
          <t>2:33</t>
        </is>
      </c>
      <c r="C7489" t="inlineStr">
        <is>
          <t>exhibitionist thoughts
or urges, it's important</t>
        </is>
      </c>
      <c r="D7489">
        <f>HYPERLINK("https://www.youtube.com/watch?v=htew2mLu1-I&amp;t=153s", "Go to time")</f>
        <v/>
      </c>
    </row>
    <row r="7490">
      <c r="A7490">
        <f>HYPERLINK("https://www.youtube.com/watch?v=htew2mLu1-I", "Video")</f>
        <v/>
      </c>
      <c r="B7490" t="inlineStr">
        <is>
          <t>2:49</t>
        </is>
      </c>
      <c r="C7490" t="inlineStr">
        <is>
          <t>of exhibitionism the fantasy</t>
        </is>
      </c>
      <c r="D7490">
        <f>HYPERLINK("https://www.youtube.com/watch?v=htew2mLu1-I&amp;t=169s", "Go to time")</f>
        <v/>
      </c>
    </row>
    <row r="7491">
      <c r="A7491">
        <f>HYPERLINK("https://www.youtube.com/watch?v=htew2mLu1-I", "Video")</f>
        <v/>
      </c>
      <c r="B7491" t="inlineStr">
        <is>
          <t>3:15</t>
        </is>
      </c>
      <c r="C7491" t="inlineStr">
        <is>
          <t>You bit of fantasy, people.
But what about feet?</t>
        </is>
      </c>
      <c r="D7491">
        <f>HYPERLINK("https://www.youtube.com/watch?v=htew2mLu1-I&amp;t=195s", "Go to time")</f>
        <v/>
      </c>
    </row>
    <row r="7492">
      <c r="A7492">
        <f>HYPERLINK("https://www.youtube.com/watch?v=FTOn7Dwrl8U", "Video")</f>
        <v/>
      </c>
      <c r="B7492" t="inlineStr">
        <is>
          <t>2:17</t>
        </is>
      </c>
      <c r="C7492" t="inlineStr">
        <is>
          <t>bit off ask yourself what needs to be</t>
        </is>
      </c>
      <c r="D7492">
        <f>HYPERLINK("https://www.youtube.com/watch?v=FTOn7Dwrl8U&amp;t=137s", "Go to time")</f>
        <v/>
      </c>
    </row>
    <row r="7493">
      <c r="A7493">
        <f>HYPERLINK("https://www.youtube.com/watch?v=w4vKfl3RcT4", "Video")</f>
        <v/>
      </c>
      <c r="B7493" t="inlineStr">
        <is>
          <t>0:40</t>
        </is>
      </c>
      <c r="C7493" t="inlineStr">
        <is>
          <t>feeling a bit awkward amidst the nervous</t>
        </is>
      </c>
      <c r="D7493">
        <f>HYPERLINK("https://www.youtube.com/watch?v=w4vKfl3RcT4&amp;t=40s", "Go to time")</f>
        <v/>
      </c>
    </row>
    <row r="7494">
      <c r="A7494">
        <f>HYPERLINK("https://www.youtube.com/watch?v=w4vKfl3RcT4", "Video")</f>
        <v/>
      </c>
      <c r="B7494" t="inlineStr">
        <is>
          <t>3:08</t>
        </is>
      </c>
      <c r="C7494" t="inlineStr">
        <is>
          <t>where everyone is initially a bit</t>
        </is>
      </c>
      <c r="D7494">
        <f>HYPERLINK("https://www.youtube.com/watch?v=w4vKfl3RcT4&amp;t=188s", "Go to time")</f>
        <v/>
      </c>
    </row>
    <row r="7495">
      <c r="A7495">
        <f>HYPERLINK("https://www.youtube.com/watch?v=VO09IbFjm6U", "Video")</f>
        <v/>
      </c>
      <c r="B7495" t="inlineStr">
        <is>
          <t>2:37</t>
        </is>
      </c>
      <c r="C7495" t="inlineStr">
        <is>
          <t>manageable bits</t>
        </is>
      </c>
      <c r="D7495">
        <f>HYPERLINK("https://www.youtube.com/watch?v=VO09IbFjm6U&amp;t=157s", "Go to time")</f>
        <v/>
      </c>
    </row>
    <row r="7496">
      <c r="A7496">
        <f>HYPERLINK("https://www.youtube.com/watch?v=VO09IbFjm6U", "Video")</f>
        <v/>
      </c>
      <c r="B7496" t="inlineStr">
        <is>
          <t>5:12</t>
        </is>
      </c>
      <c r="C7496" t="inlineStr">
        <is>
          <t>habits and there's an internal alarm</t>
        </is>
      </c>
      <c r="D7496">
        <f>HYPERLINK("https://www.youtube.com/watch?v=VO09IbFjm6U&amp;t=312s", "Go to time")</f>
        <v/>
      </c>
    </row>
    <row r="7497">
      <c r="A7497">
        <f>HYPERLINK("https://www.youtube.com/watch?v=TVq5infc0xY", "Video")</f>
        <v/>
      </c>
      <c r="B7497" t="inlineStr">
        <is>
          <t>4:53</t>
        </is>
      </c>
      <c r="C7497" t="inlineStr">
        <is>
          <t>exhibit Mutual understanding awareness</t>
        </is>
      </c>
      <c r="D7497">
        <f>HYPERLINK("https://www.youtube.com/watch?v=TVq5infc0xY&amp;t=293s", "Go to time")</f>
        <v/>
      </c>
    </row>
    <row r="7498">
      <c r="A7498">
        <f>HYPERLINK("https://www.youtube.com/watch?v=mfdS_yzn2Bg", "Video")</f>
        <v/>
      </c>
      <c r="B7498" t="inlineStr">
        <is>
          <t>1:19</t>
        </is>
      </c>
      <c r="C7498" t="inlineStr">
        <is>
          <t>your shoulder and biting your lip while</t>
        </is>
      </c>
      <c r="D7498">
        <f>HYPERLINK("https://www.youtube.com/watch?v=mfdS_yzn2Bg&amp;t=79s", "Go to time")</f>
        <v/>
      </c>
    </row>
    <row r="7499">
      <c r="A7499">
        <f>HYPERLINK("https://www.youtube.com/watch?v=mfdS_yzn2Bg", "Video")</f>
        <v/>
      </c>
      <c r="B7499" t="inlineStr">
        <is>
          <t>3:08</t>
        </is>
      </c>
      <c r="C7499" t="inlineStr">
        <is>
          <t>uninterested but simply making a bit of</t>
        </is>
      </c>
      <c r="D7499">
        <f>HYPERLINK("https://www.youtube.com/watch?v=mfdS_yzn2Bg&amp;t=188s", "Go to time")</f>
        <v/>
      </c>
    </row>
    <row r="7500">
      <c r="A7500">
        <f>HYPERLINK("https://www.youtube.com/watch?v=5Kex94yc-b8", "Video")</f>
        <v/>
      </c>
      <c r="B7500" t="inlineStr">
        <is>
          <t>0:54</t>
        </is>
      </c>
      <c r="C7500" t="inlineStr">
        <is>
          <t>which the patient can exhibit physical</t>
        </is>
      </c>
      <c r="D7500">
        <f>HYPERLINK("https://www.youtube.com/watch?v=5Kex94yc-b8&amp;t=54s", "Go to time")</f>
        <v/>
      </c>
    </row>
    <row r="7501">
      <c r="A7501">
        <f>HYPERLINK("https://www.youtube.com/watch?v=p3GJTlr-j0U", "Video")</f>
        <v/>
      </c>
      <c r="B7501" t="inlineStr">
        <is>
          <t>2:30</t>
        </is>
      </c>
      <c r="C7501" t="inlineStr">
        <is>
          <t>challenge you might come off as a bit</t>
        </is>
      </c>
      <c r="D7501">
        <f>HYPERLINK("https://www.youtube.com/watch?v=p3GJTlr-j0U&amp;t=150s", "Go to time")</f>
        <v/>
      </c>
    </row>
    <row r="7502">
      <c r="A7502">
        <f>HYPERLINK("https://www.youtube.com/watch?v=ufFViR_zCuI", "Video")</f>
        <v/>
      </c>
      <c r="B7502" t="inlineStr">
        <is>
          <t>0:35</t>
        </is>
      </c>
      <c r="C7502" t="inlineStr">
        <is>
          <t>may exhibit different symptoms so to</t>
        </is>
      </c>
      <c r="D7502">
        <f>HYPERLINK("https://www.youtube.com/watch?v=ufFViR_zCuI&amp;t=35s", "Go to time")</f>
        <v/>
      </c>
    </row>
    <row r="7503">
      <c r="A7503">
        <f>HYPERLINK("https://www.youtube.com/watch?v=DgEyuf2pLXU", "Video")</f>
        <v/>
      </c>
      <c r="B7503" t="inlineStr">
        <is>
          <t>3:39</t>
        </is>
      </c>
      <c r="C7503" t="inlineStr">
        <is>
          <t>add a little bit less over time that way</t>
        </is>
      </c>
      <c r="D7503">
        <f>HYPERLINK("https://www.youtube.com/watch?v=DgEyuf2pLXU&amp;t=219s", "Go to time")</f>
        <v/>
      </c>
    </row>
    <row r="7504">
      <c r="A7504">
        <f>HYPERLINK("https://www.youtube.com/watch?v=DgEyuf2pLXU", "Video")</f>
        <v/>
      </c>
      <c r="B7504" t="inlineStr">
        <is>
          <t>3:48</t>
        </is>
      </c>
      <c r="C7504" t="inlineStr">
        <is>
          <t>eliminating at least a little bit of</t>
        </is>
      </c>
      <c r="D7504">
        <f>HYPERLINK("https://www.youtube.com/watch?v=DgEyuf2pLXU&amp;t=228s", "Go to time")</f>
        <v/>
      </c>
    </row>
    <row r="7505">
      <c r="A7505">
        <f>HYPERLINK("https://www.youtube.com/watch?v=mvlW1UjM0cI", "Video")</f>
        <v/>
      </c>
      <c r="B7505" t="inlineStr">
        <is>
          <t>0:13</t>
        </is>
      </c>
      <c r="C7505" t="inlineStr">
        <is>
          <t>exhibit when they are interested in</t>
        </is>
      </c>
      <c r="D7505">
        <f>HYPERLINK("https://www.youtube.com/watch?v=mvlW1UjM0cI&amp;t=13s", "Go to time")</f>
        <v/>
      </c>
    </row>
    <row r="7506">
      <c r="A7506">
        <f>HYPERLINK("https://www.youtube.com/watch?v=mvlW1UjM0cI", "Video")</f>
        <v/>
      </c>
      <c r="B7506" t="inlineStr">
        <is>
          <t>5:04</t>
        </is>
      </c>
      <c r="C7506" t="inlineStr">
        <is>
          <t>interesting tidbits on psychology and</t>
        </is>
      </c>
      <c r="D7506">
        <f>HYPERLINK("https://www.youtube.com/watch?v=mvlW1UjM0cI&amp;t=304s", "Go to time")</f>
        <v/>
      </c>
    </row>
    <row r="7507">
      <c r="A7507">
        <f>HYPERLINK("https://www.youtube.com/watch?v=mhDx57OzP-0", "Video")</f>
        <v/>
      </c>
      <c r="B7507" t="inlineStr">
        <is>
          <t>2:30</t>
        </is>
      </c>
      <c r="C7507" t="inlineStr">
        <is>
          <t>tease them a bit of sarcasm and wit can</t>
        </is>
      </c>
      <c r="D7507">
        <f>HYPERLINK("https://www.youtube.com/watch?v=mhDx57OzP-0&amp;t=150s", "Go to time")</f>
        <v/>
      </c>
    </row>
    <row r="7508">
      <c r="A7508">
        <f>HYPERLINK("https://www.youtube.com/watch?v=XuHurSWX_do", "Video")</f>
        <v/>
      </c>
      <c r="B7508" t="inlineStr">
        <is>
          <t>2:28</t>
        </is>
      </c>
      <c r="C7508" t="inlineStr">
        <is>
          <t>are drawn to those who exhibit bravery</t>
        </is>
      </c>
      <c r="D7508">
        <f>HYPERLINK("https://www.youtube.com/watch?v=XuHurSWX_do&amp;t=148s", "Go to time")</f>
        <v/>
      </c>
    </row>
    <row r="7509">
      <c r="A7509">
        <f>HYPERLINK("https://www.youtube.com/watch?v=ROK_7zDkQeg", "Video")</f>
        <v/>
      </c>
      <c r="B7509" t="inlineStr">
        <is>
          <t>1:05</t>
        </is>
      </c>
      <c r="C7509" t="inlineStr">
        <is>
          <t>better productive habits sometimes</t>
        </is>
      </c>
      <c r="D7509">
        <f>HYPERLINK("https://www.youtube.com/watch?v=ROK_7zDkQeg&amp;t=65s", "Go to time")</f>
        <v/>
      </c>
    </row>
    <row r="7510">
      <c r="A7510">
        <f>HYPERLINK("https://www.youtube.com/watch?v=ROK_7zDkQeg", "Video")</f>
        <v/>
      </c>
      <c r="B7510" t="inlineStr">
        <is>
          <t>1:32</t>
        </is>
      </c>
      <c r="C7510" t="inlineStr">
        <is>
          <t>more than a bad habit but a sign of</t>
        </is>
      </c>
      <c r="D7510">
        <f>HYPERLINK("https://www.youtube.com/watch?v=ROK_7zDkQeg&amp;t=92s", "Go to time")</f>
        <v/>
      </c>
    </row>
    <row r="7511">
      <c r="A7511">
        <f>HYPERLINK("https://www.youtube.com/watch?v=ROK_7zDkQeg", "Video")</f>
        <v/>
      </c>
      <c r="B7511" t="inlineStr">
        <is>
          <t>3:11</t>
        </is>
      </c>
      <c r="C7511" t="inlineStr">
        <is>
          <t>may sound a bit cheesy but it's actually</t>
        </is>
      </c>
      <c r="D7511">
        <f>HYPERLINK("https://www.youtube.com/watch?v=ROK_7zDkQeg&amp;t=191s", "Go to time")</f>
        <v/>
      </c>
    </row>
    <row r="7512">
      <c r="A7512">
        <f>HYPERLINK("https://www.youtube.com/watch?v=ROK_7zDkQeg", "Video")</f>
        <v/>
      </c>
      <c r="B7512" t="inlineStr">
        <is>
          <t>4:24</t>
        </is>
      </c>
      <c r="C7512" t="inlineStr">
        <is>
          <t>reminders if you get a bit stuck the</t>
        </is>
      </c>
      <c r="D7512">
        <f>HYPERLINK("https://www.youtube.com/watch?v=ROK_7zDkQeg&amp;t=264s", "Go to time")</f>
        <v/>
      </c>
    </row>
    <row r="7513">
      <c r="A7513">
        <f>HYPERLINK("https://www.youtube.com/watch?v=yIKsb_qTODo", "Video")</f>
        <v/>
      </c>
      <c r="B7513" t="inlineStr">
        <is>
          <t>0:11</t>
        </is>
      </c>
      <c r="C7513" t="inlineStr">
        <is>
          <t>with constant nail biting or difficulty</t>
        </is>
      </c>
      <c r="D7513">
        <f>HYPERLINK("https://www.youtube.com/watch?v=yIKsb_qTODo&amp;t=11s", "Go to time")</f>
        <v/>
      </c>
    </row>
    <row r="7514">
      <c r="A7514">
        <f>HYPERLINK("https://www.youtube.com/watch?v=yIKsb_qTODo", "Video")</f>
        <v/>
      </c>
      <c r="B7514" t="inlineStr">
        <is>
          <t>0:25</t>
        </is>
      </c>
      <c r="C7514" t="inlineStr">
        <is>
          <t>habits caused by anxiety</t>
        </is>
      </c>
      <c r="D7514">
        <f>HYPERLINK("https://www.youtube.com/watch?v=yIKsb_qTODo&amp;t=25s", "Go to time")</f>
        <v/>
      </c>
    </row>
    <row r="7515">
      <c r="A7515">
        <f>HYPERLINK("https://www.youtube.com/watch?v=yIKsb_qTODo", "Video")</f>
        <v/>
      </c>
      <c r="B7515" t="inlineStr">
        <is>
          <t>0:59</t>
        </is>
      </c>
      <c r="C7515" t="inlineStr">
        <is>
          <t>do you have a nervous tic like biting</t>
        </is>
      </c>
      <c r="D7515">
        <f>HYPERLINK("https://www.youtube.com/watch?v=yIKsb_qTODo&amp;t=59s", "Go to time")</f>
        <v/>
      </c>
    </row>
    <row r="7516">
      <c r="A7516">
        <f>HYPERLINK("https://www.youtube.com/watch?v=yIKsb_qTODo", "Video")</f>
        <v/>
      </c>
      <c r="B7516" t="inlineStr">
        <is>
          <t>1:08</t>
        </is>
      </c>
      <c r="C7516" t="inlineStr">
        <is>
          <t>little habits like these are called</t>
        </is>
      </c>
      <c r="D7516">
        <f>HYPERLINK("https://www.youtube.com/watch?v=yIKsb_qTODo&amp;t=68s", "Go to time")</f>
        <v/>
      </c>
    </row>
    <row r="7517">
      <c r="A7517">
        <f>HYPERLINK("https://www.youtube.com/watch?v=yIKsb_qTODo", "Video")</f>
        <v/>
      </c>
      <c r="B7517" t="inlineStr">
        <is>
          <t>1:20</t>
        </is>
      </c>
      <c r="C7517" t="inlineStr">
        <is>
          <t>asking everyone's opinions another habit</t>
        </is>
      </c>
      <c r="D7517">
        <f>HYPERLINK("https://www.youtube.com/watch?v=yIKsb_qTODo&amp;t=80s", "Go to time")</f>
        <v/>
      </c>
    </row>
    <row r="7518">
      <c r="A7518">
        <f>HYPERLINK("https://www.youtube.com/watch?v=yIKsb_qTODo", "Video")</f>
        <v/>
      </c>
      <c r="B7518" t="inlineStr">
        <is>
          <t>2:08</t>
        </is>
      </c>
      <c r="C7518" t="inlineStr">
        <is>
          <t>will have a habit of avoiding certain</t>
        </is>
      </c>
      <c r="D7518">
        <f>HYPERLINK("https://www.youtube.com/watch?v=yIKsb_qTODo&amp;t=128s", "Go to time")</f>
        <v/>
      </c>
    </row>
    <row r="7519">
      <c r="A7519">
        <f>HYPERLINK("https://www.youtube.com/watch?v=H8rtCq71d6g", "Video")</f>
        <v/>
      </c>
      <c r="B7519" t="inlineStr">
        <is>
          <t>4:28</t>
        </is>
      </c>
      <c r="C7519" t="inlineStr">
        <is>
          <t>a less ambitious career they're often</t>
        </is>
      </c>
      <c r="D7519">
        <f>HYPERLINK("https://www.youtube.com/watch?v=H8rtCq71d6g&amp;t=268s", "Go to time")</f>
        <v/>
      </c>
    </row>
    <row r="7520">
      <c r="A7520">
        <f>HYPERLINK("https://www.youtube.com/watch?v=Usi8yGpYzZM", "Video")</f>
        <v/>
      </c>
      <c r="B7520" t="inlineStr">
        <is>
          <t>2:37</t>
        </is>
      </c>
      <c r="C7520" t="inlineStr">
        <is>
          <t>you they seem a bit nervous?</t>
        </is>
      </c>
      <c r="D7520">
        <f>HYPERLINK("https://www.youtube.com/watch?v=Usi8yGpYzZM&amp;t=157s", "Go to time")</f>
        <v/>
      </c>
    </row>
    <row r="7521">
      <c r="A7521">
        <f>HYPERLINK("https://www.youtube.com/watch?v=Usi8yGpYzZM", "Video")</f>
        <v/>
      </c>
      <c r="B7521" t="inlineStr">
        <is>
          <t>3:06</t>
        </is>
      </c>
      <c r="C7521" t="inlineStr">
        <is>
          <t>appeared a bit nervous,</t>
        </is>
      </c>
      <c r="D7521">
        <f>HYPERLINK("https://www.youtube.com/watch?v=Usi8yGpYzZM&amp;t=186s", "Go to time")</f>
        <v/>
      </c>
    </row>
    <row r="7522">
      <c r="A7522">
        <f>HYPERLINK("https://www.youtube.com/watch?v=0UMg0S_jusk", "Video")</f>
        <v/>
      </c>
      <c r="B7522" t="inlineStr">
        <is>
          <t>0:16</t>
        </is>
      </c>
      <c r="C7522" t="inlineStr">
        <is>
          <t>Bittersweet truth is that we all crave</t>
        </is>
      </c>
      <c r="D7522">
        <f>HYPERLINK("https://www.youtube.com/watch?v=0UMg0S_jusk&amp;t=16s", "Go to time")</f>
        <v/>
      </c>
    </row>
    <row r="7523">
      <c r="A7523">
        <f>HYPERLINK("https://www.youtube.com/watch?v=fK7e1EENOGA", "Video")</f>
        <v/>
      </c>
      <c r="B7523" t="inlineStr">
        <is>
          <t>0:23</t>
        </is>
      </c>
      <c r="C7523" t="inlineStr">
        <is>
          <t>this is a TV show and this is a bit</t>
        </is>
      </c>
      <c r="D7523">
        <f>HYPERLINK("https://www.youtube.com/watch?v=fK7e1EENOGA&amp;t=23s", "Go to time")</f>
        <v/>
      </c>
    </row>
    <row r="7524">
      <c r="A7524">
        <f>HYPERLINK("https://www.youtube.com/watch?v=3XXcOY7keuc", "Video")</f>
        <v/>
      </c>
      <c r="B7524" t="inlineStr">
        <is>
          <t>1:36</t>
        </is>
      </c>
      <c r="C7524" t="inlineStr">
        <is>
          <t>are all great habits to practice,
to have more self-respect.</t>
        </is>
      </c>
      <c r="D7524">
        <f>HYPERLINK("https://www.youtube.com/watch?v=3XXcOY7keuc&amp;t=96s", "Go to time")</f>
        <v/>
      </c>
    </row>
    <row r="7525">
      <c r="A7525">
        <f>HYPERLINK("https://www.youtube.com/watch?v=YCCWEXKc_R0", "Video")</f>
        <v/>
      </c>
      <c r="B7525" t="inlineStr">
        <is>
          <t>2:16</t>
        </is>
      </c>
      <c r="C7525" t="inlineStr">
        <is>
          <t>sleep and eating habits more</t>
        </is>
      </c>
      <c r="D7525">
        <f>HYPERLINK("https://www.youtube.com/watch?v=YCCWEXKc_R0&amp;t=136s", "Go to time")</f>
        <v/>
      </c>
    </row>
    <row r="7526">
      <c r="A7526">
        <f>HYPERLINK("https://www.youtube.com/watch?v=YCCWEXKc_R0", "Video")</f>
        <v/>
      </c>
      <c r="B7526" t="inlineStr">
        <is>
          <t>2:20</t>
        </is>
      </c>
      <c r="C7526" t="inlineStr">
        <is>
          <t>habits this is the reason why some binge</t>
        </is>
      </c>
      <c r="D7526">
        <f>HYPERLINK("https://www.youtube.com/watch?v=YCCWEXKc_R0&amp;t=140s", "Go to time")</f>
        <v/>
      </c>
    </row>
    <row r="7527">
      <c r="A7527">
        <f>HYPERLINK("https://www.youtube.com/watch?v=YCCWEXKc_R0", "Video")</f>
        <v/>
      </c>
      <c r="B7527" t="inlineStr">
        <is>
          <t>2:24</t>
        </is>
      </c>
      <c r="C7527" t="inlineStr">
        <is>
          <t>much stress developing these new habits</t>
        </is>
      </c>
      <c r="D7527">
        <f>HYPERLINK("https://www.youtube.com/watch?v=YCCWEXKc_R0&amp;t=144s", "Go to time")</f>
        <v/>
      </c>
    </row>
    <row r="7528">
      <c r="A7528">
        <f>HYPERLINK("https://www.youtube.com/watch?v=JEzl3Nhg3Tk", "Video")</f>
        <v/>
      </c>
      <c r="B7528" t="inlineStr">
        <is>
          <t>2:20</t>
        </is>
      </c>
      <c r="C7528" t="inlineStr">
        <is>
          <t>a bit neglected Paul says that when you</t>
        </is>
      </c>
      <c r="D7528">
        <f>HYPERLINK("https://www.youtube.com/watch?v=JEzl3Nhg3Tk&amp;t=140s", "Go to time")</f>
        <v/>
      </c>
    </row>
    <row r="7529">
      <c r="A7529">
        <f>HYPERLINK("https://www.youtube.com/watch?v=JEzl3Nhg3Tk", "Video")</f>
        <v/>
      </c>
      <c r="B7529" t="inlineStr">
        <is>
          <t>6:38</t>
        </is>
      </c>
      <c r="C7529" t="inlineStr">
        <is>
          <t>bit detached in response to your joy if</t>
        </is>
      </c>
      <c r="D7529">
        <f>HYPERLINK("https://www.youtube.com/watch?v=JEzl3Nhg3Tk&amp;t=398s", "Go to time")</f>
        <v/>
      </c>
    </row>
    <row r="7530">
      <c r="A7530">
        <f>HYPERLINK("https://www.youtube.com/watch?v=xKBAZkhI800", "Video")</f>
        <v/>
      </c>
      <c r="B7530" t="inlineStr">
        <is>
          <t>3:57</t>
        </is>
      </c>
      <c r="C7530" t="inlineStr">
        <is>
          <t>relationship habits but they are also</t>
        </is>
      </c>
      <c r="D7530">
        <f>HYPERLINK("https://www.youtube.com/watch?v=xKBAZkhI800&amp;t=237s", "Go to time")</f>
        <v/>
      </c>
    </row>
    <row r="7531">
      <c r="A7531">
        <f>HYPERLINK("https://www.youtube.com/watch?v=11GJTYH9jyQ", "Video")</f>
        <v/>
      </c>
      <c r="B7531" t="inlineStr">
        <is>
          <t>0:03</t>
        </is>
      </c>
      <c r="C7531" t="inlineStr">
        <is>
          <t>a bit of sexual attention with someone</t>
        </is>
      </c>
      <c r="D7531">
        <f>HYPERLINK("https://www.youtube.com/watch?v=11GJTYH9jyQ&amp;t=3s", "Go to time")</f>
        <v/>
      </c>
    </row>
    <row r="7532">
      <c r="A7532">
        <f>HYPERLINK("https://www.youtube.com/watch?v=11GJTYH9jyQ", "Video")</f>
        <v/>
      </c>
      <c r="B7532" t="inlineStr">
        <is>
          <t>1:33</t>
        </is>
      </c>
      <c r="C7532" t="inlineStr">
        <is>
          <t>held back a bit of hesitancy and then</t>
        </is>
      </c>
      <c r="D7532">
        <f>HYPERLINK("https://www.youtube.com/watch?v=11GJTYH9jyQ&amp;t=93s", "Go to time")</f>
        <v/>
      </c>
    </row>
    <row r="7533">
      <c r="A7533">
        <f>HYPERLINK("https://www.youtube.com/watch?v=11GJTYH9jyQ", "Video")</f>
        <v/>
      </c>
      <c r="B7533" t="inlineStr">
        <is>
          <t>3:45</t>
        </is>
      </c>
      <c r="C7533" t="inlineStr">
        <is>
          <t>contact a bit longer than with others</t>
        </is>
      </c>
      <c r="D7533">
        <f>HYPERLINK("https://www.youtube.com/watch?v=11GJTYH9jyQ&amp;t=225s", "Go to time")</f>
        <v/>
      </c>
    </row>
    <row r="7534">
      <c r="A7534">
        <f>HYPERLINK("https://www.youtube.com/watch?v=uwON2wO0eNg", "Video")</f>
        <v/>
      </c>
      <c r="B7534" t="inlineStr">
        <is>
          <t>3:40</t>
        </is>
      </c>
      <c r="C7534" t="inlineStr">
        <is>
          <t>romantic partner displaying a bit of</t>
        </is>
      </c>
      <c r="D7534">
        <f>HYPERLINK("https://www.youtube.com/watch?v=uwON2wO0eNg&amp;t=220s", "Go to time")</f>
        <v/>
      </c>
    </row>
    <row r="7535">
      <c r="A7535">
        <f>HYPERLINK("https://www.youtube.com/watch?v=gLEX4iS1qjw", "Video")</f>
        <v/>
      </c>
      <c r="B7535" t="inlineStr">
        <is>
          <t>0:12</t>
        </is>
      </c>
      <c r="C7535" t="inlineStr">
        <is>
          <t>Many of them share a lot
of mannerisms and habits.</t>
        </is>
      </c>
      <c r="D7535">
        <f>HYPERLINK("https://www.youtube.com/watch?v=gLEX4iS1qjw&amp;t=12s", "Go to time")</f>
        <v/>
      </c>
    </row>
    <row r="7536">
      <c r="A7536">
        <f>HYPERLINK("https://www.youtube.com/watch?v=gLEX4iS1qjw", "Video")</f>
        <v/>
      </c>
      <c r="B7536" t="inlineStr">
        <is>
          <t>0:16</t>
        </is>
      </c>
      <c r="C7536" t="inlineStr">
        <is>
          <t>These habits probably
aren't what you think.</t>
        </is>
      </c>
      <c r="D7536">
        <f>HYPERLINK("https://www.youtube.com/watch?v=gLEX4iS1qjw&amp;t=16s", "Go to time")</f>
        <v/>
      </c>
    </row>
    <row r="7537">
      <c r="A7537">
        <f>HYPERLINK("https://www.youtube.com/watch?v=gLEX4iS1qjw", "Video")</f>
        <v/>
      </c>
      <c r="B7537" t="inlineStr">
        <is>
          <t>0:21</t>
        </is>
      </c>
      <c r="C7537" t="inlineStr">
        <is>
          <t>but most surprising and unusual habits,</t>
        </is>
      </c>
      <c r="D7537">
        <f>HYPERLINK("https://www.youtube.com/watch?v=gLEX4iS1qjw&amp;t=21s", "Go to time")</f>
        <v/>
      </c>
    </row>
    <row r="7538">
      <c r="A7538">
        <f>HYPERLINK("https://www.youtube.com/watch?v=gLEX4iS1qjw", "Video")</f>
        <v/>
      </c>
      <c r="B7538" t="inlineStr">
        <is>
          <t>2:04</t>
        </is>
      </c>
      <c r="C7538" t="inlineStr">
        <is>
          <t>Another habit that might surprise you</t>
        </is>
      </c>
      <c r="D7538">
        <f>HYPERLINK("https://www.youtube.com/watch?v=gLEX4iS1qjw&amp;t=124s", "Go to time")</f>
        <v/>
      </c>
    </row>
    <row r="7539">
      <c r="A7539">
        <f>HYPERLINK("https://www.youtube.com/watch?v=gLEX4iS1qjw", "Video")</f>
        <v/>
      </c>
      <c r="B7539" t="inlineStr">
        <is>
          <t>2:35</t>
        </is>
      </c>
      <c r="C7539" t="inlineStr">
        <is>
          <t>While we find it a bit
embarrassing to admit,</t>
        </is>
      </c>
      <c r="D7539">
        <f>HYPERLINK("https://www.youtube.com/watch?v=gLEX4iS1qjw&amp;t=155s", "Go to time")</f>
        <v/>
      </c>
    </row>
    <row r="7540">
      <c r="A7540">
        <f>HYPERLINK("https://www.youtube.com/watch?v=gLEX4iS1qjw", "Video")</f>
        <v/>
      </c>
      <c r="B7540" t="inlineStr">
        <is>
          <t>2:40</t>
        </is>
      </c>
      <c r="C7540" t="inlineStr">
        <is>
          <t>a habit of talking to ourselves.</t>
        </is>
      </c>
      <c r="D7540">
        <f>HYPERLINK("https://www.youtube.com/watch?v=gLEX4iS1qjw&amp;t=160s", "Go to time")</f>
        <v/>
      </c>
    </row>
    <row r="7541">
      <c r="A7541">
        <f>HYPERLINK("https://www.youtube.com/watch?v=dBG-JEDkl5c", "Video")</f>
        <v/>
      </c>
      <c r="B7541" t="inlineStr">
        <is>
          <t>5:12</t>
        </is>
      </c>
      <c r="C7541" t="inlineStr">
        <is>
          <t>habits Define you</t>
        </is>
      </c>
      <c r="D7541">
        <f>HYPERLINK("https://www.youtube.com/watch?v=dBG-JEDkl5c&amp;t=312s", "Go to time")</f>
        <v/>
      </c>
    </row>
    <row r="7542">
      <c r="A7542">
        <f>HYPERLINK("https://www.youtube.com/watch?v=mC-gK_1fcnQ", "Video")</f>
        <v/>
      </c>
      <c r="B7542" t="inlineStr">
        <is>
          <t>5:18</t>
        </is>
      </c>
      <c r="C7542" t="inlineStr">
        <is>
          <t>it's not always easy being a bit</t>
        </is>
      </c>
      <c r="D7542">
        <f>HYPERLINK("https://www.youtube.com/watch?v=mC-gK_1fcnQ&amp;t=318s", "Go to time")</f>
        <v/>
      </c>
    </row>
    <row r="7543">
      <c r="A7543">
        <f>HYPERLINK("https://www.youtube.com/watch?v=RSUMYuk-PfU", "Video")</f>
        <v/>
      </c>
      <c r="B7543" t="inlineStr">
        <is>
          <t>5:35</t>
        </is>
      </c>
      <c r="C7543" t="inlineStr">
        <is>
          <t>Habits especially when you're trying to</t>
        </is>
      </c>
      <c r="D7543">
        <f>HYPERLINK("https://www.youtube.com/watch?v=RSUMYuk-PfU&amp;t=335s", "Go to time")</f>
        <v/>
      </c>
    </row>
    <row r="7544">
      <c r="A7544">
        <f>HYPERLINK("https://www.youtube.com/watch?v=RSUMYuk-PfU", "Video")</f>
        <v/>
      </c>
      <c r="B7544" t="inlineStr">
        <is>
          <t>5:49</t>
        </is>
      </c>
      <c r="C7544" t="inlineStr">
        <is>
          <t>it may be a bit easier when they're</t>
        </is>
      </c>
      <c r="D7544">
        <f>HYPERLINK("https://www.youtube.com/watch?v=RSUMYuk-PfU&amp;t=349s", "Go to time")</f>
        <v/>
      </c>
    </row>
    <row r="7545">
      <c r="A7545">
        <f>HYPERLINK("https://www.youtube.com/watch?v=aDVKtZLxtnY", "Video")</f>
        <v/>
      </c>
      <c r="B7545" t="inlineStr">
        <is>
          <t>1:06</t>
        </is>
      </c>
      <c r="C7545" t="inlineStr">
        <is>
          <t>habit it may be difficult to notice when</t>
        </is>
      </c>
      <c r="D7545">
        <f>HYPERLINK("https://www.youtube.com/watch?v=aDVKtZLxtnY&amp;t=66s", "Go to time")</f>
        <v/>
      </c>
    </row>
    <row r="7546">
      <c r="A7546">
        <f>HYPERLINK("https://www.youtube.com/watch?v=aDVKtZLxtnY", "Video")</f>
        <v/>
      </c>
      <c r="B7546" t="inlineStr">
        <is>
          <t>1:13</t>
        </is>
      </c>
      <c r="C7546" t="inlineStr">
        <is>
          <t>the key to Breaking this habit is</t>
        </is>
      </c>
      <c r="D7546">
        <f>HYPERLINK("https://www.youtube.com/watch?v=aDVKtZLxtnY&amp;t=73s", "Go to time")</f>
        <v/>
      </c>
    </row>
    <row r="7547">
      <c r="A7547">
        <f>HYPERLINK("https://www.youtube.com/watch?v=lJDAkAHXEqg", "Video")</f>
        <v/>
      </c>
      <c r="B7547" t="inlineStr">
        <is>
          <t>2:47</t>
        </is>
      </c>
      <c r="C7547" t="inlineStr">
        <is>
          <t>and we bet it was at least a
little bit fun to imagine that.</t>
        </is>
      </c>
      <c r="D7547">
        <f>HYPERLINK("https://www.youtube.com/watch?v=lJDAkAHXEqg&amp;t=167s", "Go to time")</f>
        <v/>
      </c>
    </row>
    <row r="7548">
      <c r="A7548">
        <f>HYPERLINK("https://www.youtube.com/watch?v=zov-4pGUik8", "Video")</f>
        <v/>
      </c>
      <c r="B7548" t="inlineStr">
        <is>
          <t>2:08</t>
        </is>
      </c>
      <c r="C7548" t="inlineStr">
        <is>
          <t>possible that you got a little bit of</t>
        </is>
      </c>
      <c r="D7548">
        <f>HYPERLINK("https://www.youtube.com/watch?v=zov-4pGUik8&amp;t=128s", "Go to time")</f>
        <v/>
      </c>
    </row>
    <row r="7549">
      <c r="A7549">
        <f>HYPERLINK("https://www.youtube.com/watch?v=WostIaeJaEc", "Video")</f>
        <v/>
      </c>
      <c r="B7549" t="inlineStr">
        <is>
          <t>1:49</t>
        </is>
      </c>
      <c r="C7549" t="inlineStr">
        <is>
          <t>or perhaps you have a habit</t>
        </is>
      </c>
      <c r="D7549">
        <f>HYPERLINK("https://www.youtube.com/watch?v=WostIaeJaEc&amp;t=109s", "Go to time")</f>
        <v/>
      </c>
    </row>
    <row r="7550">
      <c r="A7550">
        <f>HYPERLINK("https://www.youtube.com/watch?v=vU3r73yJTSQ", "Video")</f>
        <v/>
      </c>
      <c r="B7550" t="inlineStr">
        <is>
          <t>0:25</t>
        </is>
      </c>
      <c r="C7550" t="inlineStr">
        <is>
          <t>sound a bit strange but it's true an</t>
        </is>
      </c>
      <c r="D7550">
        <f>HYPERLINK("https://www.youtube.com/watch?v=vU3r73yJTSQ&amp;t=25s", "Go to time")</f>
        <v/>
      </c>
    </row>
    <row r="7551">
      <c r="A7551">
        <f>HYPERLINK("https://www.youtube.com/watch?v=vU3r73yJTSQ", "Video")</f>
        <v/>
      </c>
      <c r="B7551" t="inlineStr">
        <is>
          <t>2:25</t>
        </is>
      </c>
      <c r="C7551" t="inlineStr">
        <is>
          <t>gently biting this combination of</t>
        </is>
      </c>
      <c r="D7551">
        <f>HYPERLINK("https://www.youtube.com/watch?v=vU3r73yJTSQ&amp;t=145s", "Go to time")</f>
        <v/>
      </c>
    </row>
    <row r="7552">
      <c r="A7552">
        <f>HYPERLINK("https://www.youtube.com/watch?v=vU3r73yJTSQ", "Video")</f>
        <v/>
      </c>
      <c r="B7552" t="inlineStr">
        <is>
          <t>4:23</t>
        </is>
      </c>
      <c r="C7552" t="inlineStr">
        <is>
          <t>explains why you might feel a bit out of</t>
        </is>
      </c>
      <c r="D7552">
        <f>HYPERLINK("https://www.youtube.com/watch?v=vU3r73yJTSQ&amp;t=263s", "Go to time")</f>
        <v/>
      </c>
    </row>
    <row r="7553">
      <c r="A7553">
        <f>HYPERLINK("https://www.youtube.com/watch?v=vU3r73yJTSQ", "Video")</f>
        <v/>
      </c>
      <c r="B7553" t="inlineStr">
        <is>
          <t>4:25</t>
        </is>
      </c>
      <c r="C7553" t="inlineStr">
        <is>
          <t>control involuntarily scream a bit</t>
        </is>
      </c>
      <c r="D7553">
        <f>HYPERLINK("https://www.youtube.com/watch?v=vU3r73yJTSQ&amp;t=265s", "Go to time")</f>
        <v/>
      </c>
    </row>
    <row r="7554">
      <c r="A7554">
        <f>HYPERLINK("https://www.youtube.com/watch?v=V_yYeP5etiA", "Video")</f>
        <v/>
      </c>
      <c r="B7554" t="inlineStr">
        <is>
          <t>1:57</t>
        </is>
      </c>
      <c r="C7554" t="inlineStr">
        <is>
          <t>in your eating habits whether it's</t>
        </is>
      </c>
      <c r="D7554">
        <f>HYPERLINK("https://www.youtube.com/watch?v=V_yYeP5etiA&amp;t=117s", "Go to time")</f>
        <v/>
      </c>
    </row>
    <row r="7555">
      <c r="A7555">
        <f>HYPERLINK("https://www.youtube.com/watch?v=V_yYeP5etiA", "Video")</f>
        <v/>
      </c>
      <c r="B7555" t="inlineStr">
        <is>
          <t>4:52</t>
        </is>
      </c>
      <c r="C7555" t="inlineStr">
        <is>
          <t>why your bad habits keep winning and</t>
        </is>
      </c>
      <c r="D7555">
        <f>HYPERLINK("https://www.youtube.com/watch?v=V_yYeP5etiA&amp;t=292s", "Go to time")</f>
        <v/>
      </c>
    </row>
    <row r="7556">
      <c r="A7556">
        <f>HYPERLINK("https://www.youtube.com/watch?v=V_yYeP5etiA", "Video")</f>
        <v/>
      </c>
      <c r="B7556" t="inlineStr">
        <is>
          <t>4:54</t>
        </is>
      </c>
      <c r="C7556" t="inlineStr">
        <is>
          <t>harmful habits are hurting you without</t>
        </is>
      </c>
      <c r="D7556">
        <f>HYPERLINK("https://www.youtube.com/watch?v=V_yYeP5etiA&amp;t=294s", "Go to time")</f>
        <v/>
      </c>
    </row>
    <row r="7557">
      <c r="A7557">
        <f>HYPERLINK("https://www.youtube.com/watch?v=D8jMB2KpCN0", "Video")</f>
        <v/>
      </c>
      <c r="B7557" t="inlineStr">
        <is>
          <t>1:35</t>
        </is>
      </c>
      <c r="C7557" t="inlineStr">
        <is>
          <t>with strangers a bit more,
but you're still friendless.</t>
        </is>
      </c>
      <c r="D7557">
        <f>HYPERLINK("https://www.youtube.com/watch?v=D8jMB2KpCN0&amp;t=95s", "Go to time")</f>
        <v/>
      </c>
    </row>
    <row r="7558">
      <c r="A7558">
        <f>HYPERLINK("https://www.youtube.com/watch?v=D8jMB2KpCN0", "Video")</f>
        <v/>
      </c>
      <c r="B7558" t="inlineStr">
        <is>
          <t>1:51</t>
        </is>
      </c>
      <c r="C7558" t="inlineStr">
        <is>
          <t>but after talking with them a bit,</t>
        </is>
      </c>
      <c r="D7558">
        <f>HYPERLINK("https://www.youtube.com/watch?v=D8jMB2KpCN0&amp;t=111s", "Go to time")</f>
        <v/>
      </c>
    </row>
    <row r="7559">
      <c r="A7559">
        <f>HYPERLINK("https://www.youtube.com/watch?v=D8jMB2KpCN0", "Video")</f>
        <v/>
      </c>
      <c r="B7559" t="inlineStr">
        <is>
          <t>3:08</t>
        </is>
      </c>
      <c r="C7559" t="inlineStr">
        <is>
          <t>and if it is, it's totally
fine to feel a bit awkward,</t>
        </is>
      </c>
      <c r="D7559">
        <f>HYPERLINK("https://www.youtube.com/watch?v=D8jMB2KpCN0&amp;t=188s", "Go to time")</f>
        <v/>
      </c>
    </row>
    <row r="7560">
      <c r="A7560">
        <f>HYPERLINK("https://www.youtube.com/watch?v=nsDF1Ce7Xo4", "Video")</f>
        <v/>
      </c>
      <c r="B7560" t="inlineStr">
        <is>
          <t>2:08</t>
        </is>
      </c>
      <c r="C7560" t="inlineStr">
        <is>
          <t>found that employees could exhibit</t>
        </is>
      </c>
      <c r="D7560">
        <f>HYPERLINK("https://www.youtube.com/watch?v=nsDF1Ce7Xo4&amp;t=128s", "Go to time")</f>
        <v/>
      </c>
    </row>
    <row r="7561">
      <c r="A7561">
        <f>HYPERLINK("https://www.youtube.com/watch?v=nsDF1Ce7Xo4", "Video")</f>
        <v/>
      </c>
      <c r="B7561" t="inlineStr">
        <is>
          <t>3:01</t>
        </is>
      </c>
      <c r="C7561" t="inlineStr">
        <is>
          <t>might be a bit weird if they start</t>
        </is>
      </c>
      <c r="D7561">
        <f>HYPERLINK("https://www.youtube.com/watch?v=nsDF1Ce7Xo4&amp;t=181s", "Go to time")</f>
        <v/>
      </c>
    </row>
    <row r="7562">
      <c r="A7562">
        <f>HYPERLINK("https://www.youtube.com/watch?v=nsDF1Ce7Xo4", "Video")</f>
        <v/>
      </c>
      <c r="B7562" t="inlineStr">
        <is>
          <t>5:05</t>
        </is>
      </c>
      <c r="C7562" t="inlineStr">
        <is>
          <t>rate you might be a bit more hesitant to</t>
        </is>
      </c>
      <c r="D7562">
        <f>HYPERLINK("https://www.youtube.com/watch?v=nsDF1Ce7Xo4&amp;t=305s", "Go to time")</f>
        <v/>
      </c>
    </row>
    <row r="7563">
      <c r="A7563">
        <f>HYPERLINK("https://www.youtube.com/watch?v=Swp5K_BU8m4", "Video")</f>
        <v/>
      </c>
      <c r="B7563" t="inlineStr">
        <is>
          <t>0:45</t>
        </is>
      </c>
      <c r="C7563" t="inlineStr">
        <is>
          <t>psych2go for a bit we know a lot of our</t>
        </is>
      </c>
      <c r="D7563">
        <f>HYPERLINK("https://www.youtube.com/watch?v=Swp5K_BU8m4&amp;t=45s", "Go to time")</f>
        <v/>
      </c>
    </row>
    <row r="7564">
      <c r="A7564">
        <f>HYPERLINK("https://www.youtube.com/watch?v=gnZYs6wr7Gw", "Video")</f>
        <v/>
      </c>
      <c r="B7564" t="inlineStr">
        <is>
          <t>3:55</t>
        </is>
      </c>
      <c r="C7564" t="inlineStr">
        <is>
          <t>the situation a tiny bit more tolerable</t>
        </is>
      </c>
      <c r="D7564">
        <f>HYPERLINK("https://www.youtube.com/watch?v=gnZYs6wr7Gw&amp;t=235s", "Go to time")</f>
        <v/>
      </c>
    </row>
    <row r="7565">
      <c r="A7565">
        <f>HYPERLINK("https://www.youtube.com/watch?v=ILE69JPtPxQ", "Video")</f>
        <v/>
      </c>
      <c r="B7565" t="inlineStr">
        <is>
          <t>1:41</t>
        </is>
      </c>
      <c r="C7565" t="inlineStr">
        <is>
          <t>with this person you hate becomes
tinted by this bitterness.</t>
        </is>
      </c>
      <c r="D7565">
        <f>HYPERLINK("https://www.youtube.com/watch?v=ILE69JPtPxQ&amp;t=101s", "Go to time")</f>
        <v/>
      </c>
    </row>
    <row r="7566">
      <c r="A7566">
        <f>HYPERLINK("https://www.youtube.com/watch?v=ILE69JPtPxQ", "Video")</f>
        <v/>
      </c>
      <c r="B7566" t="inlineStr">
        <is>
          <t>3:11</t>
        </is>
      </c>
      <c r="C7566" t="inlineStr">
        <is>
          <t>and when we hate that
bitterness stops being about</t>
        </is>
      </c>
      <c r="D7566">
        <f>HYPERLINK("https://www.youtube.com/watch?v=ILE69JPtPxQ&amp;t=191s", "Go to time")</f>
        <v/>
      </c>
    </row>
    <row r="7567">
      <c r="A7567">
        <f>HYPERLINK("https://www.youtube.com/watch?v=ILE69JPtPxQ", "Video")</f>
        <v/>
      </c>
      <c r="B7567" t="inlineStr">
        <is>
          <t>4:46</t>
        </is>
      </c>
      <c r="C7567" t="inlineStr">
        <is>
          <t>One filled with bitterness and resentment,</t>
        </is>
      </c>
      <c r="D7567">
        <f>HYPERLINK("https://www.youtube.com/watch?v=ILE69JPtPxQ&amp;t=286s", "Go to time")</f>
        <v/>
      </c>
    </row>
    <row r="7568">
      <c r="A7568">
        <f>HYPERLINK("https://www.youtube.com/watch?v=zRos2vXPOUA", "Video")</f>
        <v/>
      </c>
      <c r="B7568" t="inlineStr">
        <is>
          <t>2:17</t>
        </is>
      </c>
      <c r="C7568" t="inlineStr">
        <is>
          <t>decisions are born out of negative habit</t>
        </is>
      </c>
      <c r="D7568">
        <f>HYPERLINK("https://www.youtube.com/watch?v=zRos2vXPOUA&amp;t=137s", "Go to time")</f>
        <v/>
      </c>
    </row>
    <row r="7569">
      <c r="A7569">
        <f>HYPERLINK("https://www.youtube.com/watch?v=zRos2vXPOUA", "Video")</f>
        <v/>
      </c>
      <c r="B7569" t="inlineStr">
        <is>
          <t>4:07</t>
        </is>
      </c>
      <c r="C7569" t="inlineStr">
        <is>
          <t>habits adaptability and resilience the</t>
        </is>
      </c>
      <c r="D7569">
        <f>HYPERLINK("https://www.youtube.com/watch?v=zRos2vXPOUA&amp;t=247s", "Go to time")</f>
        <v/>
      </c>
    </row>
    <row r="7570">
      <c r="A7570">
        <f>HYPERLINK("https://www.youtube.com/watch?v=vklH1IKRusA", "Video")</f>
        <v/>
      </c>
      <c r="B7570" t="inlineStr">
        <is>
          <t>2:20</t>
        </is>
      </c>
      <c r="C7570" t="inlineStr">
        <is>
          <t>habitual liars and exhibit narcissistic</t>
        </is>
      </c>
      <c r="D7570">
        <f>HYPERLINK("https://www.youtube.com/watch?v=vklH1IKRusA&amp;t=140s", "Go to time")</f>
        <v/>
      </c>
    </row>
    <row r="7571">
      <c r="A7571">
        <f>HYPERLINK("https://www.youtube.com/watch?v=vklH1IKRusA", "Video")</f>
        <v/>
      </c>
      <c r="B7571" t="inlineStr">
        <is>
          <t>2:33</t>
        </is>
      </c>
      <c r="C7571" t="inlineStr">
        <is>
          <t>they are habitual Liars their lies sound</t>
        </is>
      </c>
      <c r="D7571">
        <f>HYPERLINK("https://www.youtube.com/watch?v=vklH1IKRusA&amp;t=153s", "Go to time")</f>
        <v/>
      </c>
    </row>
    <row r="7572">
      <c r="A7572">
        <f>HYPERLINK("https://www.youtube.com/watch?v=ycmr9D5YVz8", "Video")</f>
        <v/>
      </c>
      <c r="B7572" t="inlineStr">
        <is>
          <t>0:50</t>
        </is>
      </c>
      <c r="C7572" t="inlineStr">
        <is>
          <t>thoughts a bit better in this video we</t>
        </is>
      </c>
      <c r="D7572">
        <f>HYPERLINK("https://www.youtube.com/watch?v=ycmr9D5YVz8&amp;t=50s", "Go to time")</f>
        <v/>
      </c>
    </row>
    <row r="7573">
      <c r="A7573">
        <f>HYPERLINK("https://www.youtube.com/watch?v=_MPWmH922Kk", "Video")</f>
        <v/>
      </c>
      <c r="B7573" t="inlineStr">
        <is>
          <t>5:04</t>
        </is>
      </c>
      <c r="C7573" t="inlineStr">
        <is>
          <t>while everyone has their own habits and</t>
        </is>
      </c>
      <c r="D7573">
        <f>HYPERLINK("https://www.youtube.com/watch?v=_MPWmH922Kk&amp;t=304s", "Go to time")</f>
        <v/>
      </c>
    </row>
    <row r="7574">
      <c r="A7574">
        <f>HYPERLINK("https://www.youtube.com/watch?v=7lpDhM-d6f0", "Video")</f>
        <v/>
      </c>
      <c r="B7574" t="inlineStr">
        <is>
          <t>1:07</t>
        </is>
      </c>
      <c r="C7574" t="inlineStr">
        <is>
          <t>habits you create but I digress</t>
        </is>
      </c>
      <c r="D7574">
        <f>HYPERLINK("https://www.youtube.com/watch?v=7lpDhM-d6f0&amp;t=67s", "Go to time")</f>
        <v/>
      </c>
    </row>
    <row r="7575">
      <c r="A7575">
        <f>HYPERLINK("https://www.youtube.com/watch?v=wyV7-T4-F9g", "Video")</f>
        <v/>
      </c>
      <c r="B7575" t="inlineStr">
        <is>
          <t>0:06</t>
        </is>
      </c>
      <c r="C7575" t="inlineStr">
        <is>
          <t>certain way or maybe they're a bit</t>
        </is>
      </c>
      <c r="D7575">
        <f>HYPERLINK("https://www.youtube.com/watch?v=wyV7-T4-F9g&amp;t=6s", "Go to time")</f>
        <v/>
      </c>
    </row>
    <row r="7576">
      <c r="A7576">
        <f>HYPERLINK("https://www.youtube.com/watch?v=wyV7-T4-F9g", "Video")</f>
        <v/>
      </c>
      <c r="B7576" t="inlineStr">
        <is>
          <t>3:41</t>
        </is>
      </c>
      <c r="C7576" t="inlineStr">
        <is>
          <t>often hugs you a bit longer when you say</t>
        </is>
      </c>
      <c r="D7576">
        <f>HYPERLINK("https://www.youtube.com/watch?v=wyV7-T4-F9g&amp;t=221s", "Go to time")</f>
        <v/>
      </c>
    </row>
    <row r="7577">
      <c r="A7577">
        <f>HYPERLINK("https://www.youtube.com/watch?v=wyV7-T4-F9g", "Video")</f>
        <v/>
      </c>
      <c r="B7577" t="inlineStr">
        <is>
          <t>3:47</t>
        </is>
      </c>
      <c r="C7577" t="inlineStr">
        <is>
          <t>squeeze that just feels a bit more</t>
        </is>
      </c>
      <c r="D7577">
        <f>HYPERLINK("https://www.youtube.com/watch?v=wyV7-T4-F9g&amp;t=227s", "Go to time")</f>
        <v/>
      </c>
    </row>
    <row r="7578">
      <c r="A7578">
        <f>HYPERLINK("https://www.youtube.com/watch?v=wyV7-T4-F9g", "Video")</f>
        <v/>
      </c>
      <c r="B7578" t="inlineStr">
        <is>
          <t>4:49</t>
        </is>
      </c>
      <c r="C7578" t="inlineStr">
        <is>
          <t>their tone is starting to sound a bit</t>
        </is>
      </c>
      <c r="D7578">
        <f>HYPERLINK("https://www.youtube.com/watch?v=wyV7-T4-F9g&amp;t=289s", "Go to time")</f>
        <v/>
      </c>
    </row>
    <row r="7579">
      <c r="A7579">
        <f>HYPERLINK("https://www.youtube.com/watch?v=HZHwpGO9nAU", "Video")</f>
        <v/>
      </c>
      <c r="B7579" t="inlineStr">
        <is>
          <t>0:14</t>
        </is>
      </c>
      <c r="C7579" t="inlineStr">
        <is>
          <t>spending habits or struggling with bad</t>
        </is>
      </c>
      <c r="D7579">
        <f>HYPERLINK("https://www.youtube.com/watch?v=HZHwpGO9nAU&amp;t=14s", "Go to time")</f>
        <v/>
      </c>
    </row>
    <row r="7580">
      <c r="A7580">
        <f>HYPERLINK("https://www.youtube.com/watch?v=HZHwpGO9nAU", "Video")</f>
        <v/>
      </c>
      <c r="B7580" t="inlineStr">
        <is>
          <t>0:16</t>
        </is>
      </c>
      <c r="C7580" t="inlineStr">
        <is>
          <t>habits and addictions without treatment</t>
        </is>
      </c>
      <c r="D7580">
        <f>HYPERLINK("https://www.youtube.com/watch?v=HZHwpGO9nAU&amp;t=16s", "Go to time")</f>
        <v/>
      </c>
    </row>
    <row r="7581">
      <c r="A7581">
        <f>HYPERLINK("https://www.youtube.com/watch?v=pR45sZ0CSSA", "Video")</f>
        <v/>
      </c>
      <c r="B7581" t="inlineStr">
        <is>
          <t>2:48</t>
        </is>
      </c>
      <c r="C7581" t="inlineStr">
        <is>
          <t>who exhibit insecurities.</t>
        </is>
      </c>
      <c r="D7581">
        <f>HYPERLINK("https://www.youtube.com/watch?v=pR45sZ0CSSA&amp;t=168s", "Go to time")</f>
        <v/>
      </c>
    </row>
    <row r="7582">
      <c r="A7582">
        <f>HYPERLINK("https://www.youtube.com/watch?v=nAWpS34Cj7w", "Video")</f>
        <v/>
      </c>
      <c r="B7582" t="inlineStr">
        <is>
          <t>2:26</t>
        </is>
      </c>
      <c r="C7582" t="inlineStr">
        <is>
          <t>manifest as changing one's habits</t>
        </is>
      </c>
      <c r="D7582">
        <f>HYPERLINK("https://www.youtube.com/watch?v=nAWpS34Cj7w&amp;t=146s", "Go to time")</f>
        <v/>
      </c>
    </row>
    <row r="7583">
      <c r="A7583">
        <f>HYPERLINK("https://www.youtube.com/watch?v=w_eG8ulIYug", "Video")</f>
        <v/>
      </c>
      <c r="B7583" t="inlineStr">
        <is>
          <t>1:31</t>
        </is>
      </c>
      <c r="C7583" t="inlineStr">
        <is>
          <t>becomes a regular habit it is no longer</t>
        </is>
      </c>
      <c r="D7583">
        <f>HYPERLINK("https://www.youtube.com/watch?v=w_eG8ulIYug&amp;t=91s", "Go to time")</f>
        <v/>
      </c>
    </row>
    <row r="7584">
      <c r="A7584">
        <f>HYPERLINK("https://www.youtube.com/watch?v=w_eG8ulIYug", "Video")</f>
        <v/>
      </c>
      <c r="B7584" t="inlineStr">
        <is>
          <t>6:10</t>
        </is>
      </c>
      <c r="C7584" t="inlineStr">
        <is>
          <t>harmless habit or a casual Indulgence</t>
        </is>
      </c>
      <c r="D7584">
        <f>HYPERLINK("https://www.youtube.com/watch?v=w_eG8ulIYug&amp;t=370s", "Go to time")</f>
        <v/>
      </c>
    </row>
    <row r="7585">
      <c r="A7585">
        <f>HYPERLINK("https://www.youtube.com/watch?v=41PDJPrGAyo", "Video")</f>
        <v/>
      </c>
      <c r="B7585" t="inlineStr">
        <is>
          <t>0:05</t>
        </is>
      </c>
      <c r="C7585" t="inlineStr">
        <is>
          <t>feels so hard a bit like your Copus</t>
        </is>
      </c>
      <c r="D7585">
        <f>HYPERLINK("https://www.youtube.com/watch?v=41PDJPrGAyo&amp;t=5s", "Go to time")</f>
        <v/>
      </c>
    </row>
    <row r="7586">
      <c r="A7586">
        <f>HYPERLINK("https://www.youtube.com/watch?v=41PDJPrGAyo", "Video")</f>
        <v/>
      </c>
      <c r="B7586" t="inlineStr">
        <is>
          <t>3:36</t>
        </is>
      </c>
      <c r="C7586" t="inlineStr">
        <is>
          <t>the big stuff first or Atomic habits</t>
        </is>
      </c>
      <c r="D7586">
        <f>HYPERLINK("https://www.youtube.com/watch?v=41PDJPrGAyo&amp;t=216s", "Go to time")</f>
        <v/>
      </c>
    </row>
    <row r="7587">
      <c r="A7587">
        <f>HYPERLINK("https://www.youtube.com/watch?v=41PDJPrGAyo", "Video")</f>
        <v/>
      </c>
      <c r="B7587" t="inlineStr">
        <is>
          <t>5:05</t>
        </is>
      </c>
      <c r="C7587" t="inlineStr">
        <is>
          <t>bit of patience grit and self-awareness</t>
        </is>
      </c>
      <c r="D7587">
        <f>HYPERLINK("https://www.youtube.com/watch?v=41PDJPrGAyo&amp;t=305s", "Go to time")</f>
        <v/>
      </c>
    </row>
    <row r="7588">
      <c r="A7588">
        <f>HYPERLINK("https://www.youtube.com/watch?v=41PDJPrGAyo", "Video")</f>
        <v/>
      </c>
      <c r="B7588" t="inlineStr">
        <is>
          <t>5:11</t>
        </is>
      </c>
      <c r="C7588" t="inlineStr">
        <is>
          <t>mind to so what habit are you trying to</t>
        </is>
      </c>
      <c r="D7588">
        <f>HYPERLINK("https://www.youtube.com/watch?v=41PDJPrGAyo&amp;t=311s", "Go to time")</f>
        <v/>
      </c>
    </row>
    <row r="7589">
      <c r="A7589">
        <f>HYPERLINK("https://www.youtube.com/watch?v=41PDJPrGAyo", "Video")</f>
        <v/>
      </c>
      <c r="B7589" t="inlineStr">
        <is>
          <t>5:18</t>
        </is>
      </c>
      <c r="C7589" t="inlineStr">
        <is>
          <t>topic click here to watch six habits</t>
        </is>
      </c>
      <c r="D7589">
        <f>HYPERLINK("https://www.youtube.com/watch?v=41PDJPrGAyo&amp;t=318s", "Go to time")</f>
        <v/>
      </c>
    </row>
    <row r="7590">
      <c r="A7590">
        <f>HYPERLINK("https://www.youtube.com/watch?v=q_sXq341ryQ", "Video")</f>
        <v/>
      </c>
      <c r="B7590" t="inlineStr">
        <is>
          <t>0:42</t>
        </is>
      </c>
      <c r="C7590" t="inlineStr">
        <is>
          <t>you feel a bit down lately so here's why</t>
        </is>
      </c>
      <c r="D7590">
        <f>HYPERLINK("https://www.youtube.com/watch?v=q_sXq341ryQ&amp;t=42s", "Go to time")</f>
        <v/>
      </c>
    </row>
    <row r="7591">
      <c r="A7591">
        <f>HYPERLINK("https://www.youtube.com/watch?v=q_sXq341ryQ", "Video")</f>
        <v/>
      </c>
      <c r="B7591" t="inlineStr">
        <is>
          <t>5:45</t>
        </is>
      </c>
      <c r="C7591" t="inlineStr">
        <is>
          <t>just feeling a bit out of the mood than</t>
        </is>
      </c>
      <c r="D7591">
        <f>HYPERLINK("https://www.youtube.com/watch?v=q_sXq341ryQ&amp;t=345s", "Go to time")</f>
        <v/>
      </c>
    </row>
    <row r="7592">
      <c r="A7592">
        <f>HYPERLINK("https://www.youtube.com/watch?v=t2DRke5_DJk", "Video")</f>
        <v/>
      </c>
      <c r="B7592" t="inlineStr">
        <is>
          <t>2:13</t>
        </is>
      </c>
      <c r="C7592" t="inlineStr">
        <is>
          <t>By taking one bite.</t>
        </is>
      </c>
      <c r="D7592">
        <f>HYPERLINK("https://www.youtube.com/watch?v=t2DRke5_DJk&amp;t=133s", "Go to time")</f>
        <v/>
      </c>
    </row>
    <row r="7593">
      <c r="A7593">
        <f>HYPERLINK("https://www.youtube.com/watch?v=N_FQ3zfIIqA", "Video")</f>
        <v/>
      </c>
      <c r="B7593" t="inlineStr">
        <is>
          <t>11:02</t>
        </is>
      </c>
      <c r="C7593" t="inlineStr">
        <is>
          <t>bit but by by having a diagnosis it it</t>
        </is>
      </c>
      <c r="D7593">
        <f>HYPERLINK("https://www.youtube.com/watch?v=N_FQ3zfIIqA&amp;t=662s", "Go to time")</f>
        <v/>
      </c>
    </row>
    <row r="7594">
      <c r="A7594">
        <f>HYPERLINK("https://www.youtube.com/watch?v=N_FQ3zfIIqA", "Video")</f>
        <v/>
      </c>
      <c r="B7594" t="inlineStr">
        <is>
          <t>11:06</t>
        </is>
      </c>
      <c r="C7594" t="inlineStr">
        <is>
          <t>provides the family with a bit of a</t>
        </is>
      </c>
      <c r="D7594">
        <f>HYPERLINK("https://www.youtube.com/watch?v=N_FQ3zfIIqA&amp;t=666s", "Go to time")</f>
        <v/>
      </c>
    </row>
    <row r="7595">
      <c r="A7595">
        <f>HYPERLINK("https://www.youtube.com/watch?v=N_FQ3zfIIqA", "Video")</f>
        <v/>
      </c>
      <c r="B7595" t="inlineStr">
        <is>
          <t>12:58</t>
        </is>
      </c>
      <c r="C7595" t="inlineStr">
        <is>
          <t>so you've got to try to use a little bit</t>
        </is>
      </c>
      <c r="D7595">
        <f>HYPERLINK("https://www.youtube.com/watch?v=N_FQ3zfIIqA&amp;t=778s", "Go to time")</f>
        <v/>
      </c>
    </row>
    <row r="7596">
      <c r="A7596">
        <f>HYPERLINK("https://www.youtube.com/watch?v=N_FQ3zfIIqA", "Video")</f>
        <v/>
      </c>
      <c r="B7596" t="inlineStr">
        <is>
          <t>21:23</t>
        </is>
      </c>
      <c r="C7596" t="inlineStr">
        <is>
          <t>person starts to develop a bit of a</t>
        </is>
      </c>
      <c r="D7596">
        <f>HYPERLINK("https://www.youtube.com/watch?v=N_FQ3zfIIqA&amp;t=1283s", "Go to time")</f>
        <v/>
      </c>
    </row>
    <row r="7597">
      <c r="A7597">
        <f>HYPERLINK("https://www.youtube.com/watch?v=AM5oq_qG2Jk", "Video")</f>
        <v/>
      </c>
      <c r="B7597" t="inlineStr">
        <is>
          <t>2:08</t>
        </is>
      </c>
      <c r="C7597" t="inlineStr">
        <is>
          <t>sex could make a person feel a bit down</t>
        </is>
      </c>
      <c r="D7597">
        <f>HYPERLINK("https://www.youtube.com/watch?v=AM5oq_qG2Jk&amp;t=128s", "Go to time")</f>
        <v/>
      </c>
    </row>
    <row r="7598">
      <c r="A7598">
        <f>HYPERLINK("https://www.youtube.com/watch?v=YxqFqCdNfoQ", "Video")</f>
        <v/>
      </c>
      <c r="B7598" t="inlineStr">
        <is>
          <t>1:44</t>
        </is>
      </c>
      <c r="C7598" t="inlineStr">
        <is>
          <t>doing a bit of Maintenance from time to</t>
        </is>
      </c>
      <c r="D7598">
        <f>HYPERLINK("https://www.youtube.com/watch?v=YxqFqCdNfoQ&amp;t=104s", "Go to time")</f>
        <v/>
      </c>
    </row>
    <row r="7599">
      <c r="A7599">
        <f>HYPERLINK("https://www.youtube.com/watch?v=YxqFqCdNfoQ", "Video")</f>
        <v/>
      </c>
      <c r="B7599" t="inlineStr">
        <is>
          <t>2:18</t>
        </is>
      </c>
      <c r="C7599" t="inlineStr">
        <is>
          <t>fidget or bite things when you're</t>
        </is>
      </c>
      <c r="D7599">
        <f>HYPERLINK("https://www.youtube.com/watch?v=YxqFqCdNfoQ&amp;t=138s", "Go to time")</f>
        <v/>
      </c>
    </row>
    <row r="7600">
      <c r="A7600">
        <f>HYPERLINK("https://www.youtube.com/watch?v=D5SHtSMe8ZE", "Video")</f>
        <v/>
      </c>
      <c r="B7600" t="inlineStr">
        <is>
          <t>1:55</t>
        </is>
      </c>
      <c r="C7600" t="inlineStr">
        <is>
          <t>exhibiting signs of an extreme</t>
        </is>
      </c>
      <c r="D7600">
        <f>HYPERLINK("https://www.youtube.com/watch?v=D5SHtSMe8ZE&amp;t=115s", "Go to time")</f>
        <v/>
      </c>
    </row>
    <row r="7601">
      <c r="A7601">
        <f>HYPERLINK("https://www.youtube.com/watch?v=Ye73XsuzxUw", "Video")</f>
        <v/>
      </c>
      <c r="B7601" t="inlineStr">
        <is>
          <t>1:29</t>
        </is>
      </c>
      <c r="C7601" t="inlineStr">
        <is>
          <t>after falling down the rabbit hole she</t>
        </is>
      </c>
      <c r="D7601">
        <f>HYPERLINK("https://www.youtube.com/watch?v=Ye73XsuzxUw&amp;t=89s", "Go to time")</f>
        <v/>
      </c>
    </row>
    <row r="7602">
      <c r="A7602">
        <f>HYPERLINK("https://www.youtube.com/watch?v=Ye73XsuzxUw", "Video")</f>
        <v/>
      </c>
      <c r="B7602" t="inlineStr">
        <is>
          <t>1:47</t>
        </is>
      </c>
      <c r="C7602" t="inlineStr">
        <is>
          <t>grew bigger than the white rabbit's</t>
        </is>
      </c>
      <c r="D7602">
        <f>HYPERLINK("https://www.youtube.com/watch?v=Ye73XsuzxUw&amp;t=107s", "Go to time")</f>
        <v/>
      </c>
    </row>
    <row r="7603">
      <c r="A7603">
        <f>HYPERLINK("https://www.youtube.com/watch?v=t-pdv0vRw2Y", "Video")</f>
        <v/>
      </c>
      <c r="B7603" t="inlineStr">
        <is>
          <t>2:23</t>
        </is>
      </c>
      <c r="C7603" t="inlineStr">
        <is>
          <t>do it too often and it becomes a habit</t>
        </is>
      </c>
      <c r="D7603">
        <f>HYPERLINK("https://www.youtube.com/watch?v=t-pdv0vRw2Y&amp;t=143s", "Go to time")</f>
        <v/>
      </c>
    </row>
    <row r="7604">
      <c r="A7604">
        <f>HYPERLINK("https://www.youtube.com/watch?v=OBHdV7hk0PM", "Video")</f>
        <v/>
      </c>
      <c r="B7604" t="inlineStr">
        <is>
          <t>0:01</t>
        </is>
      </c>
      <c r="C7604" t="inlineStr">
        <is>
          <t>Beginnings the seed of every habit is a</t>
        </is>
      </c>
      <c r="D7604">
        <f>HYPERLINK("https://www.youtube.com/watch?v=OBHdV7hk0PM&amp;t=1s", "Go to time")</f>
        <v/>
      </c>
    </row>
    <row r="7605">
      <c r="A7605">
        <f>HYPERLINK("https://www.youtube.com/watch?v=OBHdV7hk0PM", "Video")</f>
        <v/>
      </c>
      <c r="B7605" t="inlineStr">
        <is>
          <t>0:07</t>
        </is>
      </c>
      <c r="C7605" t="inlineStr">
        <is>
          <t>decision is repeated a habit sprouts and</t>
        </is>
      </c>
      <c r="D7605">
        <f>HYPERLINK("https://www.youtube.com/watch?v=OBHdV7hk0PM&amp;t=7s", "Go to time")</f>
        <v/>
      </c>
    </row>
    <row r="7606">
      <c r="A7606">
        <f>HYPERLINK("https://www.youtube.com/watch?v=OBHdV7hk0PM", "Video")</f>
        <v/>
      </c>
      <c r="B7606" t="inlineStr">
        <is>
          <t>0:13</t>
        </is>
      </c>
      <c r="C7606" t="inlineStr">
        <is>
          <t>daily habits not once in a lifetime</t>
        </is>
      </c>
      <c r="D7606">
        <f>HYPERLINK("https://www.youtube.com/watch?v=OBHdV7hk0PM&amp;t=13s", "Go to time")</f>
        <v/>
      </c>
    </row>
    <row r="7607">
      <c r="A7607">
        <f>HYPERLINK("https://www.youtube.com/watch?v=OBHdV7hk0PM", "Video")</f>
        <v/>
      </c>
      <c r="B7607" t="inlineStr">
        <is>
          <t>0:20</t>
        </is>
      </c>
      <c r="C7607" t="inlineStr">
        <is>
          <t>Clear in his book Atomic habits one of</t>
        </is>
      </c>
      <c r="D7607">
        <f>HYPERLINK("https://www.youtube.com/watch?v=OBHdV7hk0PM&amp;t=20s", "Go to time")</f>
        <v/>
      </c>
    </row>
    <row r="7608">
      <c r="A7608">
        <f>HYPERLINK("https://www.youtube.com/watch?v=OBHdV7hk0PM", "Video")</f>
        <v/>
      </c>
      <c r="B7608" t="inlineStr">
        <is>
          <t>0:27</t>
        </is>
      </c>
      <c r="C7608" t="inlineStr">
        <is>
          <t>readers break long time bad habits and</t>
        </is>
      </c>
      <c r="D7608">
        <f>HYPERLINK("https://www.youtube.com/watch?v=OBHdV7hk0PM&amp;t=27s", "Go to time")</f>
        <v/>
      </c>
    </row>
    <row r="7609">
      <c r="A7609">
        <f>HYPERLINK("https://www.youtube.com/watch?v=OBHdV7hk0PM", "Video")</f>
        <v/>
      </c>
      <c r="B7609" t="inlineStr">
        <is>
          <t>0:38</t>
        </is>
      </c>
      <c r="C7609" t="inlineStr">
        <is>
          <t>our habits have over us with that said</t>
        </is>
      </c>
      <c r="D7609">
        <f>HYPERLINK("https://www.youtube.com/watch?v=OBHdV7hk0PM&amp;t=38s", "Go to time")</f>
        <v/>
      </c>
    </row>
    <row r="7610">
      <c r="A7610">
        <f>HYPERLINK("https://www.youtube.com/watch?v=OBHdV7hk0PM", "Video")</f>
        <v/>
      </c>
      <c r="B7610" t="inlineStr">
        <is>
          <t>0:47</t>
        </is>
      </c>
      <c r="C7610" t="inlineStr">
        <is>
          <t>more closely at your day-to-day habits</t>
        </is>
      </c>
      <c r="D7610">
        <f>HYPERLINK("https://www.youtube.com/watch?v=OBHdV7hk0PM&amp;t=47s", "Go to time")</f>
        <v/>
      </c>
    </row>
    <row r="7611">
      <c r="A7611">
        <f>HYPERLINK("https://www.youtube.com/watch?v=OBHdV7hk0PM", "Video")</f>
        <v/>
      </c>
      <c r="B7611" t="inlineStr">
        <is>
          <t>0:53</t>
        </is>
      </c>
      <c r="C7611" t="inlineStr">
        <is>
          <t>common habits keeping you lazy number</t>
        </is>
      </c>
      <c r="D7611">
        <f>HYPERLINK("https://www.youtube.com/watch?v=OBHdV7hk0PM&amp;t=53s", "Go to time")</f>
        <v/>
      </c>
    </row>
    <row r="7612">
      <c r="A7612">
        <f>HYPERLINK("https://www.youtube.com/watch?v=OBHdV7hk0PM", "Video")</f>
        <v/>
      </c>
      <c r="B7612" t="inlineStr">
        <is>
          <t>3:52</t>
        </is>
      </c>
      <c r="C7612" t="inlineStr">
        <is>
          <t>least on our list of habits keeping you</t>
        </is>
      </c>
      <c r="D7612">
        <f>HYPERLINK("https://www.youtube.com/watch?v=OBHdV7hk0PM&amp;t=232s", "Go to time")</f>
        <v/>
      </c>
    </row>
    <row r="7613">
      <c r="A7613">
        <f>HYPERLINK("https://www.youtube.com/watch?v=OBHdV7hk0PM", "Video")</f>
        <v/>
      </c>
      <c r="B7613" t="inlineStr">
        <is>
          <t>4:53</t>
        </is>
      </c>
      <c r="C7613" t="inlineStr">
        <is>
          <t>that we are all creatures of Habit For</t>
        </is>
      </c>
      <c r="D7613">
        <f>HYPERLINK("https://www.youtube.com/watch?v=OBHdV7hk0PM&amp;t=293s", "Go to time")</f>
        <v/>
      </c>
    </row>
    <row r="7614">
      <c r="A7614">
        <f>HYPERLINK("https://www.youtube.com/watch?v=OBHdV7hk0PM", "Video")</f>
        <v/>
      </c>
      <c r="B7614" t="inlineStr">
        <is>
          <t>5:05</t>
        </is>
      </c>
      <c r="C7614" t="inlineStr">
        <is>
          <t>so what bad habits do you need to break</t>
        </is>
      </c>
      <c r="D7614">
        <f>HYPERLINK("https://www.youtube.com/watch?v=OBHdV7hk0PM&amp;t=305s", "Go to time")</f>
        <v/>
      </c>
    </row>
    <row r="7615">
      <c r="A7615">
        <f>HYPERLINK("https://www.youtube.com/watch?v=_rPNMu2B25o", "Video")</f>
        <v/>
      </c>
      <c r="B7615" t="inlineStr">
        <is>
          <t>0:09</t>
        </is>
      </c>
      <c r="C7615" t="inlineStr">
        <is>
          <t>charismatic this might be a bit tough</t>
        </is>
      </c>
      <c r="D7615">
        <f>HYPERLINK("https://www.youtube.com/watch?v=_rPNMu2B25o&amp;t=9s", "Go to time")</f>
        <v/>
      </c>
    </row>
    <row r="7616">
      <c r="A7616">
        <f>HYPERLINK("https://www.youtube.com/watch?v=_rPNMu2B25o", "Video")</f>
        <v/>
      </c>
      <c r="B7616" t="inlineStr">
        <is>
          <t>4:37</t>
        </is>
      </c>
      <c r="C7616" t="inlineStr">
        <is>
          <t>they might just like you a bit more</t>
        </is>
      </c>
      <c r="D7616">
        <f>HYPERLINK("https://www.youtube.com/watch?v=_rPNMu2B25o&amp;t=277s", "Go to time")</f>
        <v/>
      </c>
    </row>
    <row r="7617">
      <c r="A7617">
        <f>HYPERLINK("https://www.youtube.com/watch?v=rWtCx2LoERY", "Video")</f>
        <v/>
      </c>
      <c r="B7617" t="inlineStr">
        <is>
          <t>0:30</t>
        </is>
      </c>
      <c r="C7617" t="inlineStr">
        <is>
          <t>from time to time we all get a bit angry</t>
        </is>
      </c>
      <c r="D7617">
        <f>HYPERLINK("https://www.youtube.com/watch?v=rWtCx2LoERY&amp;t=30s", "Go to time")</f>
        <v/>
      </c>
    </row>
    <row r="7618">
      <c r="A7618">
        <f>HYPERLINK("https://www.youtube.com/watch?v=ZtJ8DTATLfU", "Video")</f>
        <v/>
      </c>
      <c r="B7618" t="inlineStr">
        <is>
          <t>0:02</t>
        </is>
      </c>
      <c r="C7618" t="inlineStr">
        <is>
          <t>bad habits with a little success do you</t>
        </is>
      </c>
      <c r="D7618">
        <f>HYPERLINK("https://www.youtube.com/watch?v=ZtJ8DTATLfU&amp;t=2s", "Go to time")</f>
        <v/>
      </c>
    </row>
    <row r="7619">
      <c r="A7619">
        <f>HYPERLINK("https://www.youtube.com/watch?v=ZtJ8DTATLfU", "Video")</f>
        <v/>
      </c>
      <c r="B7619" t="inlineStr">
        <is>
          <t>0:15</t>
        </is>
      </c>
      <c r="C7619" t="inlineStr">
        <is>
          <t>self-destructive habits that you need to</t>
        </is>
      </c>
      <c r="D7619">
        <f>HYPERLINK("https://www.youtube.com/watch?v=ZtJ8DTATLfU&amp;t=15s", "Go to time")</f>
        <v/>
      </c>
    </row>
    <row r="7620">
      <c r="A7620">
        <f>HYPERLINK("https://www.youtube.com/watch?v=ZtJ8DTATLfU", "Video")</f>
        <v/>
      </c>
      <c r="B7620" t="inlineStr">
        <is>
          <t>0:19</t>
        </is>
      </c>
      <c r="C7620" t="inlineStr">
        <is>
          <t>habits and hello to a healthier happier</t>
        </is>
      </c>
      <c r="D7620">
        <f>HYPERLINK("https://www.youtube.com/watch?v=ZtJ8DTATLfU&amp;t=19s", "Go to time")</f>
        <v/>
      </c>
    </row>
    <row r="7621">
      <c r="A7621">
        <f>HYPERLINK("https://www.youtube.com/watch?v=ZtJ8DTATLfU", "Video")</f>
        <v/>
      </c>
      <c r="B7621" t="inlineStr">
        <is>
          <t>1:59</t>
        </is>
      </c>
      <c r="C7621" t="inlineStr">
        <is>
          <t>successfully Breaking the Habit and</t>
        </is>
      </c>
      <c r="D7621">
        <f>HYPERLINK("https://www.youtube.com/watch?v=ZtJ8DTATLfU&amp;t=119s", "Go to time")</f>
        <v/>
      </c>
    </row>
    <row r="7622">
      <c r="A7622">
        <f>HYPERLINK("https://www.youtube.com/watch?v=ZtJ8DTATLfU", "Video")</f>
        <v/>
      </c>
      <c r="B7622" t="inlineStr">
        <is>
          <t>3:37</t>
        </is>
      </c>
      <c r="C7622" t="inlineStr">
        <is>
          <t>which incorporates healthy sleep habits</t>
        </is>
      </c>
      <c r="D7622">
        <f>HYPERLINK("https://www.youtube.com/watch?v=ZtJ8DTATLfU&amp;t=217s", "Go to time")</f>
        <v/>
      </c>
    </row>
    <row r="7623">
      <c r="A7623">
        <f>HYPERLINK("https://www.youtube.com/watch?v=ZtJ8DTATLfU", "Video")</f>
        <v/>
      </c>
      <c r="B7623" t="inlineStr">
        <is>
          <t>3:45</t>
        </is>
      </c>
      <c r="C7623" t="inlineStr">
        <is>
          <t>self-destructive habit is workaholism</t>
        </is>
      </c>
      <c r="D7623">
        <f>HYPERLINK("https://www.youtube.com/watch?v=ZtJ8DTATLfU&amp;t=225s", "Go to time")</f>
        <v/>
      </c>
    </row>
    <row r="7624">
      <c r="A7624">
        <f>HYPERLINK("https://www.youtube.com/watch?v=ZtJ8DTATLfU", "Video")</f>
        <v/>
      </c>
      <c r="B7624" t="inlineStr">
        <is>
          <t>4:27</t>
        </is>
      </c>
      <c r="C7624" t="inlineStr">
        <is>
          <t>can you relate to any of these habits</t>
        </is>
      </c>
      <c r="D7624">
        <f>HYPERLINK("https://www.youtube.com/watch?v=ZtJ8DTATLfU&amp;t=267s", "Go to time")</f>
        <v/>
      </c>
    </row>
    <row r="7625">
      <c r="A7625">
        <f>HYPERLINK("https://www.youtube.com/watch?v=eIon7sbNn5I", "Video")</f>
        <v/>
      </c>
      <c r="B7625" t="inlineStr">
        <is>
          <t>1:39</t>
        </is>
      </c>
      <c r="C7625" t="inlineStr">
        <is>
          <t>Have you noticed sudden
changes in your eating habits?</t>
        </is>
      </c>
      <c r="D7625">
        <f>HYPERLINK("https://www.youtube.com/watch?v=eIon7sbNn5I&amp;t=99s", "Go to time")</f>
        <v/>
      </c>
    </row>
    <row r="7626">
      <c r="A7626">
        <f>HYPERLINK("https://www.youtube.com/watch?v=eIon7sbNn5I", "Video")</f>
        <v/>
      </c>
      <c r="B7626" t="inlineStr">
        <is>
          <t>4:36</t>
        </is>
      </c>
      <c r="C7626" t="inlineStr">
        <is>
          <t>habits keep winning,</t>
        </is>
      </c>
      <c r="D7626">
        <f>HYPERLINK("https://www.youtube.com/watch?v=eIon7sbNn5I&amp;t=276s", "Go to time")</f>
        <v/>
      </c>
    </row>
    <row r="7627">
      <c r="A7627">
        <f>HYPERLINK("https://www.youtube.com/watch?v=eIon7sbNn5I", "Video")</f>
        <v/>
      </c>
      <c r="B7627" t="inlineStr">
        <is>
          <t>4:37</t>
        </is>
      </c>
      <c r="C7627" t="inlineStr">
        <is>
          <t>and harmful habits are hurting
you without knowing it.</t>
        </is>
      </c>
      <c r="D7627">
        <f>HYPERLINK("https://www.youtube.com/watch?v=eIon7sbNn5I&amp;t=277s", "Go to time")</f>
        <v/>
      </c>
    </row>
    <row r="7628">
      <c r="A7628">
        <f>HYPERLINK("https://www.youtube.com/watch?v=etLD4yLGGlA", "Video")</f>
        <v/>
      </c>
      <c r="B7628" t="inlineStr">
        <is>
          <t>0:05</t>
        </is>
      </c>
      <c r="C7628" t="inlineStr">
        <is>
          <t>stay stuck in the same habits that drain</t>
        </is>
      </c>
      <c r="D7628">
        <f>HYPERLINK("https://www.youtube.com/watch?v=etLD4yLGGlA&amp;t=5s", "Go to time")</f>
        <v/>
      </c>
    </row>
    <row r="7629">
      <c r="A7629">
        <f>HYPERLINK("https://www.youtube.com/watch?v=NGC3pXg2FHo", "Video")</f>
        <v/>
      </c>
      <c r="B7629" t="inlineStr">
        <is>
          <t>0:55</t>
        </is>
      </c>
      <c r="C7629" t="inlineStr">
        <is>
          <t>it would be a bit odd to see</t>
        </is>
      </c>
      <c r="D7629">
        <f>HYPERLINK("https://www.youtube.com/watch?v=NGC3pXg2FHo&amp;t=55s", "Go to time")</f>
        <v/>
      </c>
    </row>
    <row r="7630">
      <c r="A7630">
        <f>HYPERLINK("https://www.youtube.com/watch?v=xQoQdBIVTZ4", "Video")</f>
        <v/>
      </c>
      <c r="B7630" t="inlineStr">
        <is>
          <t>1:55</t>
        </is>
      </c>
      <c r="C7630" t="inlineStr">
        <is>
          <t>This habit to make people
laugh and joke around</t>
        </is>
      </c>
      <c r="D7630">
        <f>HYPERLINK("https://www.youtube.com/watch?v=xQoQdBIVTZ4&amp;t=115s", "Go to time")</f>
        <v/>
      </c>
    </row>
    <row r="7631">
      <c r="A7631">
        <f>HYPERLINK("https://www.youtube.com/watch?v=QTVObelcxNg", "Video")</f>
        <v/>
      </c>
      <c r="B7631" t="inlineStr">
        <is>
          <t>0:05</t>
        </is>
      </c>
      <c r="C7631" t="inlineStr">
        <is>
          <t>can actually reveal quite a bit about</t>
        </is>
      </c>
      <c r="D7631">
        <f>HYPERLINK("https://www.youtube.com/watch?v=QTVObelcxNg&amp;t=5s", "Go to time")</f>
        <v/>
      </c>
    </row>
    <row r="7632">
      <c r="A7632">
        <f>HYPERLINK("https://www.youtube.com/watch?v=QTVObelcxNg", "Video")</f>
        <v/>
      </c>
      <c r="B7632" t="inlineStr">
        <is>
          <t>0:49</t>
        </is>
      </c>
      <c r="C7632" t="inlineStr">
        <is>
          <t>potentially reveal quite a bit about</t>
        </is>
      </c>
      <c r="D7632">
        <f>HYPERLINK("https://www.youtube.com/watch?v=QTVObelcxNg&amp;t=49s", "Go to time")</f>
        <v/>
      </c>
    </row>
    <row r="7633">
      <c r="A7633">
        <f>HYPERLINK("https://www.youtube.com/watch?v=QTVObelcxNg", "Video")</f>
        <v/>
      </c>
      <c r="B7633" t="inlineStr">
        <is>
          <t>2:46</t>
        </is>
      </c>
      <c r="C7633" t="inlineStr">
        <is>
          <t>determined and ambitious person you love</t>
        </is>
      </c>
      <c r="D7633">
        <f>HYPERLINK("https://www.youtube.com/watch?v=QTVObelcxNg&amp;t=166s", "Go to time")</f>
        <v/>
      </c>
    </row>
    <row r="7634">
      <c r="A7634">
        <f>HYPERLINK("https://www.youtube.com/watch?v=QTVObelcxNg", "Video")</f>
        <v/>
      </c>
      <c r="B7634" t="inlineStr">
        <is>
          <t>3:09</t>
        </is>
      </c>
      <c r="C7634" t="inlineStr">
        <is>
          <t>a bit more shampoo than needed just so</t>
        </is>
      </c>
      <c r="D7634">
        <f>HYPERLINK("https://www.youtube.com/watch?v=QTVObelcxNg&amp;t=189s", "Go to time")</f>
        <v/>
      </c>
    </row>
    <row r="7635">
      <c r="A7635">
        <f>HYPERLINK("https://www.youtube.com/watch?v=QTVObelcxNg", "Video")</f>
        <v/>
      </c>
      <c r="B7635" t="inlineStr">
        <is>
          <t>3:13</t>
        </is>
      </c>
      <c r="C7635" t="inlineStr">
        <is>
          <t>fruit then you're likely a bit sarcastic</t>
        </is>
      </c>
      <c r="D7635">
        <f>HYPERLINK("https://www.youtube.com/watch?v=QTVObelcxNg&amp;t=193s", "Go to time")</f>
        <v/>
      </c>
    </row>
    <row r="7636">
      <c r="A7636">
        <f>HYPERLINK("https://www.youtube.com/watch?v=QTVObelcxNg", "Video")</f>
        <v/>
      </c>
      <c r="B7636" t="inlineStr">
        <is>
          <t>3:27</t>
        </is>
      </c>
      <c r="C7636" t="inlineStr">
        <is>
          <t>bit annoying and you're likely a bit</t>
        </is>
      </c>
      <c r="D7636">
        <f>HYPERLINK("https://www.youtube.com/watch?v=QTVObelcxNg&amp;t=207s", "Go to time")</f>
        <v/>
      </c>
    </row>
    <row r="7637">
      <c r="A7637">
        <f>HYPERLINK("https://www.youtube.com/watch?v=SyFZOWJRO5c", "Video")</f>
        <v/>
      </c>
      <c r="B7637" t="inlineStr">
        <is>
          <t>3:01</t>
        </is>
      </c>
      <c r="C7637" t="inlineStr">
        <is>
          <t>you if your crush exhibits genuine</t>
        </is>
      </c>
      <c r="D7637">
        <f>HYPERLINK("https://www.youtube.com/watch?v=SyFZOWJRO5c&amp;t=181s", "Go to time")</f>
        <v/>
      </c>
    </row>
    <row r="7638">
      <c r="A7638">
        <f>HYPERLINK("https://www.youtube.com/watch?v=XRNM7h2B0QI", "Video")</f>
        <v/>
      </c>
      <c r="B7638" t="inlineStr">
        <is>
          <t>0:12</t>
        </is>
      </c>
      <c r="C7638" t="inlineStr">
        <is>
          <t>you've picked up bad habits over time</t>
        </is>
      </c>
      <c r="D7638">
        <f>HYPERLINK("https://www.youtube.com/watch?v=XRNM7h2B0QI&amp;t=12s", "Go to time")</f>
        <v/>
      </c>
    </row>
    <row r="7639">
      <c r="A7639">
        <f>HYPERLINK("https://www.youtube.com/watch?v=XRNM7h2B0QI", "Video")</f>
        <v/>
      </c>
      <c r="B7639" t="inlineStr">
        <is>
          <t>0:24</t>
        </is>
      </c>
      <c r="C7639" t="inlineStr">
        <is>
          <t>wondering how to ditch bad habits and</t>
        </is>
      </c>
      <c r="D7639">
        <f>HYPERLINK("https://www.youtube.com/watch?v=XRNM7h2B0QI&amp;t=24s", "Go to time")</f>
        <v/>
      </c>
    </row>
    <row r="7640">
      <c r="A7640">
        <f>HYPERLINK("https://www.youtube.com/watch?v=XRNM7h2B0QI", "Video")</f>
        <v/>
      </c>
      <c r="B7640" t="inlineStr">
        <is>
          <t>2:00</t>
        </is>
      </c>
      <c r="C7640" t="inlineStr">
        <is>
          <t>habit of slouching you have to make an</t>
        </is>
      </c>
      <c r="D7640">
        <f>HYPERLINK("https://www.youtube.com/watch?v=XRNM7h2B0QI&amp;t=120s", "Go to time")</f>
        <v/>
      </c>
    </row>
    <row r="7641">
      <c r="A7641">
        <f>HYPERLINK("https://www.youtube.com/watch?v=XRNM7h2B0QI", "Video")</f>
        <v/>
      </c>
      <c r="B7641" t="inlineStr">
        <is>
          <t>2:04</t>
        </is>
      </c>
      <c r="C7641" t="inlineStr">
        <is>
          <t>that it's a bad habit and change your</t>
        </is>
      </c>
      <c r="D7641">
        <f>HYPERLINK("https://www.youtube.com/watch?v=XRNM7h2B0QI&amp;t=124s", "Go to time")</f>
        <v/>
      </c>
    </row>
    <row r="7642">
      <c r="A7642">
        <f>HYPERLINK("https://www.youtube.com/watch?v=XRNM7h2B0QI", "Video")</f>
        <v/>
      </c>
      <c r="B7642" t="inlineStr">
        <is>
          <t>2:11</t>
        </is>
      </c>
      <c r="C7642" t="inlineStr">
        <is>
          <t>habit it becomes ingrained</t>
        </is>
      </c>
      <c r="D7642">
        <f>HYPERLINK("https://www.youtube.com/watch?v=XRNM7h2B0QI&amp;t=131s", "Go to time")</f>
        <v/>
      </c>
    </row>
    <row r="7643">
      <c r="A7643">
        <f>HYPERLINK("https://www.youtube.com/watch?v=XRNM7h2B0QI", "Video")</f>
        <v/>
      </c>
      <c r="B7643" t="inlineStr">
        <is>
          <t>2:36</t>
        </is>
      </c>
      <c r="C7643" t="inlineStr">
        <is>
          <t>same way you pick up a bad habit is the</t>
        </is>
      </c>
      <c r="D7643">
        <f>HYPERLINK("https://www.youtube.com/watch?v=XRNM7h2B0QI&amp;t=156s", "Go to time")</f>
        <v/>
      </c>
    </row>
    <row r="7644">
      <c r="A7644">
        <f>HYPERLINK("https://www.youtube.com/watch?v=XRNM7h2B0QI", "Video")</f>
        <v/>
      </c>
      <c r="B7644" t="inlineStr">
        <is>
          <t>2:38</t>
        </is>
      </c>
      <c r="C7644" t="inlineStr">
        <is>
          <t>same way you pick up a good habit by</t>
        </is>
      </c>
      <c r="D7644">
        <f>HYPERLINK("https://www.youtube.com/watch?v=XRNM7h2B0QI&amp;t=158s", "Go to time")</f>
        <v/>
      </c>
    </row>
    <row r="7645">
      <c r="A7645">
        <f>HYPERLINK("https://www.youtube.com/watch?v=XRNM7h2B0QI", "Video")</f>
        <v/>
      </c>
      <c r="B7645" t="inlineStr">
        <is>
          <t>2:54</t>
        </is>
      </c>
      <c r="C7645" t="inlineStr">
        <is>
          <t>result you may freeze up a bit your</t>
        </is>
      </c>
      <c r="D7645">
        <f>HYPERLINK("https://www.youtube.com/watch?v=XRNM7h2B0QI&amp;t=174s", "Go to time")</f>
        <v/>
      </c>
    </row>
    <row r="7646">
      <c r="A7646">
        <f>HYPERLINK("https://www.youtube.com/watch?v=XRNM7h2B0QI", "Video")</f>
        <v/>
      </c>
      <c r="B7646" t="inlineStr">
        <is>
          <t>5:11</t>
        </is>
      </c>
      <c r="C7646" t="inlineStr">
        <is>
          <t>habits mentioned above if you like this</t>
        </is>
      </c>
      <c r="D7646">
        <f>HYPERLINK("https://www.youtube.com/watch?v=XRNM7h2B0QI&amp;t=311s", "Go to time")</f>
        <v/>
      </c>
    </row>
    <row r="7647">
      <c r="A7647">
        <f>HYPERLINK("https://www.youtube.com/watch?v=XBcLFoDwBEI", "Video")</f>
        <v/>
      </c>
      <c r="B7647" t="inlineStr">
        <is>
          <t>0:37</t>
        </is>
      </c>
      <c r="C7647" t="inlineStr">
        <is>
          <t>quiet and a bit anxious</t>
        </is>
      </c>
      <c r="D7647">
        <f>HYPERLINK("https://www.youtube.com/watch?v=XBcLFoDwBEI&amp;t=37s", "Go to time")</f>
        <v/>
      </c>
    </row>
    <row r="7648">
      <c r="A7648">
        <f>HYPERLINK("https://www.youtube.com/watch?v=pVDkckCJYPM", "Video")</f>
        <v/>
      </c>
      <c r="B7648" t="inlineStr">
        <is>
          <t>0:52</t>
        </is>
      </c>
      <c r="C7648" t="inlineStr">
        <is>
          <t>in one's normal eating
habits and patterns,</t>
        </is>
      </c>
      <c r="D7648">
        <f>HYPERLINK("https://www.youtube.com/watch?v=pVDkckCJYPM&amp;t=52s", "Go to time")</f>
        <v/>
      </c>
    </row>
    <row r="7649">
      <c r="A7649">
        <f>HYPERLINK("https://www.youtube.com/watch?v=tRoFEkpSRG8", "Video")</f>
        <v/>
      </c>
      <c r="B7649" t="inlineStr">
        <is>
          <t>0:51</t>
        </is>
      </c>
      <c r="C7649" t="inlineStr">
        <is>
          <t>are some habits you can start to make</t>
        </is>
      </c>
      <c r="D7649">
        <f>HYPERLINK("https://www.youtube.com/watch?v=tRoFEkpSRG8&amp;t=51s", "Go to time")</f>
        <v/>
      </c>
    </row>
    <row r="7650">
      <c r="A7650">
        <f>HYPERLINK("https://www.youtube.com/watch?v=ZYmmjrJqgw4", "Video")</f>
        <v/>
      </c>
      <c r="B7650" t="inlineStr">
        <is>
          <t>3:59</t>
        </is>
      </c>
      <c r="C7650" t="inlineStr">
        <is>
          <t>You are ambitious</t>
        </is>
      </c>
      <c r="D7650">
        <f>HYPERLINK("https://www.youtube.com/watch?v=ZYmmjrJqgw4&amp;t=239s", "Go to time")</f>
        <v/>
      </c>
    </row>
    <row r="7651">
      <c r="A7651">
        <f>HYPERLINK("https://www.youtube.com/watch?v=ZYmmjrJqgw4", "Video")</f>
        <v/>
      </c>
      <c r="B7651" t="inlineStr">
        <is>
          <t>4:13</t>
        </is>
      </c>
      <c r="C7651" t="inlineStr">
        <is>
          <t>This ambition can sometimes</t>
        </is>
      </c>
      <c r="D7651">
        <f>HYPERLINK("https://www.youtube.com/watch?v=ZYmmjrJqgw4&amp;t=253s", "Go to time")</f>
        <v/>
      </c>
    </row>
    <row r="7652">
      <c r="A7652">
        <f>HYPERLINK("https://www.youtube.com/watch?v=ZYmmjrJqgw4", "Video")</f>
        <v/>
      </c>
      <c r="B7652" t="inlineStr">
        <is>
          <t>5:31</t>
        </is>
      </c>
      <c r="C7652" t="inlineStr">
        <is>
          <t>Sometimes you might be a
bit pessimistic and shy,</t>
        </is>
      </c>
      <c r="D7652">
        <f>HYPERLINK("https://www.youtube.com/watch?v=ZYmmjrJqgw4&amp;t=331s", "Go to time")</f>
        <v/>
      </c>
    </row>
    <row r="7653">
      <c r="A7653">
        <f>HYPERLINK("https://www.youtube.com/watch?v=ZYmmjrJqgw4", "Video")</f>
        <v/>
      </c>
      <c r="B7653" t="inlineStr">
        <is>
          <t>5:34</t>
        </is>
      </c>
      <c r="C7653" t="inlineStr">
        <is>
          <t>or even feel a bit lonely.</t>
        </is>
      </c>
      <c r="D7653">
        <f>HYPERLINK("https://www.youtube.com/watch?v=ZYmmjrJqgw4&amp;t=334s", "Go to time")</f>
        <v/>
      </c>
    </row>
    <row r="7654">
      <c r="A7654">
        <f>HYPERLINK("https://www.youtube.com/watch?v=0Xdh25cmsS0", "Video")</f>
        <v/>
      </c>
      <c r="B7654" t="inlineStr">
        <is>
          <t>0:15</t>
        </is>
      </c>
      <c r="C7654" t="inlineStr">
        <is>
          <t>your brain that's inhibiting you from</t>
        </is>
      </c>
      <c r="D7654">
        <f>HYPERLINK("https://www.youtube.com/watch?v=0Xdh25cmsS0&amp;t=15s", "Go to time")</f>
        <v/>
      </c>
    </row>
    <row r="7655">
      <c r="A7655">
        <f>HYPERLINK("https://www.youtube.com/watch?v=EdgnSNxs7V0", "Video")</f>
        <v/>
      </c>
      <c r="B7655" t="inlineStr">
        <is>
          <t>5:25</t>
        </is>
      </c>
      <c r="C7655" t="inlineStr">
        <is>
          <t>The Hobbit and go on an adventure build</t>
        </is>
      </c>
      <c r="D7655">
        <f>HYPERLINK("https://www.youtube.com/watch?v=EdgnSNxs7V0&amp;t=325s", "Go to time")</f>
        <v/>
      </c>
    </row>
    <row r="7656">
      <c r="A7656">
        <f>HYPERLINK("https://www.youtube.com/watch?v=EdgnSNxs7V0", "Video")</f>
        <v/>
      </c>
      <c r="B7656" t="inlineStr">
        <is>
          <t>5:37</t>
        </is>
      </c>
      <c r="C7656" t="inlineStr">
        <is>
          <t>at an extra bit of sweetness to enrich</t>
        </is>
      </c>
      <c r="D7656">
        <f>HYPERLINK("https://www.youtube.com/watch?v=EdgnSNxs7V0&amp;t=337s", "Go to time")</f>
        <v/>
      </c>
    </row>
    <row r="7657">
      <c r="A7657">
        <f>HYPERLINK("https://www.youtube.com/watch?v=eaTJopIEQyM", "Video")</f>
        <v/>
      </c>
      <c r="B7657" t="inlineStr">
        <is>
          <t>3:14</t>
        </is>
      </c>
      <c r="C7657" t="inlineStr">
        <is>
          <t>research of doctors Michael Bittman of</t>
        </is>
      </c>
      <c r="D7657">
        <f>HYPERLINK("https://www.youtube.com/watch?v=eaTJopIEQyM&amp;t=194s", "Go to time")</f>
        <v/>
      </c>
    </row>
    <row r="7658">
      <c r="A7658">
        <f>HYPERLINK("https://www.youtube.com/watch?v=3ptaeWtZSJs", "Video")</f>
        <v/>
      </c>
      <c r="B7658" t="inlineStr">
        <is>
          <t>1:17</t>
        </is>
      </c>
      <c r="C7658" t="inlineStr">
        <is>
          <t>behavior that manipulators exhibit is</t>
        </is>
      </c>
      <c r="D7658">
        <f>HYPERLINK("https://www.youtube.com/watch?v=3ptaeWtZSJs&amp;t=77s", "Go to time")</f>
        <v/>
      </c>
    </row>
    <row r="7659">
      <c r="A7659">
        <f>HYPERLINK("https://www.youtube.com/watch?v=3ptaeWtZSJs", "Video")</f>
        <v/>
      </c>
      <c r="B7659" t="inlineStr">
        <is>
          <t>4:07</t>
        </is>
      </c>
      <c r="C7659" t="inlineStr">
        <is>
          <t>live together try going out for a bit</t>
        </is>
      </c>
      <c r="D7659">
        <f>HYPERLINK("https://www.youtube.com/watch?v=3ptaeWtZSJs&amp;t=247s", "Go to time")</f>
        <v/>
      </c>
    </row>
    <row r="7660">
      <c r="A7660">
        <f>HYPERLINK("https://www.youtube.com/watch?v=9XZh9YQtFvU", "Video")</f>
        <v/>
      </c>
      <c r="B7660" t="inlineStr">
        <is>
          <t>4:06</t>
        </is>
      </c>
      <c r="C7660" t="inlineStr">
        <is>
          <t>for you to learn a bit about the history</t>
        </is>
      </c>
      <c r="D7660">
        <f>HYPERLINK("https://www.youtube.com/watch?v=9XZh9YQtFvU&amp;t=246s", "Go to time")</f>
        <v/>
      </c>
    </row>
    <row r="7661">
      <c r="A7661">
        <f>HYPERLINK("https://www.youtube.com/watch?v=8mAyzmVEvV0", "Video")</f>
        <v/>
      </c>
      <c r="B7661" t="inlineStr">
        <is>
          <t>5:02</t>
        </is>
      </c>
      <c r="C7661" t="inlineStr">
        <is>
          <t>who's exhibited any of
the signs mentioned here?</t>
        </is>
      </c>
      <c r="D7661">
        <f>HYPERLINK("https://www.youtube.com/watch?v=8mAyzmVEvV0&amp;t=302s", "Go to time")</f>
        <v/>
      </c>
    </row>
    <row r="7662">
      <c r="A7662">
        <f>HYPERLINK("https://www.youtube.com/watch?v=8mAyzmVEvV0", "Video")</f>
        <v/>
      </c>
      <c r="B7662" t="inlineStr">
        <is>
          <t>5:04</t>
        </is>
      </c>
      <c r="C7662" t="inlineStr">
        <is>
          <t>Or on the flip side, have
you exhibited any of them?</t>
        </is>
      </c>
      <c r="D7662">
        <f>HYPERLINK("https://www.youtube.com/watch?v=8mAyzmVEvV0&amp;t=304s", "Go to time")</f>
        <v/>
      </c>
    </row>
    <row r="7663">
      <c r="A7663">
        <f>HYPERLINK("https://www.youtube.com/watch?v=xIjNeVXihyA", "Video")</f>
        <v/>
      </c>
      <c r="B7663" t="inlineStr">
        <is>
          <t>0:14</t>
        </is>
      </c>
      <c r="C7663" t="inlineStr">
        <is>
          <t>and listen to the habits in your life</t>
        </is>
      </c>
      <c r="D7663">
        <f>HYPERLINK("https://www.youtube.com/watch?v=xIjNeVXihyA&amp;t=14s", "Go to time")</f>
        <v/>
      </c>
    </row>
    <row r="7664">
      <c r="A7664">
        <f>HYPERLINK("https://www.youtube.com/watch?v=xIjNeVXihyA", "Video")</f>
        <v/>
      </c>
      <c r="B7664" t="inlineStr">
        <is>
          <t>2:14</t>
        </is>
      </c>
      <c r="C7664" t="inlineStr">
        <is>
          <t>procrastination this habit can</t>
        </is>
      </c>
      <c r="D7664">
        <f>HYPERLINK("https://www.youtube.com/watch?v=xIjNeVXihyA&amp;t=134s", "Go to time")</f>
        <v/>
      </c>
    </row>
    <row r="7665">
      <c r="A7665">
        <f>HYPERLINK("https://www.youtube.com/watch?v=xIjNeVXihyA", "Video")</f>
        <v/>
      </c>
      <c r="B7665" t="inlineStr">
        <is>
          <t>2:27</t>
        </is>
      </c>
      <c r="C7665" t="inlineStr">
        <is>
          <t>is a tough habit small habits like</t>
        </is>
      </c>
      <c r="D7665">
        <f>HYPERLINK("https://www.youtube.com/watch?v=xIjNeVXihyA&amp;t=147s", "Go to time")</f>
        <v/>
      </c>
    </row>
    <row r="7666">
      <c r="A7666">
        <f>HYPERLINK("https://www.youtube.com/watch?v=xIjNeVXihyA", "Video")</f>
        <v/>
      </c>
      <c r="B7666" t="inlineStr">
        <is>
          <t>5:59</t>
        </is>
      </c>
      <c r="C7666" t="inlineStr">
        <is>
          <t>habits do you have how do you plan to</t>
        </is>
      </c>
      <c r="D7666">
        <f>HYPERLINK("https://www.youtube.com/watch?v=xIjNeVXihyA&amp;t=359s", "Go to time")</f>
        <v/>
      </c>
    </row>
    <row r="7667">
      <c r="A7667">
        <f>HYPERLINK("https://www.youtube.com/watch?v=UBmj79x3Jgw", "Video")</f>
        <v/>
      </c>
      <c r="B7667" t="inlineStr">
        <is>
          <t>2:46</t>
        </is>
      </c>
      <c r="C7667" t="inlineStr">
        <is>
          <t>to get out of those habits.</t>
        </is>
      </c>
      <c r="D7667">
        <f>HYPERLINK("https://www.youtube.com/watch?v=UBmj79x3Jgw&amp;t=166s", "Go to time")</f>
        <v/>
      </c>
    </row>
    <row r="7668">
      <c r="A7668">
        <f>HYPERLINK("https://www.youtube.com/watch?v=UBmj79x3Jgw", "Video")</f>
        <v/>
      </c>
      <c r="B7668" t="inlineStr">
        <is>
          <t>2:58</t>
        </is>
      </c>
      <c r="C7668" t="inlineStr">
        <is>
          <t>- Harmful habits is always difficult</t>
        </is>
      </c>
      <c r="D7668">
        <f>HYPERLINK("https://www.youtube.com/watch?v=UBmj79x3Jgw&amp;t=178s", "Go to time")</f>
        <v/>
      </c>
    </row>
    <row r="7669">
      <c r="A7669">
        <f>HYPERLINK("https://www.youtube.com/watch?v=UBmj79x3Jgw", "Video")</f>
        <v/>
      </c>
      <c r="B7669" t="inlineStr">
        <is>
          <t>3:13</t>
        </is>
      </c>
      <c r="C7669" t="inlineStr">
        <is>
          <t>When trying to break the
habit of watching pornography,</t>
        </is>
      </c>
      <c r="D7669">
        <f>HYPERLINK("https://www.youtube.com/watch?v=UBmj79x3Jgw&amp;t=193s", "Go to time")</f>
        <v/>
      </c>
    </row>
    <row r="7670">
      <c r="A7670">
        <f>HYPERLINK("https://www.youtube.com/watch?v=SvL_2Vf-fPs", "Video")</f>
        <v/>
      </c>
      <c r="B7670" t="inlineStr">
        <is>
          <t>1:31</t>
        </is>
      </c>
      <c r="C7670" t="inlineStr">
        <is>
          <t>start to feel a bit prickly themselves</t>
        </is>
      </c>
      <c r="D7670">
        <f>HYPERLINK("https://www.youtube.com/watch?v=SvL_2Vf-fPs&amp;t=91s", "Go to time")</f>
        <v/>
      </c>
    </row>
    <row r="7671">
      <c r="A7671">
        <f>HYPERLINK("https://www.youtube.com/watch?v=SvL_2Vf-fPs", "Video")</f>
        <v/>
      </c>
      <c r="B7671" t="inlineStr">
        <is>
          <t>2:57</t>
        </is>
      </c>
      <c r="C7671" t="inlineStr">
        <is>
          <t>make you seem a bit less appealing to</t>
        </is>
      </c>
      <c r="D7671">
        <f>HYPERLINK("https://www.youtube.com/watch?v=SvL_2Vf-fPs&amp;t=177s", "Go to time")</f>
        <v/>
      </c>
    </row>
    <row r="7672">
      <c r="A7672">
        <f>HYPERLINK("https://www.youtube.com/watch?v=SvL_2Vf-fPs", "Video")</f>
        <v/>
      </c>
      <c r="B7672" t="inlineStr">
        <is>
          <t>4:32</t>
        </is>
      </c>
      <c r="C7672" t="inlineStr">
        <is>
          <t>make you seem a bit less attractive</t>
        </is>
      </c>
      <c r="D7672">
        <f>HYPERLINK("https://www.youtube.com/watch?v=SvL_2Vf-fPs&amp;t=272s", "Go to time")</f>
        <v/>
      </c>
    </row>
    <row r="7673">
      <c r="A7673">
        <f>HYPERLINK("https://www.youtube.com/watch?v=8l1-ey5W2zc", "Video")</f>
        <v/>
      </c>
      <c r="B7673" t="inlineStr">
        <is>
          <t>0:37</t>
        </is>
      </c>
      <c r="C7673" t="inlineStr">
        <is>
          <t>certain behaviors or habits can have a</t>
        </is>
      </c>
      <c r="D7673">
        <f>HYPERLINK("https://www.youtube.com/watch?v=8l1-ey5W2zc&amp;t=37s", "Go to time")</f>
        <v/>
      </c>
    </row>
    <row r="7674">
      <c r="A7674">
        <f>HYPERLINK("https://www.youtube.com/watch?v=oZ_U-eyrpBI", "Video")</f>
        <v/>
      </c>
      <c r="B7674" t="inlineStr">
        <is>
          <t>0:00</t>
        </is>
      </c>
      <c r="C7674" t="inlineStr">
        <is>
          <t>in past videos we've discussed habits</t>
        </is>
      </c>
      <c r="D7674">
        <f>HYPERLINK("https://www.youtube.com/watch?v=oZ_U-eyrpBI&amp;t=0s", "Go to time")</f>
        <v/>
      </c>
    </row>
    <row r="7675">
      <c r="A7675">
        <f>HYPERLINK("https://www.youtube.com/watch?v=oZ_U-eyrpBI", "Video")</f>
        <v/>
      </c>
      <c r="B7675" t="inlineStr">
        <is>
          <t>0:07</t>
        </is>
      </c>
      <c r="C7675" t="inlineStr">
        <is>
          <t>micro habits and how to utilize them the</t>
        </is>
      </c>
      <c r="D7675">
        <f>HYPERLINK("https://www.youtube.com/watch?v=oZ_U-eyrpBI&amp;t=7s", "Go to time")</f>
        <v/>
      </c>
    </row>
    <row r="7676">
      <c r="A7676">
        <f>HYPERLINK("https://www.youtube.com/watch?v=oZ_U-eyrpBI", "Video")</f>
        <v/>
      </c>
      <c r="B7676" t="inlineStr">
        <is>
          <t>1:21</t>
        </is>
      </c>
      <c r="C7676" t="inlineStr">
        <is>
          <t>habits negative selft talk negative</t>
        </is>
      </c>
      <c r="D7676">
        <f>HYPERLINK("https://www.youtube.com/watch?v=oZ_U-eyrpBI&amp;t=81s", "Go to time")</f>
        <v/>
      </c>
    </row>
    <row r="7677">
      <c r="A7677">
        <f>HYPERLINK("https://www.youtube.com/watch?v=oZ_U-eyrpBI", "Video")</f>
        <v/>
      </c>
      <c r="B7677" t="inlineStr">
        <is>
          <t>1:57</t>
        </is>
      </c>
      <c r="C7677" t="inlineStr">
        <is>
          <t>into your old habits and behaviors the</t>
        </is>
      </c>
      <c r="D7677">
        <f>HYPERLINK("https://www.youtube.com/watch?v=oZ_U-eyrpBI&amp;t=117s", "Go to time")</f>
        <v/>
      </c>
    </row>
    <row r="7678">
      <c r="A7678">
        <f>HYPERLINK("https://www.youtube.com/watch?v=84LHJ-TesEo", "Video")</f>
        <v/>
      </c>
      <c r="B7678" t="inlineStr">
        <is>
          <t>3:02</t>
        </is>
      </c>
      <c r="C7678" t="inlineStr">
        <is>
          <t>them and that's why you might feel a bit</t>
        </is>
      </c>
      <c r="D7678">
        <f>HYPERLINK("https://www.youtube.com/watch?v=84LHJ-TesEo&amp;t=182s", "Go to time")</f>
        <v/>
      </c>
    </row>
    <row r="7679">
      <c r="A7679">
        <f>HYPERLINK("https://www.youtube.com/watch?v=qwt3D4bEfVE", "Video")</f>
        <v/>
      </c>
      <c r="B7679" t="inlineStr">
        <is>
          <t>4:10</t>
        </is>
      </c>
      <c r="C7679" t="inlineStr">
        <is>
          <t>fulfilling their Ambitions and pursuing</t>
        </is>
      </c>
      <c r="D7679">
        <f>HYPERLINK("https://www.youtube.com/watch?v=qwt3D4bEfVE&amp;t=250s", "Go to time")</f>
        <v/>
      </c>
    </row>
    <row r="7680">
      <c r="A7680">
        <f>HYPERLINK("https://www.youtube.com/watch?v=u6pZeTdFctI", "Video")</f>
        <v/>
      </c>
      <c r="B7680" t="inlineStr">
        <is>
          <t>1:38</t>
        </is>
      </c>
      <c r="C7680" t="inlineStr">
        <is>
          <t>mug this is a bit different than if you</t>
        </is>
      </c>
      <c r="D7680">
        <f>HYPERLINK("https://www.youtube.com/watch?v=u6pZeTdFctI&amp;t=98s", "Go to time")</f>
        <v/>
      </c>
    </row>
    <row r="7681">
      <c r="A7681">
        <f>HYPERLINK("https://www.youtube.com/watch?v=u6pZeTdFctI", "Video")</f>
        <v/>
      </c>
      <c r="B7681" t="inlineStr">
        <is>
          <t>3:31</t>
        </is>
      </c>
      <c r="C7681" t="inlineStr">
        <is>
          <t>a situation where you could use a bit of</t>
        </is>
      </c>
      <c r="D7681">
        <f>HYPERLINK("https://www.youtube.com/watch?v=u6pZeTdFctI&amp;t=211s", "Go to time")</f>
        <v/>
      </c>
    </row>
    <row r="7682">
      <c r="A7682">
        <f>HYPERLINK("https://www.youtube.com/watch?v=u6pZeTdFctI", "Video")</f>
        <v/>
      </c>
      <c r="B7682" t="inlineStr">
        <is>
          <t>3:40</t>
        </is>
      </c>
      <c r="C7682" t="inlineStr">
        <is>
          <t>Habits Like slouching fidgeting or</t>
        </is>
      </c>
      <c r="D7682">
        <f>HYPERLINK("https://www.youtube.com/watch?v=u6pZeTdFctI&amp;t=220s", "Go to time")</f>
        <v/>
      </c>
    </row>
    <row r="7683">
      <c r="A7683">
        <f>HYPERLINK("https://www.youtube.com/watch?v=8xdFQLo8tjc", "Video")</f>
        <v/>
      </c>
      <c r="B7683" t="inlineStr">
        <is>
          <t>1:12</t>
        </is>
      </c>
      <c r="C7683" t="inlineStr">
        <is>
          <t>up your last bits of homework run to</t>
        </is>
      </c>
      <c r="D7683">
        <f>HYPERLINK("https://www.youtube.com/watch?v=8xdFQLo8tjc&amp;t=72s", "Go to time")</f>
        <v/>
      </c>
    </row>
    <row r="7684">
      <c r="A7684">
        <f>HYPERLINK("https://www.youtube.com/watch?v=DEGnLn33Zl0", "Video")</f>
        <v/>
      </c>
      <c r="B7684" t="inlineStr">
        <is>
          <t>8:44</t>
        </is>
      </c>
      <c r="C7684" t="inlineStr">
        <is>
          <t>more tidbits about psychology and</t>
        </is>
      </c>
      <c r="D7684">
        <f>HYPERLINK("https://www.youtube.com/watch?v=DEGnLn33Zl0&amp;t=524s", "Go to time")</f>
        <v/>
      </c>
    </row>
    <row r="7685">
      <c r="A7685">
        <f>HYPERLINK("https://www.youtube.com/watch?v=1U7VpucWznE", "Video")</f>
        <v/>
      </c>
      <c r="B7685" t="inlineStr">
        <is>
          <t>0:37</t>
        </is>
      </c>
      <c r="C7685" t="inlineStr">
        <is>
          <t>certain negative habits and increase our</t>
        </is>
      </c>
      <c r="D7685">
        <f>HYPERLINK("https://www.youtube.com/watch?v=1U7VpucWznE&amp;t=37s", "Go to time")</f>
        <v/>
      </c>
    </row>
    <row r="7686">
      <c r="A7686">
        <f>HYPERLINK("https://www.youtube.com/watch?v=LkcDzj-Hgy0", "Video")</f>
        <v/>
      </c>
      <c r="B7686" t="inlineStr">
        <is>
          <t>1:02</t>
        </is>
      </c>
      <c r="C7686" t="inlineStr">
        <is>
          <t>self-preservation habit has come to</t>
        </is>
      </c>
      <c r="D7686">
        <f>HYPERLINK("https://www.youtube.com/watch?v=LkcDzj-Hgy0&amp;t=62s", "Go to time")</f>
        <v/>
      </c>
    </row>
    <row r="7687">
      <c r="A7687">
        <f>HYPERLINK("https://www.youtube.com/watch?v=CyCMRjNs4ms", "Video")</f>
        <v/>
      </c>
      <c r="B7687" t="inlineStr">
        <is>
          <t>0:04</t>
        </is>
      </c>
      <c r="C7687" t="inlineStr">
        <is>
          <t>they're all ambitious manipulative and</t>
        </is>
      </c>
      <c r="D7687">
        <f>HYPERLINK("https://www.youtube.com/watch?v=CyCMRjNs4ms&amp;t=4s", "Go to time")</f>
        <v/>
      </c>
    </row>
    <row r="7688">
      <c r="A7688">
        <f>HYPERLINK("https://www.youtube.com/watch?v=wuHjQKKR1VY", "Video")</f>
        <v/>
      </c>
      <c r="B7688" t="inlineStr">
        <is>
          <t>3:59</t>
        </is>
      </c>
      <c r="C7688" t="inlineStr">
        <is>
          <t>that always adds just a little
bit more fun to the process.</t>
        </is>
      </c>
      <c r="D7688">
        <f>HYPERLINK("https://www.youtube.com/watch?v=wuHjQKKR1VY&amp;t=239s", "Go to time")</f>
        <v/>
      </c>
    </row>
    <row r="7689">
      <c r="A7689">
        <f>HYPERLINK("https://www.youtube.com/watch?v=wLOuCI8uqPU", "Video")</f>
        <v/>
      </c>
      <c r="B7689" t="inlineStr">
        <is>
          <t>0:22</t>
        </is>
      </c>
      <c r="C7689" t="inlineStr">
        <is>
          <t>may just be a bit stronger.</t>
        </is>
      </c>
      <c r="D7689">
        <f>HYPERLINK("https://www.youtube.com/watch?v=wLOuCI8uqPU&amp;t=22s", "Go to time")</f>
        <v/>
      </c>
    </row>
    <row r="7690">
      <c r="A7690">
        <f>HYPERLINK("https://www.youtube.com/watch?v=wLOuCI8uqPU", "Video")</f>
        <v/>
      </c>
      <c r="B7690" t="inlineStr">
        <is>
          <t>0:53</t>
        </is>
      </c>
      <c r="C7690" t="inlineStr">
        <is>
          <t>Notice your friend trying
to spend a bit more time</t>
        </is>
      </c>
      <c r="D7690">
        <f>HYPERLINK("https://www.youtube.com/watch?v=wLOuCI8uqPU&amp;t=53s", "Go to time")</f>
        <v/>
      </c>
    </row>
    <row r="7691">
      <c r="A7691">
        <f>HYPERLINK("https://www.youtube.com/watch?v=wLOuCI8uqPU", "Video")</f>
        <v/>
      </c>
      <c r="B7691" t="inlineStr">
        <is>
          <t>1:48</t>
        </is>
      </c>
      <c r="C7691" t="inlineStr">
        <is>
          <t>And their body language
may be a bit nervous</t>
        </is>
      </c>
      <c r="D7691">
        <f>HYPERLINK("https://www.youtube.com/watch?v=wLOuCI8uqPU&amp;t=108s", "Go to time")</f>
        <v/>
      </c>
    </row>
    <row r="7692">
      <c r="A7692">
        <f>HYPERLINK("https://www.youtube.com/watch?v=wLOuCI8uqPU", "Video")</f>
        <v/>
      </c>
      <c r="B7692" t="inlineStr">
        <is>
          <t>2:22</t>
        </is>
      </c>
      <c r="C7692" t="inlineStr">
        <is>
          <t>If they make effort to try to
turn any bit of conversation</t>
        </is>
      </c>
      <c r="D7692">
        <f>HYPERLINK("https://www.youtube.com/watch?v=wLOuCI8uqPU&amp;t=142s", "Go to time")</f>
        <v/>
      </c>
    </row>
    <row r="7693">
      <c r="A7693">
        <f>HYPERLINK("https://www.youtube.com/watch?v=BzWD3YI79ZI", "Video")</f>
        <v/>
      </c>
      <c r="B7693" t="inlineStr">
        <is>
          <t>3:01</t>
        </is>
      </c>
      <c r="C7693" t="inlineStr">
        <is>
          <t>of being a wallflower if
not then this is a bit</t>
        </is>
      </c>
      <c r="D7693">
        <f>HYPERLINK("https://www.youtube.com/watch?v=BzWD3YI79ZI&amp;t=181s", "Go to time")</f>
        <v/>
      </c>
    </row>
    <row r="7694">
      <c r="A7694">
        <f>HYPERLINK("https://www.youtube.com/watch?v=hZ0Wos8zusU", "Video")</f>
        <v/>
      </c>
      <c r="B7694" t="inlineStr">
        <is>
          <t>2:34</t>
        </is>
      </c>
      <c r="C7694" t="inlineStr">
        <is>
          <t>play without inhibition and approach</t>
        </is>
      </c>
      <c r="D7694">
        <f>HYPERLINK("https://www.youtube.com/watch?v=hZ0Wos8zusU&amp;t=154s", "Go to time")</f>
        <v/>
      </c>
    </row>
    <row r="7695">
      <c r="A7695">
        <f>HYPERLINK("https://www.youtube.com/watch?v=ebIgDuABVxw", "Video")</f>
        <v/>
      </c>
      <c r="B7695" t="inlineStr">
        <is>
          <t>4:33</t>
        </is>
      </c>
      <c r="C7695" t="inlineStr">
        <is>
          <t>arbitrary standard don't fit a certain</t>
        </is>
      </c>
      <c r="D7695">
        <f>HYPERLINK("https://www.youtube.com/watch?v=ebIgDuABVxw&amp;t=273s", "Go to time")</f>
        <v/>
      </c>
    </row>
    <row r="7696">
      <c r="A7696">
        <f>HYPERLINK("https://www.youtube.com/watch?v=JCtpwMLq33I", "Video")</f>
        <v/>
      </c>
      <c r="B7696" t="inlineStr">
        <is>
          <t>1:23</t>
        </is>
      </c>
      <c r="C7696" t="inlineStr">
        <is>
          <t>However, if someone exhibits
more than four signs</t>
        </is>
      </c>
      <c r="D7696">
        <f>HYPERLINK("https://www.youtube.com/watch?v=JCtpwMLq33I&amp;t=83s", "Go to time")</f>
        <v/>
      </c>
    </row>
    <row r="7697">
      <c r="A7697">
        <f>HYPERLINK("https://www.youtube.com/watch?v=-6JJQSEBIn0", "Video")</f>
        <v/>
      </c>
      <c r="B7697" t="inlineStr">
        <is>
          <t>1:45</t>
        </is>
      </c>
      <c r="C7697" t="inlineStr">
        <is>
          <t>cause might be your masturbation habits</t>
        </is>
      </c>
      <c r="D7697">
        <f>HYPERLINK("https://www.youtube.com/watch?v=-6JJQSEBIn0&amp;t=105s", "Go to time")</f>
        <v/>
      </c>
    </row>
    <row r="7698">
      <c r="A7698">
        <f>HYPERLINK("https://www.youtube.com/watch?v=lUdv3POku0s", "Video")</f>
        <v/>
      </c>
      <c r="B7698" t="inlineStr">
        <is>
          <t>1:17</t>
        </is>
      </c>
      <c r="C7698" t="inlineStr">
        <is>
          <t>cruel so they soften up a bit the best</t>
        </is>
      </c>
      <c r="D7698">
        <f>HYPERLINK("https://www.youtube.com/watch?v=lUdv3POku0s&amp;t=77s", "Go to time")</f>
        <v/>
      </c>
    </row>
    <row r="7699">
      <c r="A7699">
        <f>HYPERLINK("https://www.youtube.com/watch?v=4HTKzQm67mw", "Video")</f>
        <v/>
      </c>
      <c r="B7699" t="inlineStr">
        <is>
          <t>1:57</t>
        </is>
      </c>
      <c r="C7699" t="inlineStr">
        <is>
          <t>acknowledge it as a habit you can work</t>
        </is>
      </c>
      <c r="D7699">
        <f>HYPERLINK("https://www.youtube.com/watch?v=4HTKzQm67mw&amp;t=117s", "Go to time")</f>
        <v/>
      </c>
    </row>
    <row r="7700">
      <c r="A7700">
        <f>HYPERLINK("https://www.youtube.com/watch?v=4HTKzQm67mw", "Video")</f>
        <v/>
      </c>
      <c r="B7700" t="inlineStr">
        <is>
          <t>6:26</t>
        </is>
      </c>
      <c r="C7700" t="inlineStr">
        <is>
          <t>into old habits and that's okay what</t>
        </is>
      </c>
      <c r="D7700">
        <f>HYPERLINK("https://www.youtube.com/watch?v=4HTKzQm67mw&amp;t=386s", "Go to time")</f>
        <v/>
      </c>
    </row>
    <row r="7701">
      <c r="A7701">
        <f>HYPERLINK("https://www.youtube.com/watch?v=NagKB897EAY", "Video")</f>
        <v/>
      </c>
      <c r="B7701" t="inlineStr">
        <is>
          <t>3:17</t>
        </is>
      </c>
      <c r="C7701" t="inlineStr">
        <is>
          <t>bit more so in your efforts to force</t>
        </is>
      </c>
      <c r="D7701">
        <f>HYPERLINK("https://www.youtube.com/watch?v=NagKB897EAY&amp;t=197s", "Go to time")</f>
        <v/>
      </c>
    </row>
    <row r="7702">
      <c r="A7702">
        <f>HYPERLINK("https://www.youtube.com/watch?v=ynipGhbf-aI", "Video")</f>
        <v/>
      </c>
      <c r="B7702" t="inlineStr">
        <is>
          <t>4:06</t>
        </is>
      </c>
      <c r="C7702" t="inlineStr">
        <is>
          <t>want to make a habit of when starting a</t>
        </is>
      </c>
      <c r="D7702">
        <f>HYPERLINK("https://www.youtube.com/watch?v=ynipGhbf-aI&amp;t=246s", "Go to time")</f>
        <v/>
      </c>
    </row>
    <row r="7703">
      <c r="A7703">
        <f>HYPERLINK("https://www.youtube.com/watch?v=WS1xXDQdV9M", "Video")</f>
        <v/>
      </c>
      <c r="B7703" t="inlineStr">
        <is>
          <t>2:15</t>
        </is>
      </c>
      <c r="C7703" t="inlineStr">
        <is>
          <t>is a bit uncomfortable
for you; that's okay.</t>
        </is>
      </c>
      <c r="D7703">
        <f>HYPERLINK("https://www.youtube.com/watch?v=WS1xXDQdV9M&amp;t=135s", "Go to time")</f>
        <v/>
      </c>
    </row>
    <row r="7704">
      <c r="A7704">
        <f>HYPERLINK("https://www.youtube.com/watch?v=la0hEHT-TG0", "Video")</f>
        <v/>
      </c>
      <c r="B7704" t="inlineStr">
        <is>
          <t>3:07</t>
        </is>
      </c>
      <c r="C7704" t="inlineStr">
        <is>
          <t>like psychoanalyst babita Spinelli</t>
        </is>
      </c>
      <c r="D7704">
        <f>HYPERLINK("https://www.youtube.com/watch?v=la0hEHT-TG0&amp;t=187s", "Go to time")</f>
        <v/>
      </c>
    </row>
    <row r="7705">
      <c r="A7705">
        <f>HYPERLINK("https://www.youtube.com/watch?v=OP-i8L5UvQI", "Video")</f>
        <v/>
      </c>
      <c r="B7705" t="inlineStr">
        <is>
          <t>1:18</t>
        </is>
      </c>
      <c r="C7705" t="inlineStr">
        <is>
          <t>already have a little bit of Stardust</t>
        </is>
      </c>
      <c r="D7705">
        <f>HYPERLINK("https://www.youtube.com/watch?v=OP-i8L5UvQI&amp;t=78s", "Go to time")</f>
        <v/>
      </c>
    </row>
    <row r="7706">
      <c r="A7706">
        <f>HYPERLINK("https://www.youtube.com/watch?v=ewLy6ln-MWo", "Video")</f>
        <v/>
      </c>
      <c r="B7706" t="inlineStr">
        <is>
          <t>2:58</t>
        </is>
      </c>
      <c r="C7706" t="inlineStr">
        <is>
          <t>weakness but a harmful habit for your</t>
        </is>
      </c>
      <c r="D7706">
        <f>HYPERLINK("https://www.youtube.com/watch?v=ewLy6ln-MWo&amp;t=178s", "Go to time")</f>
        <v/>
      </c>
    </row>
    <row r="7707">
      <c r="A7707">
        <f>HYPERLINK("https://www.youtube.com/watch?v=gGyVD297p4o", "Video")</f>
        <v/>
      </c>
      <c r="B7707" t="inlineStr">
        <is>
          <t>0:53</t>
        </is>
      </c>
      <c r="C7707" t="inlineStr">
        <is>
          <t>have a habit of tapping their foot</t>
        </is>
      </c>
      <c r="D7707">
        <f>HYPERLINK("https://www.youtube.com/watch?v=gGyVD297p4o&amp;t=53s", "Go to time")</f>
        <v/>
      </c>
    </row>
    <row r="7708">
      <c r="A7708">
        <f>HYPERLINK("https://www.youtube.com/watch?v=gGyVD297p4o", "Video")</f>
        <v/>
      </c>
      <c r="B7708" t="inlineStr">
        <is>
          <t>1:15</t>
        </is>
      </c>
      <c r="C7708" t="inlineStr">
        <is>
          <t>bit of a furrowed brow then they may be</t>
        </is>
      </c>
      <c r="D7708">
        <f>HYPERLINK("https://www.youtube.com/watch?v=gGyVD297p4o&amp;t=75s", "Go to time")</f>
        <v/>
      </c>
    </row>
    <row r="7709">
      <c r="A7709">
        <f>HYPERLINK("https://www.youtube.com/watch?v=gGyVD297p4o", "Video")</f>
        <v/>
      </c>
      <c r="B7709" t="inlineStr">
        <is>
          <t>1:17</t>
        </is>
      </c>
      <c r="C7709" t="inlineStr">
        <is>
          <t>a bit upset or trying to intimidate you</t>
        </is>
      </c>
      <c r="D7709">
        <f>HYPERLINK("https://www.youtube.com/watch?v=gGyVD297p4o&amp;t=77s", "Go to time")</f>
        <v/>
      </c>
    </row>
    <row r="7710">
      <c r="A7710">
        <f>HYPERLINK("https://www.youtube.com/watch?v=gGyVD297p4o", "Video")</f>
        <v/>
      </c>
      <c r="B7710" t="inlineStr">
        <is>
          <t>2:53</t>
        </is>
      </c>
      <c r="C7710" t="inlineStr">
        <is>
          <t>they're biting their lip or chewing</t>
        </is>
      </c>
      <c r="D7710">
        <f>HYPERLINK("https://www.youtube.com/watch?v=gGyVD297p4o&amp;t=173s", "Go to time")</f>
        <v/>
      </c>
    </row>
    <row r="7711">
      <c r="A7711">
        <f>HYPERLINK("https://www.youtube.com/watch?v=gGyVD297p4o", "Video")</f>
        <v/>
      </c>
      <c r="B7711" t="inlineStr">
        <is>
          <t>3:09</t>
        </is>
      </c>
      <c r="C7711" t="inlineStr">
        <is>
          <t>lips could mean they're a bit uneasy</t>
        </is>
      </c>
      <c r="D7711">
        <f>HYPERLINK("https://www.youtube.com/watch?v=gGyVD297p4o&amp;t=189s", "Go to time")</f>
        <v/>
      </c>
    </row>
    <row r="7712">
      <c r="A7712">
        <f>HYPERLINK("https://www.youtube.com/watch?v=gGyVD297p4o", "Video")</f>
        <v/>
      </c>
      <c r="B7712" t="inlineStr">
        <is>
          <t>3:18</t>
        </is>
      </c>
      <c r="C7712" t="inlineStr">
        <is>
          <t>you biting their own lips could also</t>
        </is>
      </c>
      <c r="D7712">
        <f>HYPERLINK("https://www.youtube.com/watch?v=gGyVD297p4o&amp;t=198s", "Go to time")</f>
        <v/>
      </c>
    </row>
    <row r="7713">
      <c r="A7713">
        <f>HYPERLINK("https://www.youtube.com/watch?v=gGyVD297p4o", "Video")</f>
        <v/>
      </c>
      <c r="B7713" t="inlineStr">
        <is>
          <t>4:06</t>
        </is>
      </c>
      <c r="C7713" t="inlineStr">
        <is>
          <t>sign of tension someone may feel bitter</t>
        </is>
      </c>
      <c r="D7713">
        <f>HYPERLINK("https://www.youtube.com/watch?v=gGyVD297p4o&amp;t=246s", "Go to time")</f>
        <v/>
      </c>
    </row>
    <row r="7714">
      <c r="A7714">
        <f>HYPERLINK("https://www.youtube.com/watch?v=vr9YQvnvaKQ", "Video")</f>
        <v/>
      </c>
      <c r="B7714" t="inlineStr">
        <is>
          <t>1:06</t>
        </is>
      </c>
      <c r="C7714" t="inlineStr">
        <is>
          <t>little bit too much when our partner is</t>
        </is>
      </c>
      <c r="D7714">
        <f>HYPERLINK("https://www.youtube.com/watch?v=vr9YQvnvaKQ&amp;t=66s", "Go to time")</f>
        <v/>
      </c>
    </row>
    <row r="7715">
      <c r="A7715">
        <f>HYPERLINK("https://www.youtube.com/watch?v=vr9YQvnvaKQ", "Video")</f>
        <v/>
      </c>
      <c r="B7715" t="inlineStr">
        <is>
          <t>1:16</t>
        </is>
      </c>
      <c r="C7715" t="inlineStr">
        <is>
          <t>sometimes it can be a bit difficult to</t>
        </is>
      </c>
      <c r="D7715">
        <f>HYPERLINK("https://www.youtube.com/watch?v=vr9YQvnvaKQ&amp;t=76s", "Go to time")</f>
        <v/>
      </c>
    </row>
    <row r="7716">
      <c r="A7716">
        <f>HYPERLINK("https://www.youtube.com/watch?v=vr9YQvnvaKQ", "Video")</f>
        <v/>
      </c>
      <c r="B7716" t="inlineStr">
        <is>
          <t>3:39</t>
        </is>
      </c>
      <c r="C7716" t="inlineStr">
        <is>
          <t>relationships this may sound a bit</t>
        </is>
      </c>
      <c r="D7716">
        <f>HYPERLINK("https://www.youtube.com/watch?v=vr9YQvnvaKQ&amp;t=219s", "Go to time")</f>
        <v/>
      </c>
    </row>
    <row r="7717">
      <c r="A7717">
        <f>HYPERLINK("https://www.youtube.com/watch?v=MP8WW-z_u_I", "Video")</f>
        <v/>
      </c>
      <c r="B7717" t="inlineStr">
        <is>
          <t>2:45</t>
        </is>
      </c>
      <c r="C7717" t="inlineStr">
        <is>
          <t>self-assurance, ambition,</t>
        </is>
      </c>
      <c r="D7717">
        <f>HYPERLINK("https://www.youtube.com/watch?v=MP8WW-z_u_I&amp;t=165s", "Go to time")</f>
        <v/>
      </c>
    </row>
    <row r="7718">
      <c r="A7718">
        <f>HYPERLINK("https://www.youtube.com/watch?v=drGszzn8tXs", "Video")</f>
        <v/>
      </c>
      <c r="B7718" t="inlineStr">
        <is>
          <t>3:14</t>
        </is>
      </c>
      <c r="C7718" t="inlineStr">
        <is>
          <t>can dampen your confidence and inhibit</t>
        </is>
      </c>
      <c r="D7718">
        <f>HYPERLINK("https://www.youtube.com/watch?v=drGszzn8tXs&amp;t=194s", "Go to time")</f>
        <v/>
      </c>
    </row>
    <row r="7719">
      <c r="A7719">
        <f>HYPERLINK("https://www.youtube.com/watch?v=kUuzCkxxdG4", "Video")</f>
        <v/>
      </c>
      <c r="B7719" t="inlineStr">
        <is>
          <t>1:01</t>
        </is>
      </c>
      <c r="C7719" t="inlineStr">
        <is>
          <t>your dreams and Ambitions like that</t>
        </is>
      </c>
      <c r="D7719">
        <f>HYPERLINK("https://www.youtube.com/watch?v=kUuzCkxxdG4&amp;t=61s", "Go to time")</f>
        <v/>
      </c>
    </row>
    <row r="7720">
      <c r="A7720">
        <f>HYPERLINK("https://www.youtube.com/watch?v=kUuzCkxxdG4", "Video")</f>
        <v/>
      </c>
      <c r="B7720" t="inlineStr">
        <is>
          <t>1:05</t>
        </is>
      </c>
      <c r="C7720" t="inlineStr">
        <is>
          <t>were engrossed in your career Ambitions</t>
        </is>
      </c>
      <c r="D7720">
        <f>HYPERLINK("https://www.youtube.com/watch?v=kUuzCkxxdG4&amp;t=65s", "Go to time")</f>
        <v/>
      </c>
    </row>
    <row r="7721">
      <c r="A7721">
        <f>HYPERLINK("https://www.youtube.com/watch?v=NDdJfzWV0Qs", "Video")</f>
        <v/>
      </c>
      <c r="B7721" t="inlineStr">
        <is>
          <t>1:34</t>
        </is>
      </c>
      <c r="C7721" t="inlineStr">
        <is>
          <t>still a bit harsh doc once the subjects</t>
        </is>
      </c>
      <c r="D7721">
        <f>HYPERLINK("https://www.youtube.com/watch?v=NDdJfzWV0Qs&amp;t=94s", "Go to time")</f>
        <v/>
      </c>
    </row>
    <row r="7722">
      <c r="A7722">
        <f>HYPERLINK("https://www.youtube.com/watch?v=TDKt4oTdkiQ", "Video")</f>
        <v/>
      </c>
      <c r="B7722" t="inlineStr">
        <is>
          <t>4:22</t>
        </is>
      </c>
      <c r="C7722" t="inlineStr">
        <is>
          <t>up behaving a bit like a dictator you</t>
        </is>
      </c>
      <c r="D7722">
        <f>HYPERLINK("https://www.youtube.com/watch?v=TDKt4oTdkiQ&amp;t=262s", "Go to time")</f>
        <v/>
      </c>
    </row>
    <row r="7723">
      <c r="A7723">
        <f>HYPERLINK("https://www.youtube.com/watch?v=scsTArxNOSQ", "Video")</f>
        <v/>
      </c>
      <c r="B7723" t="inlineStr">
        <is>
          <t>0:00</t>
        </is>
      </c>
      <c r="C7723" t="inlineStr">
        <is>
          <t>while good habits can help you become</t>
        </is>
      </c>
      <c r="D7723">
        <f>HYPERLINK("https://www.youtube.com/watch?v=scsTArxNOSQ&amp;t=0s", "Go to time")</f>
        <v/>
      </c>
    </row>
    <row r="7724">
      <c r="A7724">
        <f>HYPERLINK("https://www.youtube.com/watch?v=scsTArxNOSQ", "Video")</f>
        <v/>
      </c>
      <c r="B7724" t="inlineStr">
        <is>
          <t>0:01</t>
        </is>
      </c>
      <c r="C7724" t="inlineStr">
        <is>
          <t>your best self bad habits can hold you</t>
        </is>
      </c>
      <c r="D7724">
        <f>HYPERLINK("https://www.youtube.com/watch?v=scsTArxNOSQ&amp;t=1s", "Go to time")</f>
        <v/>
      </c>
    </row>
    <row r="7725">
      <c r="A7725">
        <f>HYPERLINK("https://www.youtube.com/watch?v=scsTArxNOSQ", "Video")</f>
        <v/>
      </c>
      <c r="B7725" t="inlineStr">
        <is>
          <t>0:08</t>
        </is>
      </c>
      <c r="C7725" t="inlineStr">
        <is>
          <t>bad habits form and identify them early</t>
        </is>
      </c>
      <c r="D7725">
        <f>HYPERLINK("https://www.youtube.com/watch?v=scsTArxNOSQ&amp;t=8s", "Go to time")</f>
        <v/>
      </c>
    </row>
    <row r="7726">
      <c r="A7726">
        <f>HYPERLINK("https://www.youtube.com/watch?v=scsTArxNOSQ", "Video")</f>
        <v/>
      </c>
      <c r="B7726" t="inlineStr">
        <is>
          <t>0:16</t>
        </is>
      </c>
      <c r="C7726" t="inlineStr">
        <is>
          <t>habits according to science let's jump</t>
        </is>
      </c>
      <c r="D7726">
        <f>HYPERLINK("https://www.youtube.com/watch?v=scsTArxNOSQ&amp;t=16s", "Go to time")</f>
        <v/>
      </c>
    </row>
    <row r="7727">
      <c r="A7727">
        <f>HYPERLINK("https://www.youtube.com/watch?v=scsTArxNOSQ", "Video")</f>
        <v/>
      </c>
      <c r="B7727" t="inlineStr">
        <is>
          <t>0:18</t>
        </is>
      </c>
      <c r="C7727" t="inlineStr">
        <is>
          <t>into it the Habit Loop the first step to</t>
        </is>
      </c>
      <c r="D7727">
        <f>HYPERLINK("https://www.youtube.com/watch?v=scsTArxNOSQ&amp;t=18s", "Go to time")</f>
        <v/>
      </c>
    </row>
    <row r="7728">
      <c r="A7728">
        <f>HYPERLINK("https://www.youtube.com/watch?v=scsTArxNOSQ", "Video")</f>
        <v/>
      </c>
      <c r="B7728" t="inlineStr">
        <is>
          <t>0:21</t>
        </is>
      </c>
      <c r="C7728" t="inlineStr">
        <is>
          <t>recognizing a problematic habit is</t>
        </is>
      </c>
      <c r="D7728">
        <f>HYPERLINK("https://www.youtube.com/watch?v=scsTArxNOSQ&amp;t=21s", "Go to time")</f>
        <v/>
      </c>
    </row>
    <row r="7729">
      <c r="A7729">
        <f>HYPERLINK("https://www.youtube.com/watch?v=scsTArxNOSQ", "Video")</f>
        <v/>
      </c>
      <c r="B7729" t="inlineStr">
        <is>
          <t>0:25</t>
        </is>
      </c>
      <c r="C7729" t="inlineStr">
        <is>
          <t>Habit in the first place according to</t>
        </is>
      </c>
      <c r="D7729">
        <f>HYPERLINK("https://www.youtube.com/watch?v=scsTArxNOSQ&amp;t=25s", "Go to time")</f>
        <v/>
      </c>
    </row>
    <row r="7730">
      <c r="A7730">
        <f>HYPERLINK("https://www.youtube.com/watch?v=scsTArxNOSQ", "Video")</f>
        <v/>
      </c>
      <c r="B7730" t="inlineStr">
        <is>
          <t>0:27</t>
        </is>
      </c>
      <c r="C7730" t="inlineStr">
        <is>
          <t>psychology today habits are formed form</t>
        </is>
      </c>
      <c r="D7730">
        <f>HYPERLINK("https://www.youtube.com/watch?v=scsTArxNOSQ&amp;t=27s", "Go to time")</f>
        <v/>
      </c>
    </row>
    <row r="7731">
      <c r="A7731">
        <f>HYPERLINK("https://www.youtube.com/watch?v=scsTArxNOSQ", "Video")</f>
        <v/>
      </c>
      <c r="B7731" t="inlineStr">
        <is>
          <t>0:36</t>
        </is>
      </c>
      <c r="C7731" t="inlineStr">
        <is>
          <t>prompt you to engage in your habit</t>
        </is>
      </c>
      <c r="D7731">
        <f>HYPERLINK("https://www.youtube.com/watch?v=scsTArxNOSQ&amp;t=36s", "Go to time")</f>
        <v/>
      </c>
    </row>
    <row r="7732">
      <c r="A7732">
        <f>HYPERLINK("https://www.youtube.com/watch?v=scsTArxNOSQ", "Video")</f>
        <v/>
      </c>
      <c r="B7732" t="inlineStr">
        <is>
          <t>0:38</t>
        </is>
      </c>
      <c r="C7732" t="inlineStr">
        <is>
          <t>behaviors are the Habit itself and</t>
        </is>
      </c>
      <c r="D7732">
        <f>HYPERLINK("https://www.youtube.com/watch?v=scsTArxNOSQ&amp;t=38s", "Go to time")</f>
        <v/>
      </c>
    </row>
    <row r="7733">
      <c r="A7733">
        <f>HYPERLINK("https://www.youtube.com/watch?v=scsTArxNOSQ", "Video")</f>
        <v/>
      </c>
      <c r="B7733" t="inlineStr">
        <is>
          <t>0:41</t>
        </is>
      </c>
      <c r="C7733" t="inlineStr">
        <is>
          <t>rewards are how the Habit makes you feel</t>
        </is>
      </c>
      <c r="D7733">
        <f>HYPERLINK("https://www.youtube.com/watch?v=scsTArxNOSQ&amp;t=41s", "Go to time")</f>
        <v/>
      </c>
    </row>
    <row r="7734">
      <c r="A7734">
        <f>HYPERLINK("https://www.youtube.com/watch?v=scsTArxNOSQ", "Video")</f>
        <v/>
      </c>
      <c r="B7734" t="inlineStr">
        <is>
          <t>0:42</t>
        </is>
      </c>
      <c r="C7734" t="inlineStr">
        <is>
          <t>better this process is called The Habit</t>
        </is>
      </c>
      <c r="D7734">
        <f>HYPERLINK("https://www.youtube.com/watch?v=scsTArxNOSQ&amp;t=42s", "Go to time")</f>
        <v/>
      </c>
    </row>
    <row r="7735">
      <c r="A7735">
        <f>HYPERLINK("https://www.youtube.com/watch?v=scsTArxNOSQ", "Video")</f>
        <v/>
      </c>
      <c r="B7735" t="inlineStr">
        <is>
          <t>0:44</t>
        </is>
      </c>
      <c r="C7735" t="inlineStr">
        <is>
          <t>Loop let's say you have a bad habit of</t>
        </is>
      </c>
      <c r="D7735">
        <f>HYPERLINK("https://www.youtube.com/watch?v=scsTArxNOSQ&amp;t=44s", "Go to time")</f>
        <v/>
      </c>
    </row>
    <row r="7736">
      <c r="A7736">
        <f>HYPERLINK("https://www.youtube.com/watch?v=scsTArxNOSQ", "Video")</f>
        <v/>
      </c>
      <c r="B7736" t="inlineStr">
        <is>
          <t>1:22</t>
        </is>
      </c>
      <c r="C7736" t="inlineStr">
        <is>
          <t>habit is becoming a problem the good</t>
        </is>
      </c>
      <c r="D7736">
        <f>HYPERLINK("https://www.youtube.com/watch?v=scsTArxNOSQ&amp;t=82s", "Go to time")</f>
        <v/>
      </c>
    </row>
    <row r="7737">
      <c r="A7737">
        <f>HYPERLINK("https://www.youtube.com/watch?v=scsTArxNOSQ", "Video")</f>
        <v/>
      </c>
      <c r="B7737" t="inlineStr">
        <is>
          <t>1:26</t>
        </is>
      </c>
      <c r="C7737" t="inlineStr">
        <is>
          <t>in your habit Loop you can break out of</t>
        </is>
      </c>
      <c r="D7737">
        <f>HYPERLINK("https://www.youtube.com/watch?v=scsTArxNOSQ&amp;t=86s", "Go to time")</f>
        <v/>
      </c>
    </row>
    <row r="7738">
      <c r="A7738">
        <f>HYPERLINK("https://www.youtube.com/watch?v=scsTArxNOSQ", "Video")</f>
        <v/>
      </c>
      <c r="B7738" t="inlineStr">
        <is>
          <t>1:28</t>
        </is>
      </c>
      <c r="C7738" t="inlineStr">
        <is>
          <t>it and stop your bad habits</t>
        </is>
      </c>
      <c r="D7738">
        <f>HYPERLINK("https://www.youtube.com/watch?v=scsTArxNOSQ&amp;t=88s", "Go to time")</f>
        <v/>
      </c>
    </row>
    <row r="7739">
      <c r="A7739">
        <f>HYPERLINK("https://www.youtube.com/watch?v=scsTArxNOSQ", "Video")</f>
        <v/>
      </c>
      <c r="B7739" t="inlineStr">
        <is>
          <t>1:36</t>
        </is>
      </c>
      <c r="C7739" t="inlineStr">
        <is>
          <t>the habit what triggers your bad habits</t>
        </is>
      </c>
      <c r="D7739">
        <f>HYPERLINK("https://www.youtube.com/watch?v=scsTArxNOSQ&amp;t=96s", "Go to time")</f>
        <v/>
      </c>
    </row>
    <row r="7740">
      <c r="A7740">
        <f>HYPERLINK("https://www.youtube.com/watch?v=scsTArxNOSQ", "Video")</f>
        <v/>
      </c>
      <c r="B7740" t="inlineStr">
        <is>
          <t>1:43</t>
        </is>
      </c>
      <c r="C7740" t="inlineStr">
        <is>
          <t>environment and make the habits less</t>
        </is>
      </c>
      <c r="D7740">
        <f>HYPERLINK("https://www.youtube.com/watch?v=scsTArxNOSQ&amp;t=103s", "Go to time")</f>
        <v/>
      </c>
    </row>
    <row r="7741">
      <c r="A7741">
        <f>HYPERLINK("https://www.youtube.com/watch?v=scsTArxNOSQ", "Video")</f>
        <v/>
      </c>
      <c r="B7741" t="inlineStr">
        <is>
          <t>1:47</t>
        </is>
      </c>
      <c r="C7741" t="inlineStr">
        <is>
          <t>have a habit of staying up too late in</t>
        </is>
      </c>
      <c r="D7741">
        <f>HYPERLINK("https://www.youtube.com/watch?v=scsTArxNOSQ&amp;t=107s", "Go to time")</f>
        <v/>
      </c>
    </row>
    <row r="7742">
      <c r="A7742">
        <f>HYPERLINK("https://www.youtube.com/watch?v=scsTArxNOSQ", "Video")</f>
        <v/>
      </c>
      <c r="B7742" t="inlineStr">
        <is>
          <t>2:16</t>
        </is>
      </c>
      <c r="C7742" t="inlineStr">
        <is>
          <t>that negative habits are usually</t>
        </is>
      </c>
      <c r="D7742">
        <f>HYPERLINK("https://www.youtube.com/watch?v=scsTArxNOSQ&amp;t=136s", "Go to time")</f>
        <v/>
      </c>
    </row>
    <row r="7743">
      <c r="A7743">
        <f>HYPERLINK("https://www.youtube.com/watch?v=scsTArxNOSQ", "Video")</f>
        <v/>
      </c>
      <c r="B7743" t="inlineStr">
        <is>
          <t>2:22</t>
        </is>
      </c>
      <c r="C7743" t="inlineStr">
        <is>
          <t>habits are often formed consciously and</t>
        </is>
      </c>
      <c r="D7743">
        <f>HYPERLINK("https://www.youtube.com/watch?v=scsTArxNOSQ&amp;t=142s", "Go to time")</f>
        <v/>
      </c>
    </row>
    <row r="7744">
      <c r="A7744">
        <f>HYPERLINK("https://www.youtube.com/watch?v=scsTArxNOSQ", "Video")</f>
        <v/>
      </c>
      <c r="B7744" t="inlineStr">
        <is>
          <t>2:27</t>
        </is>
      </c>
      <c r="C7744" t="inlineStr">
        <is>
          <t>habits you're intentional about in your</t>
        </is>
      </c>
      <c r="D7744">
        <f>HYPERLINK("https://www.youtube.com/watch?v=scsTArxNOSQ&amp;t=147s", "Go to time")</f>
        <v/>
      </c>
    </row>
    <row r="7745">
      <c r="A7745">
        <f>HYPERLINK("https://www.youtube.com/watch?v=scsTArxNOSQ", "Video")</f>
        <v/>
      </c>
      <c r="B7745" t="inlineStr">
        <is>
          <t>2:29</t>
        </is>
      </c>
      <c r="C7745" t="inlineStr">
        <is>
          <t>own life if you have a habit of</t>
        </is>
      </c>
      <c r="D7745">
        <f>HYPERLINK("https://www.youtube.com/watch?v=scsTArxNOSQ&amp;t=149s", "Go to time")</f>
        <v/>
      </c>
    </row>
    <row r="7746">
      <c r="A7746">
        <f>HYPERLINK("https://www.youtube.com/watch?v=scsTArxNOSQ", "Video")</f>
        <v/>
      </c>
      <c r="B7746" t="inlineStr">
        <is>
          <t>2:41</t>
        </is>
      </c>
      <c r="C7746" t="inlineStr">
        <is>
          <t>habit but if you have a bad habit like</t>
        </is>
      </c>
      <c r="D7746">
        <f>HYPERLINK("https://www.youtube.com/watch?v=scsTArxNOSQ&amp;t=161s", "Go to time")</f>
        <v/>
      </c>
    </row>
    <row r="7747">
      <c r="A7747">
        <f>HYPERLINK("https://www.youtube.com/watch?v=scsTArxNOSQ", "Video")</f>
        <v/>
      </c>
      <c r="B7747" t="inlineStr">
        <is>
          <t>2:59</t>
        </is>
      </c>
      <c r="C7747" t="inlineStr">
        <is>
          <t>to break problematic I habits is to</t>
        </is>
      </c>
      <c r="D7747">
        <f>HYPERLINK("https://www.youtube.com/watch?v=scsTArxNOSQ&amp;t=179s", "Go to time")</f>
        <v/>
      </c>
    </row>
    <row r="7748">
      <c r="A7748">
        <f>HYPERLINK("https://www.youtube.com/watch?v=scsTArxNOSQ", "Video")</f>
        <v/>
      </c>
      <c r="B7748" t="inlineStr">
        <is>
          <t>3:14</t>
        </is>
      </c>
      <c r="C7748" t="inlineStr">
        <is>
          <t>does your bad habit reward you once you</t>
        </is>
      </c>
      <c r="D7748">
        <f>HYPERLINK("https://www.youtube.com/watch?v=scsTArxNOSQ&amp;t=194s", "Go to time")</f>
        <v/>
      </c>
    </row>
    <row r="7749">
      <c r="A7749">
        <f>HYPERLINK("https://www.youtube.com/watch?v=scsTArxNOSQ", "Video")</f>
        <v/>
      </c>
      <c r="B7749" t="inlineStr">
        <is>
          <t>3:22</t>
        </is>
      </c>
      <c r="C7749" t="inlineStr">
        <is>
          <t>nurture are your habits similar to your</t>
        </is>
      </c>
      <c r="D7749">
        <f>HYPERLINK("https://www.youtube.com/watch?v=scsTArxNOSQ&amp;t=202s", "Go to time")</f>
        <v/>
      </c>
    </row>
    <row r="7750">
      <c r="A7750">
        <f>HYPERLINK("https://www.youtube.com/watch?v=scsTArxNOSQ", "Video")</f>
        <v/>
      </c>
      <c r="B7750" t="inlineStr">
        <is>
          <t>3:29</t>
        </is>
      </c>
      <c r="C7750" t="inlineStr">
        <is>
          <t>bad habits are often learned from our</t>
        </is>
      </c>
      <c r="D7750">
        <f>HYPERLINK("https://www.youtube.com/watch?v=scsTArxNOSQ&amp;t=209s", "Go to time")</f>
        <v/>
      </c>
    </row>
    <row r="7751">
      <c r="A7751">
        <f>HYPERLINK("https://www.youtube.com/watch?v=scsTArxNOSQ", "Video")</f>
        <v/>
      </c>
      <c r="B7751" t="inlineStr">
        <is>
          <t>3:38</t>
        </is>
      </c>
      <c r="C7751" t="inlineStr">
        <is>
          <t>imitate bad habits that temporarily</t>
        </is>
      </c>
      <c r="D7751">
        <f>HYPERLINK("https://www.youtube.com/watch?v=scsTArxNOSQ&amp;t=218s", "Go to time")</f>
        <v/>
      </c>
    </row>
    <row r="7752">
      <c r="A7752">
        <f>HYPERLINK("https://www.youtube.com/watch?v=scsTArxNOSQ", "Video")</f>
        <v/>
      </c>
      <c r="B7752" t="inlineStr">
        <is>
          <t>3:45</t>
        </is>
      </c>
      <c r="C7752" t="inlineStr">
        <is>
          <t>points out that bad habits can actually</t>
        </is>
      </c>
      <c r="D7752">
        <f>HYPERLINK("https://www.youtube.com/watch?v=scsTArxNOSQ&amp;t=225s", "Go to time")</f>
        <v/>
      </c>
    </row>
    <row r="7753">
      <c r="A7753">
        <f>HYPERLINK("https://www.youtube.com/watch?v=scsTArxNOSQ", "Video")</f>
        <v/>
      </c>
      <c r="B7753" t="inlineStr">
        <is>
          <t>3:49</t>
        </is>
      </c>
      <c r="C7753" t="inlineStr">
        <is>
          <t>habits are a result of both nature and</t>
        </is>
      </c>
      <c r="D7753">
        <f>HYPERLINK("https://www.youtube.com/watch?v=scsTArxNOSQ&amp;t=229s", "Go to time")</f>
        <v/>
      </c>
    </row>
    <row r="7754">
      <c r="A7754">
        <f>HYPERLINK("https://www.youtube.com/watch?v=scsTArxNOSQ", "Video")</f>
        <v/>
      </c>
      <c r="B7754" t="inlineStr">
        <is>
          <t>3:51</t>
        </is>
      </c>
      <c r="C7754" t="inlineStr">
        <is>
          <t>nurture if you have a habit that one or</t>
        </is>
      </c>
      <c r="D7754">
        <f>HYPERLINK("https://www.youtube.com/watch?v=scsTArxNOSQ&amp;t=231s", "Go to time")</f>
        <v/>
      </c>
    </row>
    <row r="7755">
      <c r="A7755">
        <f>HYPERLINK("https://www.youtube.com/watch?v=scsTArxNOSQ", "Video")</f>
        <v/>
      </c>
      <c r="B7755" t="inlineStr">
        <is>
          <t>4:11</t>
        </is>
      </c>
      <c r="C7755" t="inlineStr">
        <is>
          <t>habit with a more positive one stopping</t>
        </is>
      </c>
      <c r="D7755">
        <f>HYPERLINK("https://www.youtube.com/watch?v=scsTArxNOSQ&amp;t=251s", "Go to time")</f>
        <v/>
      </c>
    </row>
    <row r="7756">
      <c r="A7756">
        <f>HYPERLINK("https://www.youtube.com/watch?v=scsTArxNOSQ", "Video")</f>
        <v/>
      </c>
      <c r="B7756" t="inlineStr">
        <is>
          <t>4:13</t>
        </is>
      </c>
      <c r="C7756" t="inlineStr">
        <is>
          <t>a bad habit without replacing it with</t>
        </is>
      </c>
      <c r="D7756">
        <f>HYPERLINK("https://www.youtube.com/watch?v=scsTArxNOSQ&amp;t=253s", "Go to time")</f>
        <v/>
      </c>
    </row>
    <row r="7757">
      <c r="A7757">
        <f>HYPERLINK("https://www.youtube.com/watch?v=scsTArxNOSQ", "Video")</f>
        <v/>
      </c>
      <c r="B7757" t="inlineStr">
        <is>
          <t>4:19</t>
        </is>
      </c>
      <c r="C7757" t="inlineStr">
        <is>
          <t>stopping the habit and then replacing it</t>
        </is>
      </c>
      <c r="D7757">
        <f>HYPERLINK("https://www.youtube.com/watch?v=scsTArxNOSQ&amp;t=259s", "Go to time")</f>
        <v/>
      </c>
    </row>
    <row r="7758">
      <c r="A7758">
        <f>HYPERLINK("https://www.youtube.com/watch?v=scsTArxNOSQ", "Video")</f>
        <v/>
      </c>
      <c r="B7758" t="inlineStr">
        <is>
          <t>4:25</t>
        </is>
      </c>
      <c r="C7758" t="inlineStr">
        <is>
          <t>the urge to engage in your bad habit</t>
        </is>
      </c>
      <c r="D7758">
        <f>HYPERLINK("https://www.youtube.com/watch?v=scsTArxNOSQ&amp;t=265s", "Go to time")</f>
        <v/>
      </c>
    </row>
    <row r="7759">
      <c r="A7759">
        <f>HYPERLINK("https://www.youtube.com/watch?v=scsTArxNOSQ", "Video")</f>
        <v/>
      </c>
      <c r="B7759" t="inlineStr">
        <is>
          <t>4:32</t>
        </is>
      </c>
      <c r="C7759" t="inlineStr">
        <is>
          <t>this in replace of your habit and over</t>
        </is>
      </c>
      <c r="D7759">
        <f>HYPERLINK("https://www.youtube.com/watch?v=scsTArxNOSQ&amp;t=272s", "Go to time")</f>
        <v/>
      </c>
    </row>
    <row r="7760">
      <c r="A7760">
        <f>HYPERLINK("https://www.youtube.com/watch?v=scsTArxNOSQ", "Video")</f>
        <v/>
      </c>
      <c r="B7760" t="inlineStr">
        <is>
          <t>4:39</t>
        </is>
      </c>
      <c r="C7760" t="inlineStr">
        <is>
          <t>a few problematic habits or maybe a lot</t>
        </is>
      </c>
      <c r="D7760">
        <f>HYPERLINK("https://www.youtube.com/watch?v=scsTArxNOSQ&amp;t=279s", "Go to time")</f>
        <v/>
      </c>
    </row>
    <row r="7761">
      <c r="A7761">
        <f>HYPERLINK("https://www.youtube.com/watch?v=scsTArxNOSQ", "Video")</f>
        <v/>
      </c>
      <c r="B7761" t="inlineStr">
        <is>
          <t>4:46</t>
        </is>
      </c>
      <c r="C7761" t="inlineStr">
        <is>
          <t>step to changing our habits is</t>
        </is>
      </c>
      <c r="D7761">
        <f>HYPERLINK("https://www.youtube.com/watch?v=scsTArxNOSQ&amp;t=286s", "Go to time")</f>
        <v/>
      </c>
    </row>
    <row r="7762">
      <c r="A7762">
        <f>HYPERLINK("https://www.youtube.com/watch?v=scsTArxNOSQ", "Video")</f>
        <v/>
      </c>
      <c r="B7762" t="inlineStr">
        <is>
          <t>4:49</t>
        </is>
      </c>
      <c r="C7762" t="inlineStr">
        <is>
          <t>bad habit in the past share in the</t>
        </is>
      </c>
      <c r="D7762">
        <f>HYPERLINK("https://www.youtube.com/watch?v=scsTArxNOSQ&amp;t=289s", "Go to time")</f>
        <v/>
      </c>
    </row>
    <row r="7763">
      <c r="A7763">
        <f>HYPERLINK("https://www.youtube.com/watch?v=dSpUCMrvo9I", "Video")</f>
        <v/>
      </c>
      <c r="B7763" t="inlineStr">
        <is>
          <t>1:38</t>
        </is>
      </c>
      <c r="C7763" t="inlineStr">
        <is>
          <t>out of your mind Mia may be a bit</t>
        </is>
      </c>
      <c r="D7763">
        <f>HYPERLINK("https://www.youtube.com/watch?v=dSpUCMrvo9I&amp;t=98s", "Go to time")</f>
        <v/>
      </c>
    </row>
    <row r="7764">
      <c r="A7764">
        <f>HYPERLINK("https://www.youtube.com/watch?v=dSpUCMrvo9I", "Video")</f>
        <v/>
      </c>
      <c r="B7764" t="inlineStr">
        <is>
          <t>2:15</t>
        </is>
      </c>
      <c r="C7764" t="inlineStr">
        <is>
          <t>Jenny was a bit on the shy side so when</t>
        </is>
      </c>
      <c r="D7764">
        <f>HYPERLINK("https://www.youtube.com/watch?v=dSpUCMrvo9I&amp;t=135s", "Go to time")</f>
        <v/>
      </c>
    </row>
    <row r="7765">
      <c r="A7765">
        <f>HYPERLINK("https://www.youtube.com/watch?v=dSpUCMrvo9I", "Video")</f>
        <v/>
      </c>
      <c r="B7765" t="inlineStr">
        <is>
          <t>4:45</t>
        </is>
      </c>
      <c r="C7765" t="inlineStr">
        <is>
          <t>shaking when she stood a bit too close</t>
        </is>
      </c>
      <c r="D7765">
        <f>HYPERLINK("https://www.youtube.com/watch?v=dSpUCMrvo9I&amp;t=285s", "Go to time")</f>
        <v/>
      </c>
    </row>
    <row r="7766">
      <c r="A7766">
        <f>HYPERLINK("https://www.youtube.com/watch?v=dSpUCMrvo9I", "Video")</f>
        <v/>
      </c>
      <c r="B7766" t="inlineStr">
        <is>
          <t>6:40</t>
        </is>
      </c>
      <c r="C7766" t="inlineStr">
        <is>
          <t>exhibited all of the signs of romantic</t>
        </is>
      </c>
      <c r="D7766">
        <f>HYPERLINK("https://www.youtube.com/watch?v=dSpUCMrvo9I&amp;t=400s", "Go to time")</f>
        <v/>
      </c>
    </row>
    <row r="7767">
      <c r="A7767">
        <f>HYPERLINK("https://www.youtube.com/watch?v=wGVl0ZA74vI", "Video")</f>
        <v/>
      </c>
      <c r="B7767" t="inlineStr">
        <is>
          <t>2:58</t>
        </is>
      </c>
      <c r="C7767" t="inlineStr">
        <is>
          <t>Perhaps social gatherings are prohibited.</t>
        </is>
      </c>
      <c r="D7767">
        <f>HYPERLINK("https://www.youtube.com/watch?v=wGVl0ZA74vI&amp;t=178s", "Go to time")</f>
        <v/>
      </c>
    </row>
    <row r="7768">
      <c r="A7768">
        <f>HYPERLINK("https://www.youtube.com/watch?v=Wdpiugf0sg8", "Video")</f>
        <v/>
      </c>
      <c r="B7768" t="inlineStr">
        <is>
          <t>2:37</t>
        </is>
      </c>
      <c r="C7768" t="inlineStr">
        <is>
          <t>self-soothing habits such as distracting</t>
        </is>
      </c>
      <c r="D7768">
        <f>HYPERLINK("https://www.youtube.com/watch?v=Wdpiugf0sg8&amp;t=157s", "Go to time")</f>
        <v/>
      </c>
    </row>
    <row r="7769">
      <c r="A7769">
        <f>HYPERLINK("https://www.youtube.com/watch?v=EqESdDGMER8", "Video")</f>
        <v/>
      </c>
      <c r="B7769" t="inlineStr">
        <is>
          <t>2:13</t>
        </is>
      </c>
      <c r="C7769" t="inlineStr">
        <is>
          <t>Do you have a habit of
keeping your head down</t>
        </is>
      </c>
      <c r="D7769">
        <f>HYPERLINK("https://www.youtube.com/watch?v=EqESdDGMER8&amp;t=133s", "Go to time")</f>
        <v/>
      </c>
    </row>
    <row r="7770">
      <c r="A7770">
        <f>HYPERLINK("https://www.youtube.com/watch?v=dkYFTuXx6wk", "Video")</f>
        <v/>
      </c>
      <c r="B7770" t="inlineStr">
        <is>
          <t>2:54</t>
        </is>
      </c>
      <c r="C7770" t="inlineStr">
        <is>
          <t>bit like a slave to them doing whatever</t>
        </is>
      </c>
      <c r="D7770">
        <f>HYPERLINK("https://www.youtube.com/watch?v=dkYFTuXx6wk&amp;t=174s", "Go to time")</f>
        <v/>
      </c>
    </row>
    <row r="7771">
      <c r="A7771">
        <f>HYPERLINK("https://www.youtube.com/watch?v=9xvOEywMHvk", "Video")</f>
        <v/>
      </c>
      <c r="B7771" t="inlineStr">
        <is>
          <t>1:24</t>
        </is>
      </c>
      <c r="C7771" t="inlineStr">
        <is>
          <t>denoting or exhibiting behavior that</t>
        </is>
      </c>
      <c r="D7771">
        <f>HYPERLINK("https://www.youtube.com/watch?v=9xvOEywMHvk&amp;t=84s", "Go to time")</f>
        <v/>
      </c>
    </row>
    <row r="7772">
      <c r="A7772">
        <f>HYPERLINK("https://www.youtube.com/watch?v=xANpJBpZHQY", "Video")</f>
        <v/>
      </c>
      <c r="B7772" t="inlineStr">
        <is>
          <t>0:08</t>
        </is>
      </c>
      <c r="C7772" t="inlineStr">
        <is>
          <t>feels a bit down we try to comfort them</t>
        </is>
      </c>
      <c r="D7772">
        <f>HYPERLINK("https://www.youtube.com/watch?v=xANpJBpZHQY&amp;t=8s", "Go to time")</f>
        <v/>
      </c>
    </row>
    <row r="7773">
      <c r="A7773">
        <f>HYPERLINK("https://www.youtube.com/watch?v=Y9UOEHD4ISo", "Video")</f>
        <v/>
      </c>
      <c r="B7773" t="inlineStr">
        <is>
          <t>4:20</t>
        </is>
      </c>
      <c r="C7773" t="inlineStr">
        <is>
          <t>It's that tiny bit of dissonance</t>
        </is>
      </c>
      <c r="D7773">
        <f>HYPERLINK("https://www.youtube.com/watch?v=Y9UOEHD4ISo&amp;t=260s", "Go to time")</f>
        <v/>
      </c>
    </row>
    <row r="7774">
      <c r="A7774">
        <f>HYPERLINK("https://www.youtube.com/watch?v=Y9UOEHD4ISo", "Video")</f>
        <v/>
      </c>
      <c r="B7774" t="inlineStr">
        <is>
          <t>7:35</t>
        </is>
      </c>
      <c r="C7774" t="inlineStr">
        <is>
          <t>if we all wear a little bit of a costume</t>
        </is>
      </c>
      <c r="D7774">
        <f>HYPERLINK("https://www.youtube.com/watch?v=Y9UOEHD4ISo&amp;t=455s", "Go to time")</f>
        <v/>
      </c>
    </row>
    <row r="7775">
      <c r="A7775">
        <f>HYPERLINK("https://www.youtube.com/watch?v=kYCjxLK_gkg", "Video")</f>
        <v/>
      </c>
      <c r="B7775" t="inlineStr">
        <is>
          <t>4:41</t>
        </is>
      </c>
      <c r="C7775" t="inlineStr">
        <is>
          <t>So kallikantzaroi are a bit of both,</t>
        </is>
      </c>
      <c r="D7775">
        <f>HYPERLINK("https://www.youtube.com/watch?v=kYCjxLK_gkg&amp;t=281s", "Go to time")</f>
        <v/>
      </c>
    </row>
    <row r="7776">
      <c r="A7776">
        <f>HYPERLINK("https://www.youtube.com/watch?v=bGsNcFfezLM", "Video")</f>
        <v/>
      </c>
      <c r="B7776" t="inlineStr">
        <is>
          <t>5:52</t>
        </is>
      </c>
      <c r="C7776" t="inlineStr">
        <is>
          <t>was to include a bit more
phonics in their lessons</t>
        </is>
      </c>
      <c r="D7776">
        <f>HYPERLINK("https://www.youtube.com/watch?v=bGsNcFfezLM&amp;t=352s", "Go to time")</f>
        <v/>
      </c>
    </row>
    <row r="7777">
      <c r="A7777">
        <f>HYPERLINK("https://www.youtube.com/watch?v=bGsNcFfezLM", "Video")</f>
        <v/>
      </c>
      <c r="B7777" t="inlineStr">
        <is>
          <t>6:01</t>
        </is>
      </c>
      <c r="C7777" t="inlineStr">
        <is>
          <t>cultivated bad reading habits</t>
        </is>
      </c>
      <c r="D7777">
        <f>HYPERLINK("https://www.youtube.com/watch?v=bGsNcFfezLM&amp;t=361s", "Go to time")</f>
        <v/>
      </c>
    </row>
    <row r="7778">
      <c r="A7778">
        <f>HYPERLINK("https://www.youtube.com/watch?v=fvijtN7mN4o", "Video")</f>
        <v/>
      </c>
      <c r="B7778" t="inlineStr">
        <is>
          <t>1:09</t>
        </is>
      </c>
      <c r="C7778" t="inlineStr">
        <is>
          <t>the sleepover turned a bit more spooky.</t>
        </is>
      </c>
      <c r="D7778">
        <f>HYPERLINK("https://www.youtube.com/watch?v=fvijtN7mN4o&amp;t=69s", "Go to time")</f>
        <v/>
      </c>
    </row>
    <row r="7779">
      <c r="A7779">
        <f>HYPERLINK("https://www.youtube.com/watch?v=fvijtN7mN4o", "Video")</f>
        <v/>
      </c>
      <c r="B7779" t="inlineStr">
        <is>
          <t>1:49</t>
        </is>
      </c>
      <c r="C7779" t="inlineStr">
        <is>
          <t>A bit of science disguised as magic.</t>
        </is>
      </c>
      <c r="D7779">
        <f>HYPERLINK("https://www.youtube.com/watch?v=fvijtN7mN4o&amp;t=109s", "Go to time")</f>
        <v/>
      </c>
    </row>
    <row r="7780">
      <c r="A7780">
        <f>HYPERLINK("https://www.youtube.com/watch?v=YxXhp-xjZ28", "Video")</f>
        <v/>
      </c>
      <c r="B7780" t="inlineStr">
        <is>
          <t>4:09</t>
        </is>
      </c>
      <c r="C7780" t="inlineStr">
        <is>
          <t>during twilight, watching over
the land and its inhabitants.</t>
        </is>
      </c>
      <c r="D7780">
        <f>HYPERLINK("https://www.youtube.com/watch?v=YxXhp-xjZ28&amp;t=249s", "Go to time")</f>
        <v/>
      </c>
    </row>
    <row r="7781">
      <c r="A7781">
        <f>HYPERLINK("https://www.youtube.com/watch?v=YxXhp-xjZ28", "Video")</f>
        <v/>
      </c>
      <c r="B7781" t="inlineStr">
        <is>
          <t>7:35</t>
        </is>
      </c>
      <c r="C7781" t="inlineStr">
        <is>
          <t>with a camera and a bit
of costuming know-how.</t>
        </is>
      </c>
      <c r="D7781">
        <f>HYPERLINK("https://www.youtube.com/watch?v=YxXhp-xjZ28&amp;t=455s", "Go to time")</f>
        <v/>
      </c>
    </row>
    <row r="7782">
      <c r="A7782">
        <f>HYPERLINK("https://www.youtube.com/watch?v=AgV4AxpRBCk", "Video")</f>
        <v/>
      </c>
      <c r="B7782" t="inlineStr">
        <is>
          <t>0:41</t>
        </is>
      </c>
      <c r="C7782" t="inlineStr">
        <is>
          <t>And now as climate change and harmful 
human habits threaten whales in new ways,</t>
        </is>
      </c>
      <c r="D7782">
        <f>HYPERLINK("https://www.youtube.com/watch?v=AgV4AxpRBCk&amp;t=41s", "Go to time")</f>
        <v/>
      </c>
    </row>
    <row r="7783">
      <c r="A7783">
        <f>HYPERLINK("https://www.youtube.com/watch?v=AgV4AxpRBCk", "Video")</f>
        <v/>
      </c>
      <c r="B7783" t="inlineStr">
        <is>
          <t>7:51</t>
        </is>
      </c>
      <c r="C7783" t="inlineStr">
        <is>
          <t>climate change now poses new threats. 
Rising sea temperatures and habitat</t>
        </is>
      </c>
      <c r="D7783">
        <f>HYPERLINK("https://www.youtube.com/watch?v=AgV4AxpRBCk&amp;t=471s", "Go to time")</f>
        <v/>
      </c>
    </row>
    <row r="7784">
      <c r="A7784">
        <f>HYPERLINK("https://www.youtube.com/watch?v=OSswV86uajY", "Video")</f>
        <v/>
      </c>
      <c r="B7784" t="inlineStr">
        <is>
          <t>1:27</t>
        </is>
      </c>
      <c r="C7784" t="inlineStr">
        <is>
          <t>and populated the island with inhabitants</t>
        </is>
      </c>
      <c r="D7784">
        <f>HYPERLINK("https://www.youtube.com/watch?v=OSswV86uajY&amp;t=87s", "Go to time")</f>
        <v/>
      </c>
    </row>
    <row r="7785">
      <c r="A7785">
        <f>HYPERLINK("https://www.youtube.com/watch?v=OSswV86uajY", "Video")</f>
        <v/>
      </c>
      <c r="B7785" t="inlineStr">
        <is>
          <t>1:34</t>
        </is>
      </c>
      <c r="C7785" t="inlineStr">
        <is>
          <t>The black indigenous inhabitants</t>
        </is>
      </c>
      <c r="D7785">
        <f>HYPERLINK("https://www.youtube.com/watch?v=OSswV86uajY&amp;t=94s", "Go to time")</f>
        <v/>
      </c>
    </row>
    <row r="7786">
      <c r="A7786">
        <f>HYPERLINK("https://www.youtube.com/watch?v=OSswV86uajY", "Video")</f>
        <v/>
      </c>
      <c r="B7786" t="inlineStr">
        <is>
          <t>3:16</t>
        </is>
      </c>
      <c r="C7786" t="inlineStr">
        <is>
          <t>Jackson's island inhabitants
are perhaps the most violent</t>
        </is>
      </c>
      <c r="D7786">
        <f>HYPERLINK("https://www.youtube.com/watch?v=OSswV86uajY&amp;t=196s", "Go to time")</f>
        <v/>
      </c>
    </row>
    <row r="7787">
      <c r="A7787">
        <f>HYPERLINK("https://www.youtube.com/watch?v=HejyXGQN-wk", "Video")</f>
        <v/>
      </c>
      <c r="B7787" t="inlineStr">
        <is>
          <t>2:33</t>
        </is>
      </c>
      <c r="C7787" t="inlineStr">
        <is>
          <t>Our planet is just one of many orbiting a
star, which is just one of billions orbiting</t>
        </is>
      </c>
      <c r="D7787">
        <f>HYPERLINK("https://www.youtube.com/watch?v=HejyXGQN-wk&amp;t=153s", "Go to time")</f>
        <v/>
      </c>
    </row>
    <row r="7788">
      <c r="A7788">
        <f>HYPERLINK("https://www.youtube.com/watch?v=R324GH29qDQ", "Video")</f>
        <v/>
      </c>
      <c r="B7788" t="inlineStr">
        <is>
          <t>4:48</t>
        </is>
      </c>
      <c r="C7788" t="inlineStr">
        <is>
          <t>with arbitrary rules and
unclear expectations.</t>
        </is>
      </c>
      <c r="D7788">
        <f>HYPERLINK("https://www.youtube.com/watch?v=R324GH29qDQ&amp;t=288s", "Go to time")</f>
        <v/>
      </c>
    </row>
    <row r="7789">
      <c r="A7789">
        <f>HYPERLINK("https://www.youtube.com/watch?v=523gI5kZSSA", "Video")</f>
        <v/>
      </c>
      <c r="B7789" t="inlineStr">
        <is>
          <t>0:26</t>
        </is>
      </c>
      <c r="C7789" t="inlineStr">
        <is>
          <t>and even the real ancient inhabitants of Ireland.
But where do the Tuatha Dé Danann come from,</t>
        </is>
      </c>
      <c r="D7789">
        <f>HYPERLINK("https://www.youtube.com/watch?v=523gI5kZSSA&amp;t=26s", "Go to time")</f>
        <v/>
      </c>
    </row>
    <row r="7790">
      <c r="A7790">
        <f>HYPERLINK("https://www.youtube.com/watch?v=523gI5kZSSA", "Video")</f>
        <v/>
      </c>
      <c r="B7790" t="inlineStr">
        <is>
          <t>3:08</t>
        </is>
      </c>
      <c r="C7790" t="inlineStr">
        <is>
          <t>Either way, when the Tuatha Dé Dannan arrived 
in Ireland, they found it already inhabited.</t>
        </is>
      </c>
      <c r="D7790">
        <f>HYPERLINK("https://www.youtube.com/watch?v=523gI5kZSSA&amp;t=188s", "Go to time")</f>
        <v/>
      </c>
    </row>
    <row r="7791">
      <c r="A7791">
        <f>HYPERLINK("https://www.youtube.com/watch?v=MQUO2AVCUKM", "Video")</f>
        <v/>
      </c>
      <c r="B7791" t="inlineStr">
        <is>
          <t>7:31</t>
        </is>
      </c>
      <c r="C7791" t="inlineStr">
        <is>
          <t>but might inhibit a natural grasp
of the language's grammar.</t>
        </is>
      </c>
      <c r="D7791">
        <f>HYPERLINK("https://www.youtube.com/watch?v=MQUO2AVCUKM&amp;t=451s", "Go to time")</f>
        <v/>
      </c>
    </row>
    <row r="7792">
      <c r="A7792">
        <f>HYPERLINK("https://www.youtube.com/watch?v=5LOQxug_XeA", "Video")</f>
        <v/>
      </c>
      <c r="B7792" t="inlineStr">
        <is>
          <t>5:35</t>
        </is>
      </c>
      <c r="C7792" t="inlineStr">
        <is>
          <t>that inhabit those sub-genres,</t>
        </is>
      </c>
      <c r="D7792">
        <f>HYPERLINK("https://www.youtube.com/watch?v=5LOQxug_XeA&amp;t=335s", "Go to time")</f>
        <v/>
      </c>
    </row>
    <row r="7793">
      <c r="A7793">
        <f>HYPERLINK("https://www.youtube.com/watch?v=5LOQxug_XeA", "Video")</f>
        <v/>
      </c>
      <c r="B7793" t="inlineStr">
        <is>
          <t>7:06</t>
        </is>
      </c>
      <c r="C7793" t="inlineStr">
        <is>
          <t>in Laurie's orbit, including a family dog.</t>
        </is>
      </c>
      <c r="D7793">
        <f>HYPERLINK("https://www.youtube.com/watch?v=5LOQxug_XeA&amp;t=426s", "Go to time")</f>
        <v/>
      </c>
    </row>
    <row r="7794">
      <c r="A7794">
        <f>HYPERLINK("https://www.youtube.com/watch?v=5LOQxug_XeA", "Video")</f>
        <v/>
      </c>
      <c r="B7794" t="inlineStr">
        <is>
          <t>9:44</t>
        </is>
      </c>
      <c r="C7794" t="inlineStr">
        <is>
          <t>So there is a bit of moralizing
element to these slashers,</t>
        </is>
      </c>
      <c r="D7794">
        <f>HYPERLINK("https://www.youtube.com/watch?v=5LOQxug_XeA&amp;t=584s", "Go to time")</f>
        <v/>
      </c>
    </row>
    <row r="7795">
      <c r="A7795">
        <f>HYPERLINK("https://www.youtube.com/watch?v=5LOQxug_XeA", "Video")</f>
        <v/>
      </c>
      <c r="B7795" t="inlineStr">
        <is>
          <t>13:33</t>
        </is>
      </c>
      <c r="C7795" t="inlineStr">
        <is>
          <t>So maybe there was a bit less gore,</t>
        </is>
      </c>
      <c r="D7795">
        <f>HYPERLINK("https://www.youtube.com/watch?v=5LOQxug_XeA&amp;t=813s", "Go to time")</f>
        <v/>
      </c>
    </row>
    <row r="7796">
      <c r="A7796">
        <f>HYPERLINK("https://www.youtube.com/watch?v=VUg44ImYIIo", "Video")</f>
        <v/>
      </c>
      <c r="B7796" t="inlineStr">
        <is>
          <t>1:29</t>
        </is>
      </c>
      <c r="C7796" t="inlineStr">
        <is>
          <t>of outlandish science-fiction, wacky characters,
biting satire, sobering reflections on our</t>
        </is>
      </c>
      <c r="D7796">
        <f>HYPERLINK("https://www.youtube.com/watch?v=VUg44ImYIIo&amp;t=89s", "Go to time")</f>
        <v/>
      </c>
    </row>
    <row r="7797">
      <c r="A7797">
        <f>HYPERLINK("https://www.youtube.com/watch?v=aS4VCxMeWQM", "Video")</f>
        <v/>
      </c>
      <c r="B7797" t="inlineStr">
        <is>
          <t>12:12</t>
        </is>
      </c>
      <c r="C7797" t="inlineStr">
        <is>
          <t>of problem solving, hard work, and courage
they exhibit.</t>
        </is>
      </c>
      <c r="D7797">
        <f>HYPERLINK("https://www.youtube.com/watch?v=aS4VCxMeWQM&amp;t=732s", "Go to time")</f>
        <v/>
      </c>
    </row>
    <row r="7798">
      <c r="A7798">
        <f>HYPERLINK("https://www.youtube.com/watch?v=RG6XbNKViIQ", "Video")</f>
        <v/>
      </c>
      <c r="B7798" t="inlineStr">
        <is>
          <t>1:44</t>
        </is>
      </c>
      <c r="C7798" t="inlineStr">
        <is>
          <t>This story gets a bit confusing</t>
        </is>
      </c>
      <c r="D7798">
        <f>HYPERLINK("https://www.youtube.com/watch?v=RG6XbNKViIQ&amp;t=104s", "Go to time")</f>
        <v/>
      </c>
    </row>
    <row r="7799">
      <c r="A7799">
        <f>HYPERLINK("https://www.youtube.com/watch?v=RG6XbNKViIQ", "Video")</f>
        <v/>
      </c>
      <c r="B7799" t="inlineStr">
        <is>
          <t>3:45</t>
        </is>
      </c>
      <c r="C7799" t="inlineStr">
        <is>
          <t>A bit panicked by
this influx of creations,</t>
        </is>
      </c>
      <c r="D7799">
        <f>HYPERLINK("https://www.youtube.com/watch?v=RG6XbNKViIQ&amp;t=225s", "Go to time")</f>
        <v/>
      </c>
    </row>
    <row r="7800">
      <c r="A7800">
        <f>HYPERLINK("https://www.youtube.com/watch?v=67FpatjHdxo", "Video")</f>
        <v/>
      </c>
      <c r="B7800" t="inlineStr">
        <is>
          <t>7:58</t>
        </is>
      </c>
      <c r="C7800" t="inlineStr">
        <is>
          <t>This one might seem a little
bit obvious for this episode,</t>
        </is>
      </c>
      <c r="D7800">
        <f>HYPERLINK("https://www.youtube.com/watch?v=67FpatjHdxo&amp;t=478s", "Go to time")</f>
        <v/>
      </c>
    </row>
    <row r="7801">
      <c r="A7801">
        <f>HYPERLINK("https://www.youtube.com/watch?v=bjjWSfqw_6A", "Video")</f>
        <v/>
      </c>
      <c r="B7801" t="inlineStr">
        <is>
          <t>1:54</t>
        </is>
      </c>
      <c r="C7801" t="inlineStr">
        <is>
          <t>adapting our diets, habits,</t>
        </is>
      </c>
      <c r="D7801">
        <f>HYPERLINK("https://www.youtube.com/watch?v=bjjWSfqw_6A&amp;t=114s", "Go to time")</f>
        <v/>
      </c>
    </row>
    <row r="7802">
      <c r="A7802">
        <f>HYPERLINK("https://www.youtube.com/watch?v=bjjWSfqw_6A", "Video")</f>
        <v/>
      </c>
      <c r="B7802" t="inlineStr">
        <is>
          <t>1:55</t>
        </is>
      </c>
      <c r="C7802" t="inlineStr">
        <is>
          <t>and even our biology
to make them habitable.</t>
        </is>
      </c>
      <c r="D7802">
        <f>HYPERLINK("https://www.youtube.com/watch?v=bjjWSfqw_6A&amp;t=115s", "Go to time")</f>
        <v/>
      </c>
    </row>
    <row r="7803">
      <c r="A7803">
        <f>HYPERLINK("https://www.youtube.com/watch?v=bjjWSfqw_6A", "Video")</f>
        <v/>
      </c>
      <c r="B7803" t="inlineStr">
        <is>
          <t>4:34</t>
        </is>
      </c>
      <c r="C7803" t="inlineStr">
        <is>
          <t>giving utopias a bit of
an unsavory reputation.</t>
        </is>
      </c>
      <c r="D7803">
        <f>HYPERLINK("https://www.youtube.com/watch?v=bjjWSfqw_6A&amp;t=274s", "Go to time")</f>
        <v/>
      </c>
    </row>
    <row r="7804">
      <c r="A7804">
        <f>HYPERLINK("https://www.youtube.com/watch?v=-EVXdhstw14", "Video")</f>
        <v/>
      </c>
      <c r="B7804" t="inlineStr">
        <is>
          <t>3:41</t>
        </is>
      </c>
      <c r="C7804" t="inlineStr">
        <is>
          <t>and pronunciation,
but also subtle syntactic habits.</t>
        </is>
      </c>
      <c r="D7804">
        <f>HYPERLINK("https://www.youtube.com/watch?v=-EVXdhstw14&amp;t=221s", "Go to time")</f>
        <v/>
      </c>
    </row>
    <row r="7805">
      <c r="A7805">
        <f>HYPERLINK("https://www.youtube.com/watch?v=-EVXdhstw14", "Video")</f>
        <v/>
      </c>
      <c r="B7805" t="inlineStr">
        <is>
          <t>3:53</t>
        </is>
      </c>
      <c r="C7805" t="inlineStr">
        <is>
          <t>You may not notice these habits,
but a forensic linguist might.</t>
        </is>
      </c>
      <c r="D7805">
        <f>HYPERLINK("https://www.youtube.com/watch?v=-EVXdhstw14&amp;t=233s", "Go to time")</f>
        <v/>
      </c>
    </row>
    <row r="7806">
      <c r="A7806">
        <f>HYPERLINK("https://www.youtube.com/watch?v=3ZGTT_Vy_Bw", "Video")</f>
        <v/>
      </c>
      <c r="B7806" t="inlineStr">
        <is>
          <t>0:36</t>
        </is>
      </c>
      <c r="C7806" t="inlineStr">
        <is>
          <t>Even from a young age, he
exhibited a desire to control,</t>
        </is>
      </c>
      <c r="D7806">
        <f>HYPERLINK("https://www.youtube.com/watch?v=3ZGTT_Vy_Bw&amp;t=36s", "Go to time")</f>
        <v/>
      </c>
    </row>
    <row r="7807">
      <c r="A7807">
        <f>HYPERLINK("https://www.youtube.com/watch?v=3ZGTT_Vy_Bw", "Video")</f>
        <v/>
      </c>
      <c r="B7807" t="inlineStr">
        <is>
          <t>1:31</t>
        </is>
      </c>
      <c r="C7807" t="inlineStr">
        <is>
          <t>of cult leader speech,
which we'll get to in a bit,</t>
        </is>
      </c>
      <c r="D7807">
        <f>HYPERLINK("https://www.youtube.com/watch?v=3ZGTT_Vy_Bw&amp;t=91s", "Go to time")</f>
        <v/>
      </c>
    </row>
    <row r="7808">
      <c r="A7808">
        <f>HYPERLINK("https://www.youtube.com/watch?v=vTdIwEg5niQ", "Video")</f>
        <v/>
      </c>
      <c r="B7808" t="inlineStr">
        <is>
          <t>0:10</t>
        </is>
      </c>
      <c r="C7808" t="inlineStr">
        <is>
          <t>little bit more mysterious the Tokoloshe</t>
        </is>
      </c>
      <c r="D7808">
        <f>HYPERLINK("https://www.youtube.com/watch?v=vTdIwEg5niQ&amp;t=10s", "Go to time")</f>
        <v/>
      </c>
    </row>
    <row r="7809">
      <c r="A7809">
        <f>HYPERLINK("https://www.youtube.com/watch?v=EGGFsOPQaAU", "Video")</f>
        <v/>
      </c>
      <c r="B7809" t="inlineStr">
        <is>
          <t>0:02</t>
        </is>
      </c>
      <c r="C7809" t="inlineStr">
        <is>
          <t>Hopefully it's either a duck or a rabbit.</t>
        </is>
      </c>
      <c r="D7809">
        <f>HYPERLINK("https://www.youtube.com/watch?v=EGGFsOPQaAU&amp;t=2s", "Go to time")</f>
        <v/>
      </c>
    </row>
    <row r="7810">
      <c r="A7810">
        <f>HYPERLINK("https://www.youtube.com/watch?v=EGGFsOPQaAU", "Video")</f>
        <v/>
      </c>
      <c r="B7810" t="inlineStr">
        <is>
          <t>8:05</t>
        </is>
      </c>
      <c r="C7810" t="inlineStr">
        <is>
          <t>are attention and inhibition.</t>
        </is>
      </c>
      <c r="D7810">
        <f>HYPERLINK("https://www.youtube.com/watch?v=EGGFsOPQaAU&amp;t=485s", "Go to time")</f>
        <v/>
      </c>
    </row>
    <row r="7811">
      <c r="A7811">
        <f>HYPERLINK("https://www.youtube.com/watch?v=EGGFsOPQaAU", "Video")</f>
        <v/>
      </c>
      <c r="B7811" t="inlineStr">
        <is>
          <t>8:14</t>
        </is>
      </c>
      <c r="C7811" t="inlineStr">
        <is>
          <t>so I'm focusing on English
and I'm inhibiting my Spanish.</t>
        </is>
      </c>
      <c r="D7811">
        <f>HYPERLINK("https://www.youtube.com/watch?v=EGGFsOPQaAU&amp;t=494s", "Go to time")</f>
        <v/>
      </c>
    </row>
    <row r="7812">
      <c r="A7812">
        <f>HYPERLINK("https://www.youtube.com/watch?v=EGGFsOPQaAU", "Video")</f>
        <v/>
      </c>
      <c r="B7812" t="inlineStr">
        <is>
          <t>8:23</t>
        </is>
      </c>
      <c r="C7812" t="inlineStr">
        <is>
          <t>It's easier and faster for
them to turn off rabbit</t>
        </is>
      </c>
      <c r="D7812">
        <f>HYPERLINK("https://www.youtube.com/watch?v=EGGFsOPQaAU&amp;t=503s", "Go to time")</f>
        <v/>
      </c>
    </row>
    <row r="7813">
      <c r="A7813">
        <f>HYPERLINK("https://www.youtube.com/watch?v=kJvCEivOPt8", "Video")</f>
        <v/>
      </c>
      <c r="B7813" t="inlineStr">
        <is>
          <t>6:24</t>
        </is>
      </c>
      <c r="C7813" t="inlineStr">
        <is>
          <t>Seraphim, and the thrones orbiting around the 
lord. Described as “many eyed and many winged”,</t>
        </is>
      </c>
      <c r="D7813">
        <f>HYPERLINK("https://www.youtube.com/watch?v=kJvCEivOPt8&amp;t=384s", "Go to time")</f>
        <v/>
      </c>
    </row>
    <row r="7814">
      <c r="A7814">
        <f>HYPERLINK("https://www.youtube.com/watch?v=k-lNeg9e60c", "Video")</f>
        <v/>
      </c>
      <c r="B7814" t="inlineStr">
        <is>
          <t>8:19</t>
        </is>
      </c>
      <c r="C7814" t="inlineStr">
        <is>
          <t>… For every person who dies from a zombie
bite, how many people would die from sickness</t>
        </is>
      </c>
      <c r="D7814">
        <f>HYPERLINK("https://www.youtube.com/watch?v=k-lNeg9e60c&amp;t=499s", "Go to time")</f>
        <v/>
      </c>
    </row>
    <row r="7815">
      <c r="A7815">
        <f>HYPERLINK("https://www.youtube.com/watch?v=x-GjSU4nOxE", "Video")</f>
        <v/>
      </c>
      <c r="B7815" t="inlineStr">
        <is>
          <t>0:56</t>
        </is>
      </c>
      <c r="C7815" t="inlineStr">
        <is>
          <t>The Romans also exhibited a puppet with a
false human head attached to a large serpent</t>
        </is>
      </c>
      <c r="D7815">
        <f>HYPERLINK("https://www.youtube.com/watch?v=x-GjSU4nOxE&amp;t=56s", "Go to time")</f>
        <v/>
      </c>
    </row>
    <row r="7816">
      <c r="A7816">
        <f>HYPERLINK("https://www.youtube.com/watch?v=x-GjSU4nOxE", "Video")</f>
        <v/>
      </c>
      <c r="B7816" t="inlineStr">
        <is>
          <t>1:13</t>
        </is>
      </c>
      <c r="C7816" t="inlineStr">
        <is>
          <t>But it’s not all jumbled up animals, and
antlers glued to rabbits.</t>
        </is>
      </c>
      <c r="D7816">
        <f>HYPERLINK("https://www.youtube.com/watch?v=x-GjSU4nOxE&amp;t=73s", "Go to time")</f>
        <v/>
      </c>
    </row>
    <row r="7817">
      <c r="A7817">
        <f>HYPERLINK("https://www.youtube.com/watch?v=demJo-CfGU0", "Video")</f>
        <v/>
      </c>
      <c r="B7817" t="inlineStr">
        <is>
          <t>6:25</t>
        </is>
      </c>
      <c r="C7817" t="inlineStr">
        <is>
          <t>the women bitten by Dracula</t>
        </is>
      </c>
      <c r="D7817">
        <f>HYPERLINK("https://www.youtube.com/watch?v=demJo-CfGU0&amp;t=385s", "Go to time")</f>
        <v/>
      </c>
    </row>
    <row r="7818">
      <c r="A7818">
        <f>HYPERLINK("https://www.youtube.com/watch?v=demJo-CfGU0", "Video")</f>
        <v/>
      </c>
      <c r="B7818" t="inlineStr">
        <is>
          <t>11:59</t>
        </is>
      </c>
      <c r="C7818" t="inlineStr">
        <is>
          <t>Personally, I think audiences
are growing a bit tired</t>
        </is>
      </c>
      <c r="D7818">
        <f>HYPERLINK("https://www.youtube.com/watch?v=demJo-CfGU0&amp;t=719s", "Go to time")</f>
        <v/>
      </c>
    </row>
    <row r="7819">
      <c r="A7819">
        <f>HYPERLINK("https://www.youtube.com/watch?v=FZG4FJi8mRI", "Video")</f>
        <v/>
      </c>
      <c r="B7819" t="inlineStr">
        <is>
          <t>0:24</t>
        </is>
      </c>
      <c r="C7819" t="inlineStr">
        <is>
          <t>inhabits the waters
of the Pacific.</t>
        </is>
      </c>
      <c r="D7819">
        <f>HYPERLINK("https://www.youtube.com/watch?v=FZG4FJi8mRI&amp;t=24s", "Go to time")</f>
        <v/>
      </c>
    </row>
    <row r="7820">
      <c r="A7820">
        <f>HYPERLINK("https://www.youtube.com/watch?v=Bs7HnNPgQR0", "Video")</f>
        <v/>
      </c>
      <c r="B7820" t="inlineStr">
        <is>
          <t>2:27</t>
        </is>
      </c>
      <c r="C7820" t="inlineStr">
        <is>
          <t>Have you ever recklessly
taken a bite of food</t>
        </is>
      </c>
      <c r="D7820">
        <f>HYPERLINK("https://www.youtube.com/watch?v=Bs7HnNPgQR0&amp;t=147s", "Go to time")</f>
        <v/>
      </c>
    </row>
    <row r="7821">
      <c r="A7821">
        <f>HYPERLINK("https://www.youtube.com/watch?v=Bs7HnNPgQR0", "Video")</f>
        <v/>
      </c>
      <c r="B7821" t="inlineStr">
        <is>
          <t>4:53</t>
        </is>
      </c>
      <c r="C7821" t="inlineStr">
        <is>
          <t>a little bit more, so in Arabic,</t>
        </is>
      </c>
      <c r="D7821">
        <f>HYPERLINK("https://www.youtube.com/watch?v=Bs7HnNPgQR0&amp;t=293s", "Go to time")</f>
        <v/>
      </c>
    </row>
    <row r="7822">
      <c r="A7822">
        <f>HYPERLINK("https://www.youtube.com/watch?v=JqFNjFakpDc", "Video")</f>
        <v/>
      </c>
      <c r="B7822" t="inlineStr">
        <is>
          <t>1:29</t>
        </is>
      </c>
      <c r="C7822" t="inlineStr">
        <is>
          <t>combination of ambition, laziness, insecurity,
certainty, and drive.”</t>
        </is>
      </c>
      <c r="D7822">
        <f>HYPERLINK("https://www.youtube.com/watch?v=JqFNjFakpDc&amp;t=89s", "Go to time")</f>
        <v/>
      </c>
    </row>
    <row r="7823">
      <c r="A7823">
        <f>HYPERLINK("https://www.youtube.com/watch?v=cp0QhCV5uHw", "Video")</f>
        <v/>
      </c>
      <c r="B7823" t="inlineStr">
        <is>
          <t>4:36</t>
        </is>
      </c>
      <c r="C7823" t="inlineStr">
        <is>
          <t>It's a bit of an abstract
leap to talk about</t>
        </is>
      </c>
      <c r="D7823">
        <f>HYPERLINK("https://www.youtube.com/watch?v=cp0QhCV5uHw&amp;t=276s", "Go to time")</f>
        <v/>
      </c>
    </row>
    <row r="7824">
      <c r="A7824">
        <f>HYPERLINK("https://www.youtube.com/watch?v=4IYisDTeycY", "Video")</f>
        <v/>
      </c>
      <c r="B7824" t="inlineStr">
        <is>
          <t>5:27</t>
        </is>
      </c>
      <c r="C7824" t="inlineStr">
        <is>
          <t>In the 7th century, Spanish scholar and archbishop
Isidore of Seville wrote in his ambitious</t>
        </is>
      </c>
      <c r="D7824">
        <f>HYPERLINK("https://www.youtube.com/watch?v=4IYisDTeycY&amp;t=327s", "Go to time")</f>
        <v/>
      </c>
    </row>
    <row r="7825">
      <c r="A7825">
        <f>HYPERLINK("https://www.youtube.com/watch?v=KJpYWOJNVGY", "Video")</f>
        <v/>
      </c>
      <c r="B7825" t="inlineStr">
        <is>
          <t>7:53</t>
        </is>
      </c>
      <c r="C7825" t="inlineStr">
        <is>
          <t>with them like a little bit more personal.</t>
        </is>
      </c>
      <c r="D7825">
        <f>HYPERLINK("https://www.youtube.com/watch?v=KJpYWOJNVGY&amp;t=473s", "Go to time")</f>
        <v/>
      </c>
    </row>
    <row r="7826">
      <c r="A7826">
        <f>HYPERLINK("https://www.youtube.com/watch?v=wW6eKLLViK8", "Video")</f>
        <v/>
      </c>
      <c r="B7826" t="inlineStr">
        <is>
          <t>0:40</t>
        </is>
      </c>
      <c r="C7826" t="inlineStr">
        <is>
          <t>that make mention of any of these monsters
exclusively inhabiting Loch Ness—until Nessie</t>
        </is>
      </c>
      <c r="D7826">
        <f>HYPERLINK("https://www.youtube.com/watch?v=wW6eKLLViK8&amp;t=40s", "Go to time")</f>
        <v/>
      </c>
    </row>
    <row r="7827">
      <c r="A7827">
        <f>HYPERLINK("https://www.youtube.com/watch?v=wW6eKLLViK8", "Video")</f>
        <v/>
      </c>
      <c r="B7827" t="inlineStr">
        <is>
          <t>5:15</t>
        </is>
      </c>
      <c r="C7827" t="inlineStr">
        <is>
          <t>monster that, presumably, inhabits Loch Ness.”
Two other newspapers would later retell the</t>
        </is>
      </c>
      <c r="D7827">
        <f>HYPERLINK("https://www.youtube.com/watch?v=wW6eKLLViK8&amp;t=315s", "Go to time")</f>
        <v/>
      </c>
    </row>
    <row r="7828">
      <c r="A7828">
        <f>HYPERLINK("https://www.youtube.com/watch?v=wW6eKLLViK8", "Video")</f>
        <v/>
      </c>
      <c r="B7828" t="inlineStr">
        <is>
          <t>9:16</t>
        </is>
      </c>
      <c r="C7828" t="inlineStr">
        <is>
          <t>inhabiting the earth, and Nessie was one of
them.</t>
        </is>
      </c>
      <c r="D7828">
        <f>HYPERLINK("https://www.youtube.com/watch?v=wW6eKLLViK8&amp;t=556s", "Go to time")</f>
        <v/>
      </c>
    </row>
    <row r="7829">
      <c r="A7829">
        <f>HYPERLINK("https://www.youtube.com/watch?v=aff9ZQLClcU", "Video")</f>
        <v/>
      </c>
      <c r="B7829" t="inlineStr">
        <is>
          <t>8:57</t>
        </is>
      </c>
      <c r="C7829" t="inlineStr">
        <is>
          <t>bite transforming another human into a werewolf.</t>
        </is>
      </c>
      <c r="D7829">
        <f>HYPERLINK("https://www.youtube.com/watch?v=aff9ZQLClcU&amp;t=537s", "Go to time")</f>
        <v/>
      </c>
    </row>
    <row r="7830">
      <c r="A7830">
        <f>HYPERLINK("https://www.youtube.com/watch?v=aff9ZQLClcU", "Video")</f>
        <v/>
      </c>
      <c r="B7830" t="inlineStr">
        <is>
          <t>9:10</t>
        </is>
      </c>
      <c r="C7830" t="inlineStr">
        <is>
          <t>Dr. Wildred Glendon, is bitten in Tibet by
a werewolf while collecting a rare flower</t>
        </is>
      </c>
      <c r="D7830">
        <f>HYPERLINK("https://www.youtube.com/watch?v=aff9ZQLClcU&amp;t=550s", "Go to time")</f>
        <v/>
      </c>
    </row>
    <row r="7831">
      <c r="A7831">
        <f>HYPERLINK("https://www.youtube.com/watch?v=aff9ZQLClcU", "Video")</f>
        <v/>
      </c>
      <c r="B7831" t="inlineStr">
        <is>
          <t>9:31</t>
        </is>
      </c>
      <c r="C7831" t="inlineStr">
        <is>
          <t>that bit him and the two werewolves fight.</t>
        </is>
      </c>
      <c r="D7831">
        <f>HYPERLINK("https://www.youtube.com/watch?v=aff9ZQLClcU&amp;t=571s", "Go to time")</f>
        <v/>
      </c>
    </row>
    <row r="7832">
      <c r="A7832">
        <f>HYPERLINK("https://www.youtube.com/watch?v=aff9ZQLClcU", "Video")</f>
        <v/>
      </c>
      <c r="B7832" t="inlineStr">
        <is>
          <t>11:31</t>
        </is>
      </c>
      <c r="C7832" t="inlineStr">
        <is>
          <t>Now it's particular that I use the term infected
because the transformation is due to a bite.</t>
        </is>
      </c>
      <c r="D7832">
        <f>HYPERLINK("https://www.youtube.com/watch?v=aff9ZQLClcU&amp;t=691s", "Go to time")</f>
        <v/>
      </c>
    </row>
    <row r="7833">
      <c r="A7833">
        <f>HYPERLINK("https://www.youtube.com/watch?v=aff9ZQLClcU", "Video")</f>
        <v/>
      </c>
      <c r="B7833" t="inlineStr">
        <is>
          <t>11:36</t>
        </is>
      </c>
      <c r="C7833" t="inlineStr">
        <is>
          <t>And of course, we now understand that werewolves
transform because you get bitten and then</t>
        </is>
      </c>
      <c r="D7833">
        <f>HYPERLINK("https://www.youtube.com/watch?v=aff9ZQLClcU&amp;t=696s", "Go to time")</f>
        <v/>
      </c>
    </row>
    <row r="7834">
      <c r="A7834">
        <f>HYPERLINK("https://www.youtube.com/watch?v=aff9ZQLClcU", "Video")</f>
        <v/>
      </c>
      <c r="B7834" t="inlineStr">
        <is>
          <t>20:49</t>
        </is>
      </c>
      <c r="C7834" t="inlineStr">
        <is>
          <t>Ginger is bitten by a werewolf, triggering
a transformation directly linked to her menstrual</t>
        </is>
      </c>
      <c r="D7834">
        <f>HYPERLINK("https://www.youtube.com/watch?v=aff9ZQLClcU&amp;t=1249s", "Go to time")</f>
        <v/>
      </c>
    </row>
    <row r="7835">
      <c r="A7835">
        <f>HYPERLINK("https://www.youtube.com/watch?v=aff9ZQLClcU", "Video")</f>
        <v/>
      </c>
      <c r="B7835" t="inlineStr">
        <is>
          <t>27:49</t>
        </is>
      </c>
      <c r="C7835" t="inlineStr">
        <is>
          <t>to be the last reported habitat of wolves
in England.</t>
        </is>
      </c>
      <c r="D7835">
        <f>HYPERLINK("https://www.youtube.com/watch?v=aff9ZQLClcU&amp;t=1669s", "Go to time")</f>
        <v/>
      </c>
    </row>
    <row r="7836">
      <c r="A7836">
        <f>HYPERLINK("https://www.youtube.com/watch?v=44A1wAf8P70", "Video")</f>
        <v/>
      </c>
      <c r="B7836" t="inlineStr">
        <is>
          <t>8:23</t>
        </is>
      </c>
      <c r="C7836" t="inlineStr">
        <is>
          <t>While the dangers of frostbite
and hypothermia are universal</t>
        </is>
      </c>
      <c r="D7836">
        <f>HYPERLINK("https://www.youtube.com/watch?v=44A1wAf8P70&amp;t=503s", "Go to time")</f>
        <v/>
      </c>
    </row>
    <row r="7837">
      <c r="A7837">
        <f>HYPERLINK("https://www.youtube.com/watch?v=rtqRaKhu1VY", "Video")</f>
        <v/>
      </c>
      <c r="B7837" t="inlineStr">
        <is>
          <t>6:04</t>
        </is>
      </c>
      <c r="C7837" t="inlineStr">
        <is>
          <t>or do so only within the prescribed orbits
of young women preparing to marry.</t>
        </is>
      </c>
      <c r="D7837">
        <f>HYPERLINK("https://www.youtube.com/watch?v=rtqRaKhu1VY&amp;t=364s", "Go to time")</f>
        <v/>
      </c>
    </row>
    <row r="7838">
      <c r="A7838">
        <f>HYPERLINK("https://www.youtube.com/watch?v=rtqRaKhu1VY", "Video")</f>
        <v/>
      </c>
      <c r="B7838" t="inlineStr">
        <is>
          <t>14:35</t>
        </is>
      </c>
      <c r="C7838" t="inlineStr">
        <is>
          <t>Wide Sargasso Sea is exhibit A about how fan
fiction and metatextual examinations can have</t>
        </is>
      </c>
      <c r="D7838">
        <f>HYPERLINK("https://www.youtube.com/watch?v=rtqRaKhu1VY&amp;t=875s", "Go to time")</f>
        <v/>
      </c>
    </row>
    <row r="7839">
      <c r="A7839">
        <f>HYPERLINK("https://www.youtube.com/watch?v=Wydzo-JAM2w", "Video")</f>
        <v/>
      </c>
      <c r="B7839" t="inlineStr">
        <is>
          <t>1:45</t>
        </is>
      </c>
      <c r="C7839" t="inlineStr">
        <is>
          <t>and humans that violate its habitat.</t>
        </is>
      </c>
      <c r="D7839">
        <f>HYPERLINK("https://www.youtube.com/watch?v=Wydzo-JAM2w&amp;t=105s", "Go to time")</f>
        <v/>
      </c>
    </row>
    <row r="7840">
      <c r="A7840">
        <f>HYPERLINK("https://www.youtube.com/watch?v=scgn2BCcht4", "Video")</f>
        <v/>
      </c>
      <c r="B7840" t="inlineStr">
        <is>
          <t>7:27</t>
        </is>
      </c>
      <c r="C7840" t="inlineStr">
        <is>
          <t>in his 2014 New York Times
obituary for Márquez,</t>
        </is>
      </c>
      <c r="D7840">
        <f>HYPERLINK("https://www.youtube.com/watch?v=scgn2BCcht4&amp;t=447s", "Go to time")</f>
        <v/>
      </c>
    </row>
    <row r="7841">
      <c r="A7841">
        <f>HYPERLINK("https://www.youtube.com/watch?v=apSFkSHbuyE", "Video")</f>
        <v/>
      </c>
      <c r="B7841" t="inlineStr">
        <is>
          <t>4:21</t>
        </is>
      </c>
      <c r="C7841" t="inlineStr">
        <is>
          <t>because of the dichotomy of
woman monster she inhabits.</t>
        </is>
      </c>
      <c r="D7841">
        <f>HYPERLINK("https://www.youtube.com/watch?v=apSFkSHbuyE&amp;t=261s", "Go to time")</f>
        <v/>
      </c>
    </row>
    <row r="7842">
      <c r="A7842">
        <f>HYPERLINK("https://www.youtube.com/watch?v=zHCGdyhHlRs", "Video")</f>
        <v/>
      </c>
      <c r="B7842" t="inlineStr">
        <is>
          <t>8:55</t>
        </is>
      </c>
      <c r="C7842" t="inlineStr">
        <is>
          <t>It's difficult to show
cute in eight bit,</t>
        </is>
      </c>
      <c r="D7842">
        <f>HYPERLINK("https://www.youtube.com/watch?v=zHCGdyhHlRs&amp;t=535s", "Go to time")</f>
        <v/>
      </c>
    </row>
    <row r="7843">
      <c r="A7843">
        <f>HYPERLINK("https://www.youtube.com/watch?v=zHCGdyhHlRs", "Video")</f>
        <v/>
      </c>
      <c r="B7843" t="inlineStr">
        <is>
          <t>10:53</t>
        </is>
      </c>
      <c r="C7843" t="inlineStr">
        <is>
          <t>and its inhabitants
as living creatures</t>
        </is>
      </c>
      <c r="D7843">
        <f>HYPERLINK("https://www.youtube.com/watch?v=zHCGdyhHlRs&amp;t=653s", "Go to time")</f>
        <v/>
      </c>
    </row>
    <row r="7844">
      <c r="A7844">
        <f>HYPERLINK("https://www.youtube.com/watch?v=08ASjs_qt70", "Video")</f>
        <v/>
      </c>
      <c r="B7844" t="inlineStr">
        <is>
          <t>8:19</t>
        </is>
      </c>
      <c r="C7844" t="inlineStr">
        <is>
          <t>but became a bit more subdued.</t>
        </is>
      </c>
      <c r="D7844">
        <f>HYPERLINK("https://www.youtube.com/watch?v=08ASjs_qt70&amp;t=499s", "Go to time")</f>
        <v/>
      </c>
    </row>
    <row r="7845">
      <c r="A7845">
        <f>HYPERLINK("https://www.youtube.com/watch?v=ORmnbVsyCSY", "Video")</f>
        <v/>
      </c>
      <c r="B7845" t="inlineStr">
        <is>
          <t>6:46</t>
        </is>
      </c>
      <c r="C7845" t="inlineStr">
        <is>
          <t>designating biological habitats</t>
        </is>
      </c>
      <c r="D7845">
        <f>HYPERLINK("https://www.youtube.com/watch?v=ORmnbVsyCSY&amp;t=406s", "Go to time")</f>
        <v/>
      </c>
    </row>
    <row r="7846">
      <c r="A7846">
        <f>HYPERLINK("https://www.youtube.com/watch?v=ORmnbVsyCSY", "Video")</f>
        <v/>
      </c>
      <c r="B7846" t="inlineStr">
        <is>
          <t>10:12</t>
        </is>
      </c>
      <c r="C7846" t="inlineStr">
        <is>
          <t>a giant rabbit appears only
to main character Elwood.</t>
        </is>
      </c>
      <c r="D7846">
        <f>HYPERLINK("https://www.youtube.com/watch?v=ORmnbVsyCSY&amp;t=612s", "Go to time")</f>
        <v/>
      </c>
    </row>
    <row r="7847">
      <c r="A7847">
        <f>HYPERLINK("https://www.youtube.com/watch?v=lAXoWmScsoc", "Video")</f>
        <v/>
      </c>
      <c r="B7847" t="inlineStr">
        <is>
          <t>5:31</t>
        </is>
      </c>
      <c r="C7847" t="inlineStr">
        <is>
          <t>and human inhabitants
of exotic locales.</t>
        </is>
      </c>
      <c r="D7847">
        <f>HYPERLINK("https://www.youtube.com/watch?v=lAXoWmScsoc&amp;t=331s", "Go to time")</f>
        <v/>
      </c>
    </row>
    <row r="7848">
      <c r="A7848">
        <f>HYPERLINK("https://www.youtube.com/watch?v=bpmTNFFRjdQ", "Video")</f>
        <v/>
      </c>
      <c r="B7848" t="inlineStr">
        <is>
          <t>1:10</t>
        </is>
      </c>
      <c r="C7848" t="inlineStr">
        <is>
          <t>One, it seems, of many to blend a bit</t>
        </is>
      </c>
      <c r="D7848">
        <f>HYPERLINK("https://www.youtube.com/watch?v=bpmTNFFRjdQ&amp;t=70s", "Go to time")</f>
        <v/>
      </c>
    </row>
    <row r="7849">
      <c r="A7849">
        <f>HYPERLINK("https://www.youtube.com/watch?v=bpmTNFFRjdQ", "Video")</f>
        <v/>
      </c>
      <c r="B7849" t="inlineStr">
        <is>
          <t>2:32</t>
        </is>
      </c>
      <c r="C7849" t="inlineStr">
        <is>
          <t>a bit later, but for now,
let's talk logistics.</t>
        </is>
      </c>
      <c r="D7849">
        <f>HYPERLINK("https://www.youtube.com/watch?v=bpmTNFFRjdQ&amp;t=152s", "Go to time")</f>
        <v/>
      </c>
    </row>
    <row r="7850">
      <c r="A7850">
        <f>HYPERLINK("https://www.youtube.com/watch?v=y-sYUaWeOyA", "Video")</f>
        <v/>
      </c>
      <c r="B7850" t="inlineStr">
        <is>
          <t>4:43</t>
        </is>
      </c>
      <c r="C7850" t="inlineStr">
        <is>
          <t>ask questions and practice
repeating bits of dialogue</t>
        </is>
      </c>
      <c r="D7850">
        <f>HYPERLINK("https://www.youtube.com/watch?v=y-sYUaWeOyA&amp;t=283s", "Go to time")</f>
        <v/>
      </c>
    </row>
    <row r="7851">
      <c r="A7851">
        <f>HYPERLINK("https://www.youtube.com/watch?v=JdFSTQ40rsw", "Video")</f>
        <v/>
      </c>
      <c r="B7851" t="inlineStr">
        <is>
          <t>0:57</t>
        </is>
      </c>
      <c r="C7851" t="inlineStr">
        <is>
          <t>bitumen was a common
medical remedy.</t>
        </is>
      </c>
      <c r="D7851">
        <f>HYPERLINK("https://www.youtube.com/watch?v=JdFSTQ40rsw&amp;t=57s", "Go to time")</f>
        <v/>
      </c>
    </row>
    <row r="7852">
      <c r="A7852">
        <f>HYPERLINK("https://www.youtube.com/watch?v=JdFSTQ40rsw", "Video")</f>
        <v/>
      </c>
      <c r="B7852" t="inlineStr">
        <is>
          <t>0:59</t>
        </is>
      </c>
      <c r="C7852" t="inlineStr">
        <is>
          <t>The Persian word for Bitumen,</t>
        </is>
      </c>
      <c r="D7852">
        <f>HYPERLINK("https://www.youtube.com/watch?v=JdFSTQ40rsw&amp;t=59s", "Go to time")</f>
        <v/>
      </c>
    </row>
    <row r="7853">
      <c r="A7853">
        <f>HYPERLINK("https://www.youtube.com/watch?v=JdFSTQ40rsw", "Video")</f>
        <v/>
      </c>
      <c r="B7853" t="inlineStr">
        <is>
          <t>1:10</t>
        </is>
      </c>
      <c r="C7853" t="inlineStr">
        <is>
          <t>had the same medical
properties as bitumen,</t>
        </is>
      </c>
      <c r="D7853">
        <f>HYPERLINK("https://www.youtube.com/watch?v=JdFSTQ40rsw&amp;t=70s", "Go to time")</f>
        <v/>
      </c>
    </row>
    <row r="7854">
      <c r="A7854">
        <f>HYPERLINK("https://www.youtube.com/watch?v=JdFSTQ40rsw", "Video")</f>
        <v/>
      </c>
      <c r="B7854" t="inlineStr">
        <is>
          <t>8:15</t>
        </is>
      </c>
      <c r="C7854" t="inlineStr">
        <is>
          <t>when Lord Carnarvon fell ill
from an infected mosquito bite,</t>
        </is>
      </c>
      <c r="D7854">
        <f>HYPERLINK("https://www.youtube.com/watch?v=JdFSTQ40rsw&amp;t=495s", "Go to time")</f>
        <v/>
      </c>
    </row>
    <row r="7855">
      <c r="A7855">
        <f>HYPERLINK("https://www.youtube.com/watch?v=TeUGl1rOXx0", "Video")</f>
        <v/>
      </c>
      <c r="B7855" t="inlineStr">
        <is>
          <t>5:10</t>
        </is>
      </c>
      <c r="C7855" t="inlineStr">
        <is>
          <t>Like the Australasian bittern bird who is
commonly called the bunyip bird for its nocturnal</t>
        </is>
      </c>
      <c r="D7855">
        <f>HYPERLINK("https://www.youtube.com/watch?v=TeUGl1rOXx0&amp;t=310s", "Go to time")</f>
        <v/>
      </c>
    </row>
    <row r="7856">
      <c r="A7856">
        <f>HYPERLINK("https://www.youtube.com/watch?v=utJZ8YmXOnc", "Video")</f>
        <v/>
      </c>
      <c r="B7856" t="inlineStr">
        <is>
          <t>1:28</t>
        </is>
      </c>
      <c r="C7856" t="inlineStr">
        <is>
          <t>and that every little bit of mass 
contains an enormous amount of energy.</t>
        </is>
      </c>
      <c r="D7856">
        <f>HYPERLINK("https://www.youtube.com/watch?v=utJZ8YmXOnc&amp;t=88s", "Go to time")</f>
        <v/>
      </c>
    </row>
    <row r="7857">
      <c r="A7857">
        <f>HYPERLINK("https://www.youtube.com/watch?v=utJZ8YmXOnc", "Video")</f>
        <v/>
      </c>
      <c r="B7857" t="inlineStr">
        <is>
          <t>1:49</t>
        </is>
      </c>
      <c r="C7857" t="inlineStr">
        <is>
          <t>The result is a nucleus of helium plus a LOT 
of energy. This is a bit of stellar alchemy:</t>
        </is>
      </c>
      <c r="D7857">
        <f>HYPERLINK("https://www.youtube.com/watch?v=utJZ8YmXOnc&amp;t=109s", "Go to time")</f>
        <v/>
      </c>
    </row>
    <row r="7858">
      <c r="A7858">
        <f>HYPERLINK("https://www.youtube.com/watch?v=utJZ8YmXOnc", "Video")</f>
        <v/>
      </c>
      <c r="B7858" t="inlineStr">
        <is>
          <t>9:11</t>
        </is>
      </c>
      <c r="C7858" t="inlineStr">
        <is>
          <t>The humans treated poor Mawu so terribly that 
she fled to the sky and inhabited the moon.</t>
        </is>
      </c>
      <c r="D7858">
        <f>HYPERLINK("https://www.youtube.com/watch?v=utJZ8YmXOnc&amp;t=551s", "Go to time")</f>
        <v/>
      </c>
    </row>
    <row r="7859">
      <c r="A7859">
        <f>HYPERLINK("https://www.youtube.com/watch?v=utJZ8YmXOnc", "Video")</f>
        <v/>
      </c>
      <c r="B7859" t="inlineStr">
        <is>
          <t>9:26</t>
        </is>
      </c>
      <c r="C7859" t="inlineStr">
        <is>
          <t>he went up to the sky and inhabited 
the sun to be close to his sister/wife.</t>
        </is>
      </c>
      <c r="D7859">
        <f>HYPERLINK("https://www.youtube.com/watch?v=utJZ8YmXOnc&amp;t=566s", "Go to time")</f>
        <v/>
      </c>
    </row>
    <row r="7860">
      <c r="A7860">
        <f>HYPERLINK("https://www.youtube.com/watch?v=utJZ8YmXOnc", "Video")</f>
        <v/>
      </c>
      <c r="B7860" t="inlineStr">
        <is>
          <t>10:20</t>
        </is>
      </c>
      <c r="C7860" t="inlineStr">
        <is>
          <t>about galactic habitable zones,</t>
        </is>
      </c>
      <c r="D7860">
        <f>HYPERLINK("https://www.youtube.com/watch?v=utJZ8YmXOnc&amp;t=620s", "Go to time")</f>
        <v/>
      </c>
    </row>
    <row r="7861">
      <c r="A7861">
        <f>HYPERLINK("https://www.youtube.com/watch?v=PrGUiq3KqwA", "Video")</f>
        <v/>
      </c>
      <c r="B7861" t="inlineStr">
        <is>
          <t>3:25</t>
        </is>
      </c>
      <c r="C7861" t="inlineStr">
        <is>
          <t>from any surviving tidbits
if they even exist.</t>
        </is>
      </c>
      <c r="D7861">
        <f>HYPERLINK("https://www.youtube.com/watch?v=PrGUiq3KqwA&amp;t=205s", "Go to time")</f>
        <v/>
      </c>
    </row>
    <row r="7862">
      <c r="A7862">
        <f>HYPERLINK("https://www.youtube.com/watch?v=PrGUiq3KqwA", "Video")</f>
        <v/>
      </c>
      <c r="B7862" t="inlineStr">
        <is>
          <t>4:52</t>
        </is>
      </c>
      <c r="C7862" t="inlineStr">
        <is>
          <t>Though we do code switch a bit
between English and Mandarin,</t>
        </is>
      </c>
      <c r="D7862">
        <f>HYPERLINK("https://www.youtube.com/watch?v=PrGUiq3KqwA&amp;t=292s", "Go to time")</f>
        <v/>
      </c>
    </row>
    <row r="7863">
      <c r="A7863">
        <f>HYPERLINK("https://www.youtube.com/watch?v=5fJKnLRXTaA", "Video")</f>
        <v/>
      </c>
      <c r="B7863" t="inlineStr">
        <is>
          <t>0:00</t>
        </is>
      </c>
      <c r="C7863" t="inlineStr">
        <is>
          <t>- The English word "body"
is a bit of a mystery.</t>
        </is>
      </c>
      <c r="D7863">
        <f>HYPERLINK("https://www.youtube.com/watch?v=5fJKnLRXTaA&amp;t=0s", "Go to time")</f>
        <v/>
      </c>
    </row>
    <row r="7864">
      <c r="A7864">
        <f>HYPERLINK("https://www.youtube.com/watch?v=5fJKnLRXTaA", "Video")</f>
        <v/>
      </c>
      <c r="B7864" t="inlineStr">
        <is>
          <t>0:52</t>
        </is>
      </c>
      <c r="C7864" t="inlineStr">
        <is>
          <t>to deduce a fair bit about
Proto-Indo-European culture</t>
        </is>
      </c>
      <c r="D7864">
        <f>HYPERLINK("https://www.youtube.com/watch?v=5fJKnLRXTaA&amp;t=52s", "Go to time")</f>
        <v/>
      </c>
    </row>
    <row r="7865">
      <c r="A7865">
        <f>HYPERLINK("https://www.youtube.com/watch?v=kvA40YRdNgQ", "Video")</f>
        <v/>
      </c>
      <c r="B7865" t="inlineStr">
        <is>
          <t>2:21</t>
        </is>
      </c>
      <c r="C7865" t="inlineStr">
        <is>
          <t>In what may have been a devious
bit of colonial marketing,</t>
        </is>
      </c>
      <c r="D7865">
        <f>HYPERLINK("https://www.youtube.com/watch?v=kvA40YRdNgQ&amp;t=141s", "Go to time")</f>
        <v/>
      </c>
    </row>
    <row r="7866">
      <c r="A7866">
        <f>HYPERLINK("https://www.youtube.com/watch?v=kvA40YRdNgQ", "Video")</f>
        <v/>
      </c>
      <c r="B7866" t="inlineStr">
        <is>
          <t>3:40</t>
        </is>
      </c>
      <c r="C7866" t="inlineStr">
        <is>
          <t>what's really in Welsh rabbit,</t>
        </is>
      </c>
      <c r="D7866">
        <f>HYPERLINK("https://www.youtube.com/watch?v=kvA40YRdNgQ&amp;t=220s", "Go to time")</f>
        <v/>
      </c>
    </row>
    <row r="7867">
      <c r="A7867">
        <f>HYPERLINK("https://www.youtube.com/watch?v=kvA40YRdNgQ", "Video")</f>
        <v/>
      </c>
      <c r="B7867" t="inlineStr">
        <is>
          <t>3:51</t>
        </is>
      </c>
      <c r="C7867" t="inlineStr">
        <is>
          <t>that their rabbit had no rabbit in it.</t>
        </is>
      </c>
      <c r="D7867">
        <f>HYPERLINK("https://www.youtube.com/watch?v=kvA40YRdNgQ&amp;t=231s", "Go to time")</f>
        <v/>
      </c>
    </row>
    <row r="7868">
      <c r="A7868">
        <f>HYPERLINK("https://www.youtube.com/watch?v=kvA40YRdNgQ", "Video")</f>
        <v/>
      </c>
      <c r="B7868" t="inlineStr">
        <is>
          <t>4:16</t>
        </is>
      </c>
      <c r="C7868" t="inlineStr">
        <is>
          <t>and tasted a bit like gooseberries,</t>
        </is>
      </c>
      <c r="D7868">
        <f>HYPERLINK("https://www.youtube.com/watch?v=kvA40YRdNgQ&amp;t=256s", "Go to time")</f>
        <v/>
      </c>
    </row>
    <row r="7869">
      <c r="A7869">
        <f>HYPERLINK("https://www.youtube.com/watch?v=SzJvpmoWQrI", "Video")</f>
        <v/>
      </c>
      <c r="B7869" t="inlineStr">
        <is>
          <t>11:36</t>
        </is>
      </c>
      <c r="C7869" t="inlineStr">
        <is>
          <t>put it best, although a tad bit harsher than
me, when he said:</t>
        </is>
      </c>
      <c r="D7869">
        <f>HYPERLINK("https://www.youtube.com/watch?v=SzJvpmoWQrI&amp;t=696s", "Go to time")</f>
        <v/>
      </c>
    </row>
    <row r="7870">
      <c r="A7870">
        <f>HYPERLINK("https://www.youtube.com/watch?v=eDW8OoPjvH8", "Video")</f>
        <v/>
      </c>
      <c r="B7870" t="inlineStr">
        <is>
          <t>1:57</t>
        </is>
      </c>
      <c r="C7870" t="inlineStr">
        <is>
          <t>seems a bit out there today,</t>
        </is>
      </c>
      <c r="D7870">
        <f>HYPERLINK("https://www.youtube.com/watch?v=eDW8OoPjvH8&amp;t=117s", "Go to time")</f>
        <v/>
      </c>
    </row>
    <row r="7871">
      <c r="A7871">
        <f>HYPERLINK("https://www.youtube.com/watch?v=eDW8OoPjvH8", "Video")</f>
        <v/>
      </c>
      <c r="B7871" t="inlineStr">
        <is>
          <t>9:57</t>
        </is>
      </c>
      <c r="C7871" t="inlineStr">
        <is>
          <t>And two, little bit laying
on the first one here,</t>
        </is>
      </c>
      <c r="D7871">
        <f>HYPERLINK("https://www.youtube.com/watch?v=eDW8OoPjvH8&amp;t=597s", "Go to time")</f>
        <v/>
      </c>
    </row>
    <row r="7872">
      <c r="A7872">
        <f>HYPERLINK("https://www.youtube.com/watch?v=Ut2xMSMWCM4", "Video")</f>
        <v/>
      </c>
      <c r="B7872" t="inlineStr">
        <is>
          <t>5:32</t>
        </is>
      </c>
      <c r="C7872" t="inlineStr">
        <is>
          <t>Makes sense, but there's
a bit more to it.</t>
        </is>
      </c>
      <c r="D7872">
        <f>HYPERLINK("https://www.youtube.com/watch?v=Ut2xMSMWCM4&amp;t=332s", "Go to time")</f>
        <v/>
      </c>
    </row>
    <row r="7873">
      <c r="A7873">
        <f>HYPERLINK("https://www.youtube.com/watch?v=Ut2xMSMWCM4", "Video")</f>
        <v/>
      </c>
      <c r="B7873" t="inlineStr">
        <is>
          <t>7:16</t>
        </is>
      </c>
      <c r="C7873" t="inlineStr">
        <is>
          <t>While they favor
 a watery habitat,</t>
        </is>
      </c>
      <c r="D7873">
        <f>HYPERLINK("https://www.youtube.com/watch?v=Ut2xMSMWCM4&amp;t=436s", "Go to time")</f>
        <v/>
      </c>
    </row>
    <row r="7874">
      <c r="A7874">
        <f>HYPERLINK("https://www.youtube.com/watch?v=TqpkZMECnsc", "Video")</f>
        <v/>
      </c>
      <c r="B7874" t="inlineStr">
        <is>
          <t>0:06</t>
        </is>
      </c>
      <c r="C7874" t="inlineStr">
        <is>
          <t>a terrifying horned rabbit
or a multicolored chimera?</t>
        </is>
      </c>
      <c r="D7874">
        <f>HYPERLINK("https://www.youtube.com/watch?v=TqpkZMECnsc&amp;t=6s", "Go to time")</f>
        <v/>
      </c>
    </row>
    <row r="7875">
      <c r="A7875">
        <f>HYPERLINK("https://www.youtube.com/watch?v=3QWizbz1ltE", "Video")</f>
        <v/>
      </c>
      <c r="B7875" t="inlineStr">
        <is>
          <t>11:02</t>
        </is>
      </c>
      <c r="C7875" t="inlineStr">
        <is>
          <t>But now that you know a
bit more about atunwaye,</t>
        </is>
      </c>
      <c r="D7875">
        <f>HYPERLINK("https://www.youtube.com/watch?v=3QWizbz1ltE&amp;t=662s", "Go to time")</f>
        <v/>
      </c>
    </row>
    <row r="7876">
      <c r="A7876">
        <f>HYPERLINK("https://www.youtube.com/watch?v=u-n4ws9EzUU", "Video")</f>
        <v/>
      </c>
      <c r="B7876" t="inlineStr">
        <is>
          <t>1:39</t>
        </is>
      </c>
      <c r="C7876" t="inlineStr">
        <is>
          <t>The favorite habitat of the pontianak is also
part of its name.</t>
        </is>
      </c>
      <c r="D7876">
        <f>HYPERLINK("https://www.youtube.com/watch?v=u-n4ws9EzUU&amp;t=99s", "Go to time")</f>
        <v/>
      </c>
    </row>
    <row r="7877">
      <c r="A7877">
        <f>HYPERLINK("https://www.youtube.com/watch?v=u-n4ws9EzUU", "Video")</f>
        <v/>
      </c>
      <c r="B7877" t="inlineStr">
        <is>
          <t>5:03</t>
        </is>
      </c>
      <c r="C7877" t="inlineStr">
        <is>
          <t>According to the legend, the first inhabitants
of the land were the pontianak.</t>
        </is>
      </c>
      <c r="D7877">
        <f>HYPERLINK("https://www.youtube.com/watch?v=u-n4ws9EzUU&amp;t=303s", "Go to time")</f>
        <v/>
      </c>
    </row>
    <row r="7878">
      <c r="A7878">
        <f>HYPERLINK("https://www.youtube.com/watch?v=u-n4ws9EzUU", "Video")</f>
        <v/>
      </c>
      <c r="B7878" t="inlineStr">
        <is>
          <t>5:42</t>
        </is>
      </c>
      <c r="C7878" t="inlineStr">
        <is>
          <t>the dense jungle and its animal inhabitants,
but it seems a truer parallel comes from another</t>
        </is>
      </c>
      <c r="D7878">
        <f>HYPERLINK("https://www.youtube.com/watch?v=u-n4ws9EzUU&amp;t=342s", "Go to time")</f>
        <v/>
      </c>
    </row>
    <row r="7879">
      <c r="A7879">
        <f>HYPERLINK("https://www.youtube.com/watch?v=DDfK3wf3V_I", "Video")</f>
        <v/>
      </c>
      <c r="B7879" t="inlineStr">
        <is>
          <t>3:13</t>
        </is>
      </c>
      <c r="C7879" t="inlineStr">
        <is>
          <t>But King is the first to admit that he’s
been slowing down a bit.</t>
        </is>
      </c>
      <c r="D7879">
        <f>HYPERLINK("https://www.youtube.com/watch?v=DDfK3wf3V_I&amp;t=193s", "Go to time")</f>
        <v/>
      </c>
    </row>
    <row r="7880">
      <c r="A7880">
        <f>HYPERLINK("https://www.youtube.com/watch?v=PJfysMnW6O0", "Video")</f>
        <v/>
      </c>
      <c r="B7880" t="inlineStr">
        <is>
          <t>5:16</t>
        </is>
      </c>
      <c r="C7880" t="inlineStr">
        <is>
          <t>Although Elon Musk may
have taken it a bit far</t>
        </is>
      </c>
      <c r="D7880">
        <f>HYPERLINK("https://www.youtube.com/watch?v=PJfysMnW6O0&amp;t=316s", "Go to time")</f>
        <v/>
      </c>
    </row>
    <row r="7881">
      <c r="A7881">
        <f>HYPERLINK("https://www.youtube.com/watch?v=swuoSZXQTac", "Video")</f>
        <v/>
      </c>
      <c r="B7881" t="inlineStr">
        <is>
          <t>6:25</t>
        </is>
      </c>
      <c r="C7881" t="inlineStr">
        <is>
          <t>what food they ate, what terrain they inhabited,</t>
        </is>
      </c>
      <c r="D7881">
        <f>HYPERLINK("https://www.youtube.com/watch?v=swuoSZXQTac&amp;t=385s", "Go to time")</f>
        <v/>
      </c>
    </row>
    <row r="7882">
      <c r="A7882">
        <f>HYPERLINK("https://www.youtube.com/watch?v=Avq9JSAg-Mc", "Video")</f>
        <v/>
      </c>
      <c r="B7882" t="inlineStr">
        <is>
          <t>3:21</t>
        </is>
      </c>
      <c r="C7882" t="inlineStr">
        <is>
          <t>get Donna to help him and he bites my</t>
        </is>
      </c>
      <c r="D7882">
        <f>HYPERLINK("https://www.youtube.com/watch?v=Avq9JSAg-Mc&amp;t=201s", "Go to time")</f>
        <v/>
      </c>
    </row>
    <row r="7883">
      <c r="A7883">
        <f>HYPERLINK("https://www.youtube.com/watch?v=Avq9JSAg-Mc", "Video")</f>
        <v/>
      </c>
      <c r="B7883" t="inlineStr">
        <is>
          <t>4:31</t>
        </is>
      </c>
      <c r="C7883" t="inlineStr">
        <is>
          <t>partner with ambition and you dropped</t>
        </is>
      </c>
      <c r="D7883">
        <f>HYPERLINK("https://www.youtube.com/watch?v=Avq9JSAg-Mc&amp;t=271s", "Go to time")</f>
        <v/>
      </c>
    </row>
    <row r="7884">
      <c r="A7884">
        <f>HYPERLINK("https://www.youtube.com/watch?v=Avq9JSAg-Mc", "Video")</f>
        <v/>
      </c>
      <c r="B7884" t="inlineStr">
        <is>
          <t>4:38</t>
        </is>
      </c>
      <c r="C7884" t="inlineStr">
        <is>
          <t>anybody and I never said ambition was a</t>
        </is>
      </c>
      <c r="D7884">
        <f>HYPERLINK("https://www.youtube.com/watch?v=Avq9JSAg-Mc&amp;t=278s", "Go to time")</f>
        <v/>
      </c>
    </row>
    <row r="7885">
      <c r="A7885">
        <f>HYPERLINK("https://www.youtube.com/watch?v=9492D2W0yZw", "Video")</f>
        <v/>
      </c>
      <c r="B7885" t="inlineStr">
        <is>
          <t>6:22</t>
        </is>
      </c>
      <c r="C7885" t="inlineStr">
        <is>
          <t>bit of compassion he bought those tapes</t>
        </is>
      </c>
      <c r="D7885">
        <f>HYPERLINK("https://www.youtube.com/watch?v=9492D2W0yZw&amp;t=382s", "Go to time")</f>
        <v/>
      </c>
    </row>
    <row r="7886">
      <c r="A7886">
        <f>HYPERLINK("https://www.youtube.com/watch?v=RpH5axdiGT0", "Video")</f>
        <v/>
      </c>
      <c r="B7886" t="inlineStr">
        <is>
          <t>3:38</t>
        </is>
      </c>
      <c r="C7886" t="inlineStr">
        <is>
          <t>her something I know a little bit about</t>
        </is>
      </c>
      <c r="D7886">
        <f>HYPERLINK("https://www.youtube.com/watch?v=RpH5axdiGT0&amp;t=218s", "Go to time")</f>
        <v/>
      </c>
    </row>
    <row r="7887">
      <c r="A7887">
        <f>HYPERLINK("https://www.youtube.com/watch?v=RpH5axdiGT0", "Video")</f>
        <v/>
      </c>
      <c r="B7887" t="inlineStr">
        <is>
          <t>8:36</t>
        </is>
      </c>
      <c r="C7887" t="inlineStr">
        <is>
          <t>habit of second guessing</t>
        </is>
      </c>
      <c r="D7887">
        <f>HYPERLINK("https://www.youtube.com/watch?v=RpH5axdiGT0&amp;t=516s", "Go to time")</f>
        <v/>
      </c>
    </row>
    <row r="7888">
      <c r="A7888">
        <f>HYPERLINK("https://www.youtube.com/watch?v=JAWcHRTcXbY", "Video")</f>
        <v/>
      </c>
      <c r="B7888" t="inlineStr">
        <is>
          <t>0:03</t>
        </is>
      </c>
      <c r="C7888" t="inlineStr">
        <is>
          <t>you of and it's a bitter pill to swallow</t>
        </is>
      </c>
      <c r="D7888">
        <f>HYPERLINK("https://www.youtube.com/watch?v=JAWcHRTcXbY&amp;t=3s", "Go to time")</f>
        <v/>
      </c>
    </row>
    <row r="7889">
      <c r="A7889">
        <f>HYPERLINK("https://www.youtube.com/watch?v=PZ3ztk_l-gQ", "Video")</f>
        <v/>
      </c>
      <c r="B7889" t="inlineStr">
        <is>
          <t>7:33</t>
        </is>
      </c>
      <c r="C7889" t="inlineStr">
        <is>
          <t>yourself I'm not in the habit of second</t>
        </is>
      </c>
      <c r="D7889">
        <f>HYPERLINK("https://www.youtube.com/watch?v=PZ3ztk_l-gQ&amp;t=453s", "Go to time")</f>
        <v/>
      </c>
    </row>
    <row r="7890">
      <c r="A7890">
        <f>HYPERLINK("https://www.youtube.com/watch?v=PZ3ztk_l-gQ", "Video")</f>
        <v/>
      </c>
      <c r="B7890" t="inlineStr">
        <is>
          <t>15:03</t>
        </is>
      </c>
      <c r="C7890" t="inlineStr">
        <is>
          <t>the reason we won that bit is we were</t>
        </is>
      </c>
      <c r="D7890">
        <f>HYPERLINK("https://www.youtube.com/watch?v=PZ3ztk_l-gQ&amp;t=903s", "Go to time")</f>
        <v/>
      </c>
    </row>
    <row r="7891">
      <c r="A7891">
        <f>HYPERLINK("https://www.youtube.com/watch?v=oeELwv7hU9U", "Video")</f>
        <v/>
      </c>
      <c r="B7891" t="inlineStr">
        <is>
          <t>0:52</t>
        </is>
      </c>
      <c r="C7891" t="inlineStr">
        <is>
          <t>and make sure
that son of a bitch</t>
        </is>
      </c>
      <c r="D7891">
        <f>HYPERLINK("https://www.youtube.com/watch?v=oeELwv7hU9U&amp;t=52s", "Go to time")</f>
        <v/>
      </c>
    </row>
    <row r="7892">
      <c r="A7892">
        <f>HYPERLINK("https://www.youtube.com/watch?v=Q6nHdWa62bY", "Video")</f>
        <v/>
      </c>
      <c r="B7892" t="inlineStr">
        <is>
          <t>0:12</t>
        </is>
      </c>
      <c r="C7892" t="inlineStr">
        <is>
          <t>for quite some time yes we've been a bit</t>
        </is>
      </c>
      <c r="D7892">
        <f>HYPERLINK("https://www.youtube.com/watch?v=Q6nHdWa62bY&amp;t=12s", "Go to time")</f>
        <v/>
      </c>
    </row>
    <row r="7893">
      <c r="A7893">
        <f>HYPERLINK("https://www.youtube.com/watch?v=j5iX04lBu50", "Video")</f>
        <v/>
      </c>
      <c r="B7893" t="inlineStr">
        <is>
          <t>3:11</t>
        </is>
      </c>
      <c r="C7893" t="inlineStr">
        <is>
          <t>because when this comes back to bite you</t>
        </is>
      </c>
      <c r="D7893">
        <f>HYPERLINK("https://www.youtube.com/watch?v=j5iX04lBu50&amp;t=191s", "Go to time")</f>
        <v/>
      </c>
    </row>
    <row r="7894">
      <c r="A7894">
        <f>HYPERLINK("https://www.youtube.com/watch?v=z-9mwcsOysM", "Video")</f>
        <v/>
      </c>
      <c r="B7894" t="inlineStr">
        <is>
          <t>2:26</t>
        </is>
      </c>
      <c r="C7894" t="inlineStr">
        <is>
          <t>do you want to go out and grab a bite to</t>
        </is>
      </c>
      <c r="D7894">
        <f>HYPERLINK("https://www.youtube.com/watch?v=z-9mwcsOysM&amp;t=146s", "Go to time")</f>
        <v/>
      </c>
    </row>
    <row r="7895">
      <c r="A7895">
        <f>HYPERLINK("https://www.youtube.com/watch?v=vhtnCZR9Dug", "Video")</f>
        <v/>
      </c>
      <c r="B7895" t="inlineStr">
        <is>
          <t>1:52</t>
        </is>
      </c>
      <c r="C7895" t="inlineStr">
        <is>
          <t>you're a bit of a hero to my favorite</t>
        </is>
      </c>
      <c r="D7895">
        <f>HYPERLINK("https://www.youtube.com/watch?v=vhtnCZR9Dug&amp;t=112s", "Go to time")</f>
        <v/>
      </c>
    </row>
    <row r="7896">
      <c r="A7896">
        <f>HYPERLINK("https://www.youtube.com/watch?v=JjN-EWFlh_4", "Video")</f>
        <v/>
      </c>
      <c r="B7896" t="inlineStr">
        <is>
          <t>2:04</t>
        </is>
      </c>
      <c r="C7896" t="inlineStr">
        <is>
          <t>is a little bit bigger than mudding</t>
        </is>
      </c>
      <c r="D7896">
        <f>HYPERLINK("https://www.youtube.com/watch?v=JjN-EWFlh_4&amp;t=124s", "Go to time")</f>
        <v/>
      </c>
    </row>
    <row r="7897">
      <c r="A7897">
        <f>HYPERLINK("https://www.youtube.com/watch?v=ucCkVD1VewE", "Video")</f>
        <v/>
      </c>
      <c r="B7897" t="inlineStr">
        <is>
          <t>12:20</t>
        </is>
      </c>
      <c r="C7897" t="inlineStr">
        <is>
          <t>not a bit good here's the deal</t>
        </is>
      </c>
      <c r="D7897">
        <f>HYPERLINK("https://www.youtube.com/watch?v=ucCkVD1VewE&amp;t=740s", "Go to time")</f>
        <v/>
      </c>
    </row>
    <row r="7898">
      <c r="A7898">
        <f>HYPERLINK("https://www.youtube.com/watch?v=BWujqP8Ycfs", "Video")</f>
        <v/>
      </c>
      <c r="B7898" t="inlineStr">
        <is>
          <t>0:55</t>
        </is>
      </c>
      <c r="C7898" t="inlineStr">
        <is>
          <t>want to hold on to it for a bit why</t>
        </is>
      </c>
      <c r="D7898">
        <f>HYPERLINK("https://www.youtube.com/watch?v=BWujqP8Ycfs&amp;t=55s", "Go to time")</f>
        <v/>
      </c>
    </row>
    <row r="7899">
      <c r="A7899">
        <f>HYPERLINK("https://www.youtube.com/watch?v=BWujqP8Ycfs", "Video")</f>
        <v/>
      </c>
      <c r="B7899" t="inlineStr">
        <is>
          <t>1:14</t>
        </is>
      </c>
      <c r="C7899" t="inlineStr">
        <is>
          <t>it for a bit thing that's just a figure</t>
        </is>
      </c>
      <c r="D7899">
        <f>HYPERLINK("https://www.youtube.com/watch?v=BWujqP8Ycfs&amp;t=74s", "Go to time")</f>
        <v/>
      </c>
    </row>
    <row r="7900">
      <c r="A7900">
        <f>HYPERLINK("https://www.youtube.com/watch?v=bK3JpWg_9Lc", "Video")</f>
        <v/>
      </c>
      <c r="B7900" t="inlineStr">
        <is>
          <t>0:49</t>
        </is>
      </c>
      <c r="C7900" t="inlineStr">
        <is>
          <t>prohibited from bringing a suit against</t>
        </is>
      </c>
      <c r="D7900">
        <f>HYPERLINK("https://www.youtube.com/watch?v=bK3JpWg_9Lc&amp;t=49s", "Go to time")</f>
        <v/>
      </c>
    </row>
    <row r="7901">
      <c r="A7901">
        <f>HYPERLINK("https://www.youtube.com/watch?v=66EAjPdLGg8", "Video")</f>
        <v/>
      </c>
      <c r="B7901" t="inlineStr">
        <is>
          <t>9:06</t>
        </is>
      </c>
      <c r="C7901" t="inlineStr">
        <is>
          <t>here for a bit and take it all</t>
        </is>
      </c>
      <c r="D7901">
        <f>HYPERLINK("https://www.youtube.com/watch?v=66EAjPdLGg8&amp;t=546s", "Go to time")</f>
        <v/>
      </c>
    </row>
    <row r="7902">
      <c r="A7902">
        <f>HYPERLINK("https://www.youtube.com/watch?v=YQIQ05eQR6U", "Video")</f>
        <v/>
      </c>
      <c r="B7902" t="inlineStr">
        <is>
          <t>0:01</t>
        </is>
      </c>
      <c r="C7902" t="inlineStr">
        <is>
          <t>James quelling I'm in a bit of a hurry</t>
        </is>
      </c>
      <c r="D7902">
        <f>HYPERLINK("https://www.youtube.com/watch?v=YQIQ05eQR6U&amp;t=1s", "Go to time")</f>
        <v/>
      </c>
    </row>
    <row r="7903">
      <c r="A7903">
        <f>HYPERLINK("https://www.youtube.com/watch?v=WtdhiwGSCas", "Video")</f>
        <v/>
      </c>
      <c r="B7903" t="inlineStr">
        <is>
          <t>4:50</t>
        </is>
      </c>
      <c r="C7903" t="inlineStr">
        <is>
          <t>actually get a little bit smaller if</t>
        </is>
      </c>
      <c r="D7903">
        <f>HYPERLINK("https://www.youtube.com/watch?v=WtdhiwGSCas&amp;t=290s", "Go to time")</f>
        <v/>
      </c>
    </row>
    <row r="7904">
      <c r="A7904">
        <f>HYPERLINK("https://www.youtube.com/watch?v=VKfBR5l0nnM", "Video")</f>
        <v/>
      </c>
      <c r="B7904" t="inlineStr">
        <is>
          <t>6:01</t>
        </is>
      </c>
      <c r="C7904" t="inlineStr">
        <is>
          <t>absolutely no kicking no biting and no</t>
        </is>
      </c>
      <c r="D7904">
        <f>HYPERLINK("https://www.youtube.com/watch?v=VKfBR5l0nnM&amp;t=361s", "Go to time")</f>
        <v/>
      </c>
    </row>
    <row r="7905">
      <c r="A7905">
        <f>HYPERLINK("https://www.youtube.com/watch?v=VKfBR5l0nnM", "Video")</f>
        <v/>
      </c>
      <c r="B7905" t="inlineStr">
        <is>
          <t>6:03</t>
        </is>
      </c>
      <c r="C7905" t="inlineStr">
        <is>
          <t>rabbit punches and now you're mocking</t>
        </is>
      </c>
      <c r="D7905">
        <f>HYPERLINK("https://www.youtube.com/watch?v=VKfBR5l0nnM&amp;t=363s", "Go to time")</f>
        <v/>
      </c>
    </row>
    <row r="7906">
      <c r="A7906">
        <f>HYPERLINK("https://www.youtube.com/watch?v=T8JEiSe_qos", "Video")</f>
        <v/>
      </c>
      <c r="B7906" t="inlineStr">
        <is>
          <t>0:55</t>
        </is>
      </c>
      <c r="C7906" t="inlineStr">
        <is>
          <t>to the landscape and uninhibited energy</t>
        </is>
      </c>
      <c r="D7906">
        <f>HYPERLINK("https://www.youtube.com/watch?v=T8JEiSe_qos&amp;t=55s", "Go to time")</f>
        <v/>
      </c>
    </row>
    <row r="7907">
      <c r="A7907">
        <f>HYPERLINK("https://www.youtube.com/watch?v=T8JEiSe_qos", "Video")</f>
        <v/>
      </c>
      <c r="B7907" t="inlineStr">
        <is>
          <t>1:00</t>
        </is>
      </c>
      <c r="C7907" t="inlineStr">
        <is>
          <t>uninhibited</t>
        </is>
      </c>
      <c r="D7907">
        <f>HYPERLINK("https://www.youtube.com/watch?v=T8JEiSe_qos&amp;t=60s", "Go to time")</f>
        <v/>
      </c>
    </row>
    <row r="7908">
      <c r="A7908">
        <f>HYPERLINK("https://www.youtube.com/watch?v=wfo5CJLqq0k", "Video")</f>
        <v/>
      </c>
      <c r="B7908" t="inlineStr">
        <is>
          <t>1:24</t>
        </is>
      </c>
      <c r="C7908" t="inlineStr">
        <is>
          <t>all Harvey this is becoming a habit I've</t>
        </is>
      </c>
      <c r="D7908">
        <f>HYPERLINK("https://www.youtube.com/watch?v=wfo5CJLqq0k&amp;t=84s", "Go to time")</f>
        <v/>
      </c>
    </row>
    <row r="7909">
      <c r="A7909">
        <f>HYPERLINK("https://www.youtube.com/watch?v=QoeP_osJKR8", "Video")</f>
        <v/>
      </c>
      <c r="B7909" t="inlineStr">
        <is>
          <t>1:26</t>
        </is>
      </c>
      <c r="C7909" t="inlineStr">
        <is>
          <t>i'm not in the habit of removing counsel</t>
        </is>
      </c>
      <c r="D7909">
        <f>HYPERLINK("https://www.youtube.com/watch?v=QoeP_osJKR8&amp;t=86s", "Go to time")</f>
        <v/>
      </c>
    </row>
    <row r="7910">
      <c r="A7910">
        <f>HYPERLINK("https://www.youtube.com/watch?v=QoeP_osJKR8", "Video")</f>
        <v/>
      </c>
      <c r="B7910" t="inlineStr">
        <is>
          <t>1:28</t>
        </is>
      </c>
      <c r="C7910" t="inlineStr">
        <is>
          <t>miss gibbs and i'm not in the habit of</t>
        </is>
      </c>
      <c r="D7910">
        <f>HYPERLINK("https://www.youtube.com/watch?v=QoeP_osJKR8&amp;t=88s", "Go to time")</f>
        <v/>
      </c>
    </row>
    <row r="7911">
      <c r="A7911">
        <f>HYPERLINK("https://www.youtube.com/watch?v=Lc93ncpkhD4", "Video")</f>
        <v/>
      </c>
      <c r="B7911" t="inlineStr">
        <is>
          <t>2:01</t>
        </is>
      </c>
      <c r="C7911" t="inlineStr">
        <is>
          <t>because you are a bitter vindictive</t>
        </is>
      </c>
      <c r="D7911">
        <f>HYPERLINK("https://www.youtube.com/watch?v=Lc93ncpkhD4&amp;t=121s", "Go to time")</f>
        <v/>
      </c>
    </row>
    <row r="7912">
      <c r="A7912">
        <f>HYPERLINK("https://www.youtube.com/watch?v=-NdthfnHko4", "Video")</f>
        <v/>
      </c>
      <c r="B7912" t="inlineStr">
        <is>
          <t>4:22</t>
        </is>
      </c>
      <c r="C7912" t="inlineStr">
        <is>
          <t>something I know a little bit about</t>
        </is>
      </c>
      <c r="D7912">
        <f>HYPERLINK("https://www.youtube.com/watch?v=-NdthfnHko4&amp;t=262s", "Go to time")</f>
        <v/>
      </c>
    </row>
    <row r="7913">
      <c r="A7913">
        <f>HYPERLINK("https://www.youtube.com/watch?v=kS9LiAKxoYE", "Video")</f>
        <v/>
      </c>
      <c r="B7913" t="inlineStr">
        <is>
          <t>5:54</t>
        </is>
      </c>
      <c r="C7913" t="inlineStr">
        <is>
          <t>about losing them you bitter because you</t>
        </is>
      </c>
      <c r="D7913">
        <f>HYPERLINK("https://www.youtube.com/watch?v=kS9LiAKxoYE&amp;t=354s", "Go to time")</f>
        <v/>
      </c>
    </row>
    <row r="7914">
      <c r="A7914">
        <f>HYPERLINK("https://www.youtube.com/watch?v=kS9LiAKxoYE", "Video")</f>
        <v/>
      </c>
      <c r="B7914" t="inlineStr">
        <is>
          <t>5:56</t>
        </is>
      </c>
      <c r="C7914" t="inlineStr">
        <is>
          <t>were fired I'm not bitter Harvey</t>
        </is>
      </c>
      <c r="D7914">
        <f>HYPERLINK("https://www.youtube.com/watch?v=kS9LiAKxoYE&amp;t=356s", "Go to time")</f>
        <v/>
      </c>
    </row>
    <row r="7915">
      <c r="A7915">
        <f>HYPERLINK("https://www.youtube.com/watch?v=GhMV86tteAI", "Video")</f>
        <v/>
      </c>
      <c r="B7915" t="inlineStr">
        <is>
          <t>6:26</t>
        </is>
      </c>
      <c r="C7915" t="inlineStr">
        <is>
          <t>would you mind telling us a little bit</t>
        </is>
      </c>
      <c r="D7915">
        <f>HYPERLINK("https://www.youtube.com/watch?v=GhMV86tteAI&amp;t=386s", "Go to time")</f>
        <v/>
      </c>
    </row>
    <row r="7916">
      <c r="A7916">
        <f>HYPERLINK("https://www.youtube.com/watch?v=Rxtr5DEwpn0", "Video")</f>
        <v/>
      </c>
      <c r="B7916" t="inlineStr">
        <is>
          <t>5:31</t>
        </is>
      </c>
      <c r="C7916" t="inlineStr">
        <is>
          <t>just helping box a little bit cuz I</t>
        </is>
      </c>
      <c r="D7916">
        <f>HYPERLINK("https://www.youtube.com/watch?v=Rxtr5DEwpn0&amp;t=331s", "Go to time")</f>
        <v/>
      </c>
    </row>
    <row r="7917">
      <c r="A7917">
        <f>HYPERLINK("https://www.youtube.com/watch?v=LJ-T9GauFuE", "Video")</f>
        <v/>
      </c>
      <c r="B7917" t="inlineStr">
        <is>
          <t>0:40</t>
        </is>
      </c>
      <c r="C7917" t="inlineStr">
        <is>
          <t>i'll see you in a bit</t>
        </is>
      </c>
      <c r="D7917">
        <f>HYPERLINK("https://www.youtube.com/watch?v=LJ-T9GauFuE&amp;t=40s", "Go to time")</f>
        <v/>
      </c>
    </row>
    <row r="7918">
      <c r="A7918">
        <f>HYPERLINK("https://www.youtube.com/watch?v=g8tsLze9Vbw", "Video")</f>
        <v/>
      </c>
      <c r="B7918" t="inlineStr">
        <is>
          <t>0:42</t>
        </is>
      </c>
      <c r="C7918" t="inlineStr">
        <is>
          <t>keep it to ourselves for a bit i</t>
        </is>
      </c>
      <c r="D7918">
        <f>HYPERLINK("https://www.youtube.com/watch?v=g8tsLze9Vbw&amp;t=42s", "Go to time")</f>
        <v/>
      </c>
    </row>
    <row r="7919">
      <c r="A7919">
        <f>HYPERLINK("https://www.youtube.com/watch?v=g8tsLze9Vbw", "Video")</f>
        <v/>
      </c>
      <c r="B7919" t="inlineStr">
        <is>
          <t>3:28</t>
        </is>
      </c>
      <c r="C7919" t="inlineStr">
        <is>
          <t>help him and he bites my head off what</t>
        </is>
      </c>
      <c r="D7919">
        <f>HYPERLINK("https://www.youtube.com/watch?v=g8tsLze9Vbw&amp;t=208s", "Go to time")</f>
        <v/>
      </c>
    </row>
    <row r="7920">
      <c r="A7920">
        <f>HYPERLINK("https://www.youtube.com/watch?v=U5UvYdeNiWU", "Video")</f>
        <v/>
      </c>
      <c r="B7920" t="inlineStr">
        <is>
          <t>10:18</t>
        </is>
      </c>
      <c r="C7920" t="inlineStr">
        <is>
          <t>landscape and uninhibited</t>
        </is>
      </c>
      <c r="D7920">
        <f>HYPERLINK("https://www.youtube.com/watch?v=U5UvYdeNiWU&amp;t=618s", "Go to time")</f>
        <v/>
      </c>
    </row>
    <row r="7921">
      <c r="A7921">
        <f>HYPERLINK("https://www.youtube.com/watch?v=U5UvYdeNiWU", "Video")</f>
        <v/>
      </c>
      <c r="B7921" t="inlineStr">
        <is>
          <t>10:24</t>
        </is>
      </c>
      <c r="C7921" t="inlineStr">
        <is>
          <t>uninhibited it's perfect for us</t>
        </is>
      </c>
      <c r="D7921">
        <f>HYPERLINK("https://www.youtube.com/watch?v=U5UvYdeNiWU&amp;t=624s", "Go to time")</f>
        <v/>
      </c>
    </row>
    <row r="7922">
      <c r="A7922">
        <f>HYPERLINK("https://www.youtube.com/watch?v=g8D1nrg1h8g", "Video")</f>
        <v/>
      </c>
      <c r="B7922" t="inlineStr">
        <is>
          <t>2:18</t>
        </is>
      </c>
      <c r="C7922" t="inlineStr">
        <is>
          <t>bit</t>
        </is>
      </c>
      <c r="D7922">
        <f>HYPERLINK("https://www.youtube.com/watch?v=g8D1nrg1h8g&amp;t=138s", "Go to time")</f>
        <v/>
      </c>
    </row>
    <row r="7923">
      <c r="A7923">
        <f>HYPERLINK("https://www.youtube.com/watch?v=CTmqbNMyC7M", "Video")</f>
        <v/>
      </c>
      <c r="B7923" t="inlineStr">
        <is>
          <t>0:49</t>
        </is>
      </c>
      <c r="C7923" t="inlineStr">
        <is>
          <t>habitable okay you are making money</t>
        </is>
      </c>
      <c r="D7923">
        <f>HYPERLINK("https://www.youtube.com/watch?v=CTmqbNMyC7M&amp;t=49s", "Go to time")</f>
        <v/>
      </c>
    </row>
    <row r="7924">
      <c r="A7924">
        <f>HYPERLINK("https://www.youtube.com/watch?v=T-v-nVlUymM", "Video")</f>
        <v/>
      </c>
      <c r="B7924" t="inlineStr">
        <is>
          <t>0:01</t>
        </is>
      </c>
      <c r="C7924" t="inlineStr">
        <is>
          <t>it's usually not my habit to court a</t>
        </is>
      </c>
      <c r="D7924">
        <f>HYPERLINK("https://www.youtube.com/watch?v=T-v-nVlUymM&amp;t=1s", "Go to time")</f>
        <v/>
      </c>
    </row>
    <row r="7925">
      <c r="A7925">
        <f>HYPERLINK("https://www.youtube.com/watch?v=gZevrLzhXbA", "Video")</f>
        <v/>
      </c>
      <c r="B7925" t="inlineStr">
        <is>
          <t>4:49</t>
        </is>
      </c>
      <c r="C7925" t="inlineStr">
        <is>
          <t>saw a ghost you bit off Rachel's head</t>
        </is>
      </c>
      <c r="D7925">
        <f>HYPERLINK("https://www.youtube.com/watch?v=gZevrLzhXbA&amp;t=289s", "Go to time")</f>
        <v/>
      </c>
    </row>
    <row r="7926">
      <c r="A7926">
        <f>HYPERLINK("https://www.youtube.com/watch?v=gZevrLzhXbA", "Video")</f>
        <v/>
      </c>
      <c r="B7926" t="inlineStr">
        <is>
          <t>5:29</t>
        </is>
      </c>
      <c r="C7926" t="inlineStr">
        <is>
          <t>assumption is going to bite him in the</t>
        </is>
      </c>
      <c r="D7926">
        <f>HYPERLINK("https://www.youtube.com/watch?v=gZevrLzhXbA&amp;t=329s", "Go to time")</f>
        <v/>
      </c>
    </row>
    <row r="7927">
      <c r="A7927">
        <f>HYPERLINK("https://www.youtube.com/watch?v=gZevrLzhXbA", "Video")</f>
        <v/>
      </c>
      <c r="B7927" t="inlineStr">
        <is>
          <t>5:32</t>
        </is>
      </c>
      <c r="C7927" t="inlineStr">
        <is>
          <t>the bite nobody is going to believe that</t>
        </is>
      </c>
      <c r="D7927">
        <f>HYPERLINK("https://www.youtube.com/watch?v=gZevrLzhXbA&amp;t=332s", "Go to time")</f>
        <v/>
      </c>
    </row>
    <row r="7928">
      <c r="A7928">
        <f>HYPERLINK("https://www.youtube.com/watch?v=WkWZ4RarYdw", "Video")</f>
        <v/>
      </c>
      <c r="B7928" t="inlineStr">
        <is>
          <t>2:23</t>
        </is>
      </c>
      <c r="C7928" t="inlineStr">
        <is>
          <t>bit to help fight cahill</t>
        </is>
      </c>
      <c r="D7928">
        <f>HYPERLINK("https://www.youtube.com/watch?v=WkWZ4RarYdw&amp;t=143s", "Go to time")</f>
        <v/>
      </c>
    </row>
    <row r="7929">
      <c r="A7929">
        <f>HYPERLINK("https://www.youtube.com/watch?v=KM7mSYxLv_g", "Video")</f>
        <v/>
      </c>
      <c r="B7929" t="inlineStr">
        <is>
          <t>3:29</t>
        </is>
      </c>
      <c r="C7929" t="inlineStr">
        <is>
          <t>habits I learned from you I don't care</t>
        </is>
      </c>
      <c r="D7929">
        <f>HYPERLINK("https://www.youtube.com/watch?v=KM7mSYxLv_g&amp;t=209s", "Go to time")</f>
        <v/>
      </c>
    </row>
    <row r="7930">
      <c r="A7930">
        <f>HYPERLINK("https://www.youtube.com/watch?v=DH15FT_TkAY", "Video")</f>
        <v/>
      </c>
      <c r="B7930" t="inlineStr">
        <is>
          <t>1:11</t>
        </is>
      </c>
      <c r="C7930" t="inlineStr">
        <is>
          <t>did biting me in the ass</t>
        </is>
      </c>
      <c r="D7930">
        <f>HYPERLINK("https://www.youtube.com/watch?v=DH15FT_TkAY&amp;t=71s", "Go to time")</f>
        <v/>
      </c>
    </row>
    <row r="7931">
      <c r="A7931">
        <f>HYPERLINK("https://www.youtube.com/watch?v=DH15FT_TkAY", "Video")</f>
        <v/>
      </c>
      <c r="B7931" t="inlineStr">
        <is>
          <t>1:12</t>
        </is>
      </c>
      <c r="C7931" t="inlineStr">
        <is>
          <t>you were already bitten and the last</t>
        </is>
      </c>
      <c r="D7931">
        <f>HYPERLINK("https://www.youtube.com/watch?v=DH15FT_TkAY&amp;t=72s", "Go to time")</f>
        <v/>
      </c>
    </row>
    <row r="7932">
      <c r="A7932">
        <f>HYPERLINK("https://www.youtube.com/watch?v=DH15FT_TkAY", "Video")</f>
        <v/>
      </c>
      <c r="B7932" t="inlineStr">
        <is>
          <t>1:16</t>
        </is>
      </c>
      <c r="C7932" t="inlineStr">
        <is>
          <t>out about it it bit me in the ass you</t>
        </is>
      </c>
      <c r="D7932">
        <f>HYPERLINK("https://www.youtube.com/watch?v=DH15FT_TkAY&amp;t=76s", "Go to time")</f>
        <v/>
      </c>
    </row>
    <row r="7933">
      <c r="A7933">
        <f>HYPERLINK("https://www.youtube.com/watch?v=DgxsrgjpkMg", "Video")</f>
        <v/>
      </c>
      <c r="B7933" t="inlineStr">
        <is>
          <t>3:29</t>
        </is>
      </c>
      <c r="C7933" t="inlineStr">
        <is>
          <t>habits I learned from you I don't care</t>
        </is>
      </c>
      <c r="D7933">
        <f>HYPERLINK("https://www.youtube.com/watch?v=DgxsrgjpkMg&amp;t=209s", "Go to time")</f>
        <v/>
      </c>
    </row>
    <row r="7934">
      <c r="A7934">
        <f>HYPERLINK("https://www.youtube.com/watch?v=53zbRhagDZc", "Video")</f>
        <v/>
      </c>
      <c r="B7934" t="inlineStr">
        <is>
          <t>6:51</t>
        </is>
      </c>
      <c r="C7934" t="inlineStr">
        <is>
          <t>that's the exhibit filing</t>
        </is>
      </c>
      <c r="D7934">
        <f>HYPERLINK("https://www.youtube.com/watch?v=53zbRhagDZc&amp;t=411s", "Go to time")</f>
        <v/>
      </c>
    </row>
    <row r="7935">
      <c r="A7935">
        <f>HYPERLINK("https://www.youtube.com/watch?v=sSpZOMdKHQE", "Video")</f>
        <v/>
      </c>
      <c r="B7935" t="inlineStr">
        <is>
          <t>2:01</t>
        </is>
      </c>
      <c r="C7935" t="inlineStr">
        <is>
          <t>is a little bit bigger than mudding</t>
        </is>
      </c>
      <c r="D7935">
        <f>HYPERLINK("https://www.youtube.com/watch?v=sSpZOMdKHQE&amp;t=121s", "Go to time")</f>
        <v/>
      </c>
    </row>
    <row r="7936">
      <c r="A7936">
        <f>HYPERLINK("https://www.youtube.com/watch?v=t6sVzN3YpdA", "Video")</f>
        <v/>
      </c>
      <c r="B7936" t="inlineStr">
        <is>
          <t>3:43</t>
        </is>
      </c>
      <c r="C7936" t="inlineStr">
        <is>
          <t>just keep biting my head off that's</t>
        </is>
      </c>
      <c r="D7936">
        <f>HYPERLINK("https://www.youtube.com/watch?v=t6sVzN3YpdA&amp;t=223s", "Go to time")</f>
        <v/>
      </c>
    </row>
    <row r="7937">
      <c r="A7937">
        <f>HYPERLINK("https://www.youtube.com/watch?v=lW_YsnpUj8g", "Video")</f>
        <v/>
      </c>
      <c r="B7937" t="inlineStr">
        <is>
          <t>0:40</t>
        </is>
      </c>
      <c r="C7937" t="inlineStr">
        <is>
          <t>didn't mean to be I knew it I bit off</t>
        </is>
      </c>
      <c r="D7937">
        <f>HYPERLINK("https://www.youtube.com/watch?v=lW_YsnpUj8g&amp;t=40s", "Go to time")</f>
        <v/>
      </c>
    </row>
    <row r="7938">
      <c r="A7938">
        <f>HYPERLINK("https://www.youtube.com/watch?v=ynZ1A0IRSN8", "Video")</f>
        <v/>
      </c>
      <c r="B7938" t="inlineStr">
        <is>
          <t>1:53</t>
        </is>
      </c>
      <c r="C7938" t="inlineStr">
        <is>
          <t>finds you a bit douchey love my loss</t>
        </is>
      </c>
      <c r="D7938">
        <f>HYPERLINK("https://www.youtube.com/watch?v=ynZ1A0IRSN8&amp;t=113s", "Go to time")</f>
        <v/>
      </c>
    </row>
    <row r="7939">
      <c r="A7939">
        <f>HYPERLINK("https://www.youtube.com/watch?v=CHX8x3HRP5M", "Video")</f>
        <v/>
      </c>
      <c r="B7939" t="inlineStr">
        <is>
          <t>5:20</t>
        </is>
      </c>
      <c r="C7939" t="inlineStr">
        <is>
          <t>Nesbitt lit</t>
        </is>
      </c>
      <c r="D7939">
        <f>HYPERLINK("https://www.youtube.com/watch?v=CHX8x3HRP5M&amp;t=320s", "Go to time")</f>
        <v/>
      </c>
    </row>
    <row r="7940">
      <c r="A7940">
        <f>HYPERLINK("https://www.youtube.com/watch?v=ckrZF_dO9T4", "Video")</f>
        <v/>
      </c>
      <c r="B7940" t="inlineStr">
        <is>
          <t>4:19</t>
        </is>
      </c>
      <c r="C7940" t="inlineStr">
        <is>
          <t>prohibits you from doing that not if we</t>
        </is>
      </c>
      <c r="D7940">
        <f>HYPERLINK("https://www.youtube.com/watch?v=ckrZF_dO9T4&amp;t=259s", "Go to time")</f>
        <v/>
      </c>
    </row>
    <row r="7941">
      <c r="A7941">
        <f>HYPERLINK("https://www.youtube.com/watch?v=ckrZF_dO9T4", "Video")</f>
        <v/>
      </c>
      <c r="B7941" t="inlineStr">
        <is>
          <t>5:23</t>
        </is>
      </c>
      <c r="C7941" t="inlineStr">
        <is>
          <t>partner with ambition and you dro the</t>
        </is>
      </c>
      <c r="D7941">
        <f>HYPERLINK("https://www.youtube.com/watch?v=ckrZF_dO9T4&amp;t=323s", "Go to time")</f>
        <v/>
      </c>
    </row>
    <row r="7942">
      <c r="A7942">
        <f>HYPERLINK("https://www.youtube.com/watch?v=ckrZF_dO9T4", "Video")</f>
        <v/>
      </c>
      <c r="B7942" t="inlineStr">
        <is>
          <t>5:30</t>
        </is>
      </c>
      <c r="C7942" t="inlineStr">
        <is>
          <t>anybody and I never said ambition was a</t>
        </is>
      </c>
      <c r="D7942">
        <f>HYPERLINK("https://www.youtube.com/watch?v=ckrZF_dO9T4&amp;t=330s", "Go to time")</f>
        <v/>
      </c>
    </row>
    <row r="7943">
      <c r="A7943">
        <f>HYPERLINK("https://www.youtube.com/watch?v=12K7a0cTW9Y", "Video")</f>
        <v/>
      </c>
      <c r="B7943" t="inlineStr">
        <is>
          <t>3:51</t>
        </is>
      </c>
      <c r="C7943" t="inlineStr">
        <is>
          <t>agreement to give up his bit</t>
        </is>
      </c>
      <c r="D7943">
        <f>HYPERLINK("https://www.youtube.com/watch?v=12K7a0cTW9Y&amp;t=231s", "Go to time")</f>
        <v/>
      </c>
    </row>
    <row r="7944">
      <c r="A7944">
        <f>HYPERLINK("https://www.youtube.com/watch?v=12K7a0cTW9Y", "Video")</f>
        <v/>
      </c>
      <c r="B7944" t="inlineStr">
        <is>
          <t>4:49</t>
        </is>
      </c>
      <c r="C7944" t="inlineStr">
        <is>
          <t>you would have shown him the tiniest bit</t>
        </is>
      </c>
      <c r="D7944">
        <f>HYPERLINK("https://www.youtube.com/watch?v=12K7a0cTW9Y&amp;t=289s", "Go to time")</f>
        <v/>
      </c>
    </row>
    <row r="7945">
      <c r="A7945">
        <f>HYPERLINK("https://www.youtube.com/watch?v=DVVODinx8QA", "Video")</f>
        <v/>
      </c>
      <c r="B7945" t="inlineStr">
        <is>
          <t>2:03</t>
        </is>
      </c>
      <c r="C7945" t="inlineStr">
        <is>
          <t>son of a bitch's name right now and i'm</t>
        </is>
      </c>
      <c r="D7945">
        <f>HYPERLINK("https://www.youtube.com/watch?v=DVVODinx8QA&amp;t=123s", "Go to time")</f>
        <v/>
      </c>
    </row>
    <row r="7946">
      <c r="A7946">
        <f>HYPERLINK("https://www.youtube.com/watch?v=JQcBn3TwMnM", "Video")</f>
        <v/>
      </c>
      <c r="B7946" t="inlineStr">
        <is>
          <t>4:43</t>
        </is>
      </c>
      <c r="C7946" t="inlineStr">
        <is>
          <t>wanted me here I'm exhibit a you made an</t>
        </is>
      </c>
      <c r="D7946">
        <f>HYPERLINK("https://www.youtube.com/watch?v=JQcBn3TwMnM&amp;t=283s", "Go to time")</f>
        <v/>
      </c>
    </row>
    <row r="7947">
      <c r="A7947">
        <f>HYPERLINK("https://www.youtube.com/watch?v=sVYtcbIO_qM", "Video")</f>
        <v/>
      </c>
      <c r="B7947" t="inlineStr">
        <is>
          <t>1:17</t>
        </is>
      </c>
      <c r="C7947" t="inlineStr">
        <is>
          <t>is a little bit bigger than mudding</t>
        </is>
      </c>
      <c r="D7947">
        <f>HYPERLINK("https://www.youtube.com/watch?v=sVYtcbIO_qM&amp;t=77s", "Go to time")</f>
        <v/>
      </c>
    </row>
    <row r="7948">
      <c r="A7948">
        <f>HYPERLINK("https://www.youtube.com/watch?v=45bapWm5Ue4", "Video")</f>
        <v/>
      </c>
      <c r="B7948" t="inlineStr">
        <is>
          <t>0:23</t>
        </is>
      </c>
      <c r="C7948" t="inlineStr">
        <is>
          <t>sometimes you even for yourself a bit</t>
        </is>
      </c>
      <c r="D7948">
        <f>HYPERLINK("https://www.youtube.com/watch?v=45bapWm5Ue4&amp;t=23s", "Go to time")</f>
        <v/>
      </c>
    </row>
    <row r="7949">
      <c r="A7949">
        <f>HYPERLINK("https://www.youtube.com/watch?v=i9bqjaM6LJ4", "Video")</f>
        <v/>
      </c>
      <c r="B7949" t="inlineStr">
        <is>
          <t>3:38</t>
        </is>
      </c>
      <c r="C7949" t="inlineStr">
        <is>
          <t>her something I know a little bit about</t>
        </is>
      </c>
      <c r="D7949">
        <f>HYPERLINK("https://www.youtube.com/watch?v=i9bqjaM6LJ4&amp;t=218s", "Go to time")</f>
        <v/>
      </c>
    </row>
    <row r="7950">
      <c r="A7950">
        <f>HYPERLINK("https://www.youtube.com/watch?v=i9bqjaM6LJ4", "Video")</f>
        <v/>
      </c>
      <c r="B7950" t="inlineStr">
        <is>
          <t>8:36</t>
        </is>
      </c>
      <c r="C7950" t="inlineStr">
        <is>
          <t>habit of second guessing</t>
        </is>
      </c>
      <c r="D7950">
        <f>HYPERLINK("https://www.youtube.com/watch?v=i9bqjaM6LJ4&amp;t=516s", "Go to time")</f>
        <v/>
      </c>
    </row>
    <row r="7951">
      <c r="A7951">
        <f>HYPERLINK("https://www.youtube.com/watch?v=fJSoWdkDVIY", "Video")</f>
        <v/>
      </c>
      <c r="B7951" t="inlineStr">
        <is>
          <t>9:16</t>
        </is>
      </c>
      <c r="C7951" t="inlineStr">
        <is>
          <t>Care not a bit good here's the deal I</t>
        </is>
      </c>
      <c r="D7951">
        <f>HYPERLINK("https://www.youtube.com/watch?v=fJSoWdkDVIY&amp;t=556s", "Go to time")</f>
        <v/>
      </c>
    </row>
    <row r="7952">
      <c r="A7952">
        <f>HYPERLINK("https://www.youtube.com/watch?v=VCweH32U6-A", "Video")</f>
        <v/>
      </c>
      <c r="B7952" t="inlineStr">
        <is>
          <t>0:50</t>
        </is>
      </c>
      <c r="C7952" t="inlineStr">
        <is>
          <t>decision puts us in a bit of a pickle</t>
        </is>
      </c>
      <c r="D7952">
        <f>HYPERLINK("https://www.youtube.com/watch?v=VCweH32U6-A&amp;t=50s", "Go to time")</f>
        <v/>
      </c>
    </row>
    <row r="7953">
      <c r="A7953">
        <f>HYPERLINK("https://www.youtube.com/watch?v=VCweH32U6-A", "Video")</f>
        <v/>
      </c>
      <c r="B7953" t="inlineStr">
        <is>
          <t>2:07</t>
        </is>
      </c>
      <c r="C7953" t="inlineStr">
        <is>
          <t>by the way you're a bit of a hero to my</t>
        </is>
      </c>
      <c r="D7953">
        <f>HYPERLINK("https://www.youtube.com/watch?v=VCweH32U6-A&amp;t=127s", "Go to time")</f>
        <v/>
      </c>
    </row>
    <row r="7954">
      <c r="A7954">
        <f>HYPERLINK("https://www.youtube.com/watch?v=rJtJUrNugiI", "Video")</f>
        <v/>
      </c>
      <c r="B7954" t="inlineStr">
        <is>
          <t>2:20</t>
        </is>
      </c>
      <c r="C7954" t="inlineStr">
        <is>
          <t>bitter ex-wife a woman who knows this</t>
        </is>
      </c>
      <c r="D7954">
        <f>HYPERLINK("https://www.youtube.com/watch?v=rJtJUrNugiI&amp;t=140s", "Go to time")</f>
        <v/>
      </c>
    </row>
    <row r="7955">
      <c r="A7955">
        <f>HYPERLINK("https://www.youtube.com/watch?v=aXY_6OmDIoI", "Video")</f>
        <v/>
      </c>
      <c r="B7955" t="inlineStr">
        <is>
          <t>2:31</t>
        </is>
      </c>
      <c r="C7955" t="inlineStr">
        <is>
          <t>don't make it a habit representing</t>
        </is>
      </c>
      <c r="D7955">
        <f>HYPERLINK("https://www.youtube.com/watch?v=aXY_6OmDIoI&amp;t=151s", "Go to time")</f>
        <v/>
      </c>
    </row>
    <row r="7956">
      <c r="A7956">
        <f>HYPERLINK("https://www.youtube.com/watch?v=TM5zSNXft_U", "Video")</f>
        <v/>
      </c>
      <c r="B7956" t="inlineStr">
        <is>
          <t>0:47</t>
        </is>
      </c>
      <c r="C7956" t="inlineStr">
        <is>
          <t>is making the planet more habitable okay</t>
        </is>
      </c>
      <c r="D7956">
        <f>HYPERLINK("https://www.youtube.com/watch?v=TM5zSNXft_U&amp;t=47s", "Go to time")</f>
        <v/>
      </c>
    </row>
    <row r="7957">
      <c r="A7957">
        <f>HYPERLINK("https://www.youtube.com/watch?v=8SAoXC3KBBA", "Video")</f>
        <v/>
      </c>
      <c r="B7957" t="inlineStr">
        <is>
          <t>7:24</t>
        </is>
      </c>
      <c r="C7957" t="inlineStr">
        <is>
          <t>publicly stated that you are a bitter</t>
        </is>
      </c>
      <c r="D7957">
        <f>HYPERLINK("https://www.youtube.com/watch?v=8SAoXC3KBBA&amp;t=444s", "Go to time")</f>
        <v/>
      </c>
    </row>
    <row r="7958">
      <c r="A7958">
        <f>HYPERLINK("https://www.youtube.com/watch?v=8SAoXC3KBBA", "Video")</f>
        <v/>
      </c>
      <c r="B7958" t="inlineStr">
        <is>
          <t>11:02</t>
        </is>
      </c>
      <c r="C7958" t="inlineStr">
        <is>
          <t>but you're every bit as vindictive as I</t>
        </is>
      </c>
      <c r="D7958">
        <f>HYPERLINK("https://www.youtube.com/watch?v=8SAoXC3KBBA&amp;t=662s", "Go to time")</f>
        <v/>
      </c>
    </row>
    <row r="7959">
      <c r="A7959">
        <f>HYPERLINK("https://www.youtube.com/watch?v=9JIxhOdY0G0", "Video")</f>
        <v/>
      </c>
      <c r="B7959" t="inlineStr">
        <is>
          <t>31:54</t>
        </is>
      </c>
      <c r="C7959" t="inlineStr">
        <is>
          <t>habits I learned from you there it is</t>
        </is>
      </c>
      <c r="D7959">
        <f>HYPERLINK("https://www.youtube.com/watch?v=9JIxhOdY0G0&amp;t=1914s", "Go to time")</f>
        <v/>
      </c>
    </row>
    <row r="7960">
      <c r="A7960">
        <f>HYPERLINK("https://www.youtube.com/watch?v=z-_iwLqUwQM", "Video")</f>
        <v/>
      </c>
      <c r="B7960" t="inlineStr">
        <is>
          <t>0:29</t>
        </is>
      </c>
      <c r="C7960" t="inlineStr">
        <is>
          <t>-Let me ask you something,
you smug son of a bitch.</t>
        </is>
      </c>
      <c r="D7960">
        <f>HYPERLINK("https://www.youtube.com/watch?v=z-_iwLqUwQM&amp;t=29s", "Go to time")</f>
        <v/>
      </c>
    </row>
    <row r="7961">
      <c r="A7961">
        <f>HYPERLINK("https://www.youtube.com/watch?v=lVFmWQzwWAQ", "Video")</f>
        <v/>
      </c>
      <c r="B7961" t="inlineStr">
        <is>
          <t>8:16</t>
        </is>
      </c>
      <c r="C7961" t="inlineStr">
        <is>
          <t>exhibit exchange don't bother I already</t>
        </is>
      </c>
      <c r="D7961">
        <f>HYPERLINK("https://www.youtube.com/watch?v=lVFmWQzwWAQ&amp;t=496s", "Go to time")</f>
        <v/>
      </c>
    </row>
    <row r="7962">
      <c r="A7962">
        <f>HYPERLINK("https://www.youtube.com/watch?v=IOhnFZ_qmx8", "Video")</f>
        <v/>
      </c>
      <c r="B7962" t="inlineStr">
        <is>
          <t>0:12</t>
        </is>
      </c>
      <c r="C7962" t="inlineStr">
        <is>
          <t>hasn't changed one bit so why don't you</t>
        </is>
      </c>
      <c r="D7962">
        <f>HYPERLINK("https://www.youtube.com/watch?v=IOhnFZ_qmx8&amp;t=12s", "Go to time")</f>
        <v/>
      </c>
    </row>
    <row r="7963">
      <c r="A7963">
        <f>HYPERLINK("https://www.youtube.com/watch?v=L8D2qkQnv6g", "Video")</f>
        <v/>
      </c>
      <c r="B7963" t="inlineStr">
        <is>
          <t>4:46</t>
        </is>
      </c>
      <c r="C7963" t="inlineStr">
        <is>
          <t>his decision puts us in a bit of a</t>
        </is>
      </c>
      <c r="D7963">
        <f>HYPERLINK("https://www.youtube.com/watch?v=L8D2qkQnv6g&amp;t=286s", "Go to time")</f>
        <v/>
      </c>
    </row>
    <row r="7964">
      <c r="A7964">
        <f>HYPERLINK("https://www.youtube.com/watch?v=_CeEFAFyHzY", "Video")</f>
        <v/>
      </c>
      <c r="B7964" t="inlineStr">
        <is>
          <t>6:56</t>
        </is>
      </c>
      <c r="C7964" t="inlineStr">
        <is>
          <t>bit hasn't it what do you you talking</t>
        </is>
      </c>
      <c r="D7964">
        <f>HYPERLINK("https://www.youtube.com/watch?v=_CeEFAFyHzY&amp;t=416s", "Go to time")</f>
        <v/>
      </c>
    </row>
    <row r="7965">
      <c r="A7965">
        <f>HYPERLINK("https://www.youtube.com/watch?v=se_psO-B7W0", "Video")</f>
        <v/>
      </c>
      <c r="B7965" t="inlineStr">
        <is>
          <t>7:50</t>
        </is>
      </c>
      <c r="C7965" t="inlineStr">
        <is>
          <t>habit of you empathizing with every</t>
        </is>
      </c>
      <c r="D7965">
        <f>HYPERLINK("https://www.youtube.com/watch?v=se_psO-B7W0&amp;t=470s", "Go to time")</f>
        <v/>
      </c>
    </row>
    <row r="7966">
      <c r="A7966">
        <f>HYPERLINK("https://www.youtube.com/watch?v=g99avxNMeTw", "Video")</f>
        <v/>
      </c>
      <c r="B7966" t="inlineStr">
        <is>
          <t>2:40</t>
        </is>
      </c>
      <c r="C7966" t="inlineStr">
        <is>
          <t>habitable okay you are making money</t>
        </is>
      </c>
      <c r="D7966">
        <f>HYPERLINK("https://www.youtube.com/watch?v=g99avxNMeTw&amp;t=160s", "Go to time")</f>
        <v/>
      </c>
    </row>
    <row r="7967">
      <c r="A7967">
        <f>HYPERLINK("https://www.youtube.com/watch?v=yhPWWbXwH48", "Video")</f>
        <v/>
      </c>
      <c r="B7967" t="inlineStr">
        <is>
          <t>4:12</t>
        </is>
      </c>
      <c r="C7967" t="inlineStr">
        <is>
          <t>in Jim's orbit they're in Ricky Crosby's</t>
        </is>
      </c>
      <c r="D7967">
        <f>HYPERLINK("https://www.youtube.com/watch?v=yhPWWbXwH48&amp;t=252s", "Go to time")</f>
        <v/>
      </c>
    </row>
    <row r="7968">
      <c r="A7968">
        <f>HYPERLINK("https://www.youtube.com/watch?v=yhPWWbXwH48", "Video")</f>
        <v/>
      </c>
      <c r="B7968" t="inlineStr">
        <is>
          <t>4:14</t>
        </is>
      </c>
      <c r="C7968" t="inlineStr">
        <is>
          <t>orbit too and it only takes one man to</t>
        </is>
      </c>
      <c r="D7968">
        <f>HYPERLINK("https://www.youtube.com/watch?v=yhPWWbXwH48&amp;t=254s", "Go to time")</f>
        <v/>
      </c>
    </row>
    <row r="7969">
      <c r="A7969">
        <f>HYPERLINK("https://www.youtube.com/watch?v=vAklFgJ2XxE", "Video")</f>
        <v/>
      </c>
      <c r="B7969" t="inlineStr">
        <is>
          <t>4:35</t>
        </is>
      </c>
      <c r="C7969" t="inlineStr">
        <is>
          <t>them a little bit of money so you can</t>
        </is>
      </c>
      <c r="D7969">
        <f>HYPERLINK("https://www.youtube.com/watch?v=vAklFgJ2XxE&amp;t=275s", "Go to time")</f>
        <v/>
      </c>
    </row>
    <row r="7970">
      <c r="A7970">
        <f>HYPERLINK("https://www.youtube.com/watch?v=7MRQ4faIRYs", "Video")</f>
        <v/>
      </c>
      <c r="B7970" t="inlineStr">
        <is>
          <t>7:10</t>
        </is>
      </c>
      <c r="C7970" t="inlineStr">
        <is>
          <t>into signing this thing so our exhibits</t>
        </is>
      </c>
      <c r="D7970">
        <f>HYPERLINK("https://www.youtube.com/watch?v=7MRQ4faIRYs&amp;t=430s", "Go to time")</f>
        <v/>
      </c>
    </row>
    <row r="7971">
      <c r="A7971">
        <f>HYPERLINK("https://www.youtube.com/watch?v=ZdXpK6tOBMY", "Video")</f>
        <v/>
      </c>
      <c r="B7971" t="inlineStr">
        <is>
          <t>1:11</t>
        </is>
      </c>
      <c r="C7971" t="inlineStr">
        <is>
          <t>changed a bit maybe it has is this a new</t>
        </is>
      </c>
      <c r="D7971">
        <f>HYPERLINK("https://www.youtube.com/watch?v=ZdXpK6tOBMY&amp;t=71s", "Go to time")</f>
        <v/>
      </c>
    </row>
    <row r="7972">
      <c r="A7972">
        <f>HYPERLINK("https://www.youtube.com/watch?v=jCdTjtmXdBQ", "Video")</f>
        <v/>
      </c>
      <c r="B7972" t="inlineStr">
        <is>
          <t>10:19</t>
        </is>
      </c>
      <c r="C7972" t="inlineStr">
        <is>
          <t>gentlemen I'm a bit confused if you're</t>
        </is>
      </c>
      <c r="D7972">
        <f>HYPERLINK("https://www.youtube.com/watch?v=jCdTjtmXdBQ&amp;t=619s", "Go to time")</f>
        <v/>
      </c>
    </row>
    <row r="7973">
      <c r="A7973">
        <f>HYPERLINK("https://www.youtube.com/watch?v=jCdTjtmXdBQ", "Video")</f>
        <v/>
      </c>
      <c r="B7973" t="inlineStr">
        <is>
          <t>10:34</t>
        </is>
      </c>
      <c r="C7973" t="inlineStr">
        <is>
          <t>you're in a bit of a pickle Richard you</t>
        </is>
      </c>
      <c r="D7973">
        <f>HYPERLINK("https://www.youtube.com/watch?v=jCdTjtmXdBQ&amp;t=634s", "Go to time")</f>
        <v/>
      </c>
    </row>
    <row r="7974">
      <c r="A7974">
        <f>HYPERLINK("https://www.youtube.com/watch?v=yP95SeQE6lk", "Video")</f>
        <v/>
      </c>
      <c r="B7974" t="inlineStr">
        <is>
          <t>1:54</t>
        </is>
      </c>
      <c r="C7974" t="inlineStr">
        <is>
          <t>nasty habit yes a pack a day each I live</t>
        </is>
      </c>
      <c r="D7974">
        <f>HYPERLINK("https://www.youtube.com/watch?v=yP95SeQE6lk&amp;t=114s", "Go to time")</f>
        <v/>
      </c>
    </row>
    <row r="7975">
      <c r="A7975">
        <f>HYPERLINK("https://www.youtube.com/watch?v=7ctFvPbaBnM", "Video")</f>
        <v/>
      </c>
      <c r="B7975" t="inlineStr">
        <is>
          <t>5:36</t>
        </is>
      </c>
      <c r="C7975" t="inlineStr">
        <is>
          <t>was just helping box a little bit</t>
        </is>
      </c>
      <c r="D7975">
        <f>HYPERLINK("https://www.youtube.com/watch?v=7ctFvPbaBnM&amp;t=336s", "Go to time")</f>
        <v/>
      </c>
    </row>
    <row r="7976">
      <c r="A7976">
        <f>HYPERLINK("https://www.youtube.com/watch?v=OtD-7UqAXh8", "Video")</f>
        <v/>
      </c>
      <c r="B7976" t="inlineStr">
        <is>
          <t>1:23</t>
        </is>
      </c>
      <c r="C7976" t="inlineStr">
        <is>
          <t>there's a mastodon exhibit on loan from</t>
        </is>
      </c>
      <c r="D7976">
        <f>HYPERLINK("https://www.youtube.com/watch?v=OtD-7UqAXh8&amp;t=83s", "Go to time")</f>
        <v/>
      </c>
    </row>
    <row r="7977">
      <c r="A7977">
        <f>HYPERLINK("https://www.youtube.com/watch?v=OtD-7UqAXh8", "Video")</f>
        <v/>
      </c>
      <c r="B7977" t="inlineStr">
        <is>
          <t>2:06</t>
        </is>
      </c>
      <c r="C7977" t="inlineStr">
        <is>
          <t>masses on exhibit no you're committed to</t>
        </is>
      </c>
      <c r="D7977">
        <f>HYPERLINK("https://www.youtube.com/watch?v=OtD-7UqAXh8&amp;t=126s", "Go to time")</f>
        <v/>
      </c>
    </row>
    <row r="7978">
      <c r="A7978">
        <f>HYPERLINK("https://www.youtube.com/watch?v=xYIF6qop9Zo", "Video")</f>
        <v/>
      </c>
      <c r="B7978" t="inlineStr">
        <is>
          <t>1:54</t>
        </is>
      </c>
      <c r="C7978" t="inlineStr">
        <is>
          <t>even if your soul hurts a little bit</t>
        </is>
      </c>
      <c r="D7978">
        <f>HYPERLINK("https://www.youtube.com/watch?v=xYIF6qop9Zo&amp;t=114s", "Go to time")</f>
        <v/>
      </c>
    </row>
    <row r="7979">
      <c r="A7979">
        <f>HYPERLINK("https://www.youtube.com/watch?v=27l_68t8ntQ", "Video")</f>
        <v/>
      </c>
      <c r="B7979" t="inlineStr">
        <is>
          <t>4:39</t>
        </is>
      </c>
      <c r="C7979" t="inlineStr">
        <is>
          <t>Lockwood energy a bit of pain in my ass</t>
        </is>
      </c>
      <c r="D7979">
        <f>HYPERLINK("https://www.youtube.com/watch?v=27l_68t8ntQ&amp;t=279s", "Go to time")</f>
        <v/>
      </c>
    </row>
    <row r="7980">
      <c r="A7980">
        <f>HYPERLINK("https://www.youtube.com/watch?v=cX8MuOHHOz0", "Video")</f>
        <v/>
      </c>
      <c r="B7980" t="inlineStr">
        <is>
          <t>1:42</t>
        </is>
      </c>
      <c r="C7980" t="inlineStr">
        <is>
          <t>fired every ambitious attorney that ever</t>
        </is>
      </c>
      <c r="D7980">
        <f>HYPERLINK("https://www.youtube.com/watch?v=cX8MuOHHOz0&amp;t=102s", "Go to time")</f>
        <v/>
      </c>
    </row>
    <row r="7981">
      <c r="A7981">
        <f>HYPERLINK("https://www.youtube.com/watch?v=jEGASy9Lyiw", "Video")</f>
        <v/>
      </c>
      <c r="B7981" t="inlineStr">
        <is>
          <t>22:16</t>
        </is>
      </c>
      <c r="C7981" t="inlineStr">
        <is>
          <t>because if she sees you this habit of</t>
        </is>
      </c>
      <c r="D7981">
        <f>HYPERLINK("https://www.youtube.com/watch?v=jEGASy9Lyiw&amp;t=1336s", "Go to time")</f>
        <v/>
      </c>
    </row>
    <row r="7982">
      <c r="A7982">
        <f>HYPERLINK("https://www.youtube.com/watch?v=2yLYEugNY2I", "Video")</f>
        <v/>
      </c>
      <c r="B7982" t="inlineStr">
        <is>
          <t>1:33</t>
        </is>
      </c>
      <c r="C7982" t="inlineStr">
        <is>
          <t>habitability but whether or not rent has</t>
        </is>
      </c>
      <c r="D7982">
        <f>HYPERLINK("https://www.youtube.com/watch?v=2yLYEugNY2I&amp;t=93s", "Go to time")</f>
        <v/>
      </c>
    </row>
    <row r="7983">
      <c r="A7983">
        <f>HYPERLINK("https://www.youtube.com/watch?v=2yLYEugNY2I", "Video")</f>
        <v/>
      </c>
      <c r="B7983" t="inlineStr">
        <is>
          <t>1:41</t>
        </is>
      </c>
      <c r="C7983" t="inlineStr">
        <is>
          <t>habitability is breached in that case we</t>
        </is>
      </c>
      <c r="D7983">
        <f>HYPERLINK("https://www.youtube.com/watch?v=2yLYEugNY2I&amp;t=101s", "Go to time")</f>
        <v/>
      </c>
    </row>
    <row r="7984">
      <c r="A7984">
        <f>HYPERLINK("https://www.youtube.com/watch?v=1Rw0IjO3-G0", "Video")</f>
        <v/>
      </c>
      <c r="B7984" t="inlineStr">
        <is>
          <t>6:44</t>
        </is>
      </c>
      <c r="C7984" t="inlineStr">
        <is>
          <t>exhibit I'm sorry you must have</t>
        </is>
      </c>
      <c r="D7984">
        <f>HYPERLINK("https://www.youtube.com/watch?v=1Rw0IjO3-G0&amp;t=404s", "Go to time")</f>
        <v/>
      </c>
    </row>
    <row r="7985">
      <c r="A7985">
        <f>HYPERLINK("https://www.youtube.com/watch?v=zINSeKMipxg", "Video")</f>
        <v/>
      </c>
      <c r="B7985" t="inlineStr">
        <is>
          <t>1:45</t>
        </is>
      </c>
      <c r="C7985" t="inlineStr">
        <is>
          <t>ambitious then suddenly you are</t>
        </is>
      </c>
      <c r="D7985">
        <f>HYPERLINK("https://www.youtube.com/watch?v=zINSeKMipxg&amp;t=105s", "Go to time")</f>
        <v/>
      </c>
    </row>
    <row r="7986">
      <c r="A7986">
        <f>HYPERLINK("https://www.youtube.com/watch?v=aArKzBR8464", "Video")</f>
        <v/>
      </c>
      <c r="B7986" t="inlineStr">
        <is>
          <t>0:01</t>
        </is>
      </c>
      <c r="C7986" t="inlineStr">
        <is>
          <t>-Son of a bitch,
you set me up</t>
        </is>
      </c>
      <c r="D7986">
        <f>HYPERLINK("https://www.youtube.com/watch?v=aArKzBR8464&amp;t=1s", "Go to time")</f>
        <v/>
      </c>
    </row>
    <row r="7987">
      <c r="A7987">
        <f>HYPERLINK("https://www.youtube.com/watch?v=HAfmTwefzxQ", "Video")</f>
        <v/>
      </c>
      <c r="B7987" t="inlineStr">
        <is>
          <t>1:18</t>
        </is>
      </c>
      <c r="C7987" t="inlineStr">
        <is>
          <t>think he was a little bit more than</t>
        </is>
      </c>
      <c r="D7987">
        <f>HYPERLINK("https://www.youtube.com/watch?v=HAfmTwefzxQ&amp;t=78s", "Go to time")</f>
        <v/>
      </c>
    </row>
    <row r="7988">
      <c r="A7988">
        <f>HYPERLINK("https://www.youtube.com/watch?v=kgw7v1rRlIc", "Video")</f>
        <v/>
      </c>
      <c r="B7988" t="inlineStr">
        <is>
          <t>5:40</t>
        </is>
      </c>
      <c r="C7988" t="inlineStr">
        <is>
          <t>getting hot in here Nesbit Mr lit I'll</t>
        </is>
      </c>
      <c r="D7988">
        <f>HYPERLINK("https://www.youtube.com/watch?v=kgw7v1rRlIc&amp;t=340s", "Go to time")</f>
        <v/>
      </c>
    </row>
    <row r="7989">
      <c r="A7989">
        <f>HYPERLINK("https://www.youtube.com/watch?v=kgw7v1rRlIc", "Video")</f>
        <v/>
      </c>
      <c r="B7989" t="inlineStr">
        <is>
          <t>5:53</t>
        </is>
      </c>
      <c r="C7989" t="inlineStr">
        <is>
          <t>condition in which you found Mr nesbit's</t>
        </is>
      </c>
      <c r="D7989">
        <f>HYPERLINK("https://www.youtube.com/watch?v=kgw7v1rRlIc&amp;t=353s", "Go to time")</f>
        <v/>
      </c>
    </row>
    <row r="7990">
      <c r="A7990">
        <f>HYPERLINK("https://www.youtube.com/watch?v=hR0vNYeTwIY", "Video")</f>
        <v/>
      </c>
      <c r="B7990" t="inlineStr">
        <is>
          <t>3:20</t>
        </is>
      </c>
      <c r="C7990" t="inlineStr">
        <is>
          <t>habit of you empathizing with every</t>
        </is>
      </c>
      <c r="D7990">
        <f>HYPERLINK("https://www.youtube.com/watch?v=hR0vNYeTwIY&amp;t=200s", "Go to time")</f>
        <v/>
      </c>
    </row>
    <row r="7991">
      <c r="A7991">
        <f>HYPERLINK("https://www.youtube.com/watch?v=0KgUENv9Tts", "Video")</f>
        <v/>
      </c>
      <c r="B7991" t="inlineStr">
        <is>
          <t>3:35</t>
        </is>
      </c>
      <c r="C7991" t="inlineStr">
        <is>
          <t>here for a bit and take it all</t>
        </is>
      </c>
      <c r="D7991">
        <f>HYPERLINK("https://www.youtube.com/watch?v=0KgUENv9Tts&amp;t=215s", "Go to time")</f>
        <v/>
      </c>
    </row>
    <row r="7992">
      <c r="A7992">
        <f>HYPERLINK("https://www.youtube.com/watch?v=0KgUENv9Tts", "Video")</f>
        <v/>
      </c>
      <c r="B7992" t="inlineStr">
        <is>
          <t>4:57</t>
        </is>
      </c>
      <c r="C7992" t="inlineStr">
        <is>
          <t>little bit of this as you should Mr a</t>
        </is>
      </c>
      <c r="D7992">
        <f>HYPERLINK("https://www.youtube.com/watch?v=0KgUENv9Tts&amp;t=297s", "Go to time")</f>
        <v/>
      </c>
    </row>
    <row r="7993">
      <c r="A7993">
        <f>HYPERLINK("https://www.youtube.com/watch?v=SbyqKxvKca8", "Video")</f>
        <v/>
      </c>
      <c r="B7993" t="inlineStr">
        <is>
          <t>8:53</t>
        </is>
      </c>
      <c r="C7993" t="inlineStr">
        <is>
          <t>with us was biting your</t>
        </is>
      </c>
      <c r="D7993">
        <f>HYPERLINK("https://www.youtube.com/watch?v=SbyqKxvKca8&amp;t=533s", "Go to time")</f>
        <v/>
      </c>
    </row>
    <row r="7994">
      <c r="A7994">
        <f>HYPERLINK("https://www.youtube.com/watch?v=J7b5CifI3y4", "Video")</f>
        <v/>
      </c>
      <c r="B7994" t="inlineStr">
        <is>
          <t>5:30</t>
        </is>
      </c>
      <c r="C7994" t="inlineStr">
        <is>
          <t>you were fired I'm not bitter Harvey</t>
        </is>
      </c>
      <c r="D7994">
        <f>HYPERLINK("https://www.youtube.com/watch?v=J7b5CifI3y4&amp;t=330s", "Go to time")</f>
        <v/>
      </c>
    </row>
    <row r="7995">
      <c r="A7995">
        <f>HYPERLINK("https://www.youtube.com/watch?v=OPPJnWqwCFI", "Video")</f>
        <v/>
      </c>
      <c r="B7995" t="inlineStr">
        <is>
          <t>2:01</t>
        </is>
      </c>
      <c r="C7995" t="inlineStr">
        <is>
          <t>[ __ ] your covenant prohibits you</t>
        </is>
      </c>
      <c r="D7995">
        <f>HYPERLINK("https://www.youtube.com/watch?v=OPPJnWqwCFI&amp;t=121s", "Go to time")</f>
        <v/>
      </c>
    </row>
    <row r="7996">
      <c r="A7996">
        <f>HYPERLINK("https://www.youtube.com/watch?v=OPPJnWqwCFI", "Video")</f>
        <v/>
      </c>
      <c r="B7996" t="inlineStr">
        <is>
          <t>2:37</t>
        </is>
      </c>
      <c r="C7996" t="inlineStr">
        <is>
          <t>you think he's gonna do that bit with</t>
        </is>
      </c>
      <c r="D7996">
        <f>HYPERLINK("https://www.youtube.com/watch?v=OPPJnWqwCFI&amp;t=157s", "Go to time")</f>
        <v/>
      </c>
    </row>
    <row r="7997">
      <c r="A7997">
        <f>HYPERLINK("https://www.youtube.com/watch?v=V1mBlarPb3A", "Video")</f>
        <v/>
      </c>
      <c r="B7997" t="inlineStr">
        <is>
          <t>2:10</t>
        </is>
      </c>
      <c r="C7997" t="inlineStr">
        <is>
          <t>confidentiality and I'm ready to bite</t>
        </is>
      </c>
      <c r="D7997">
        <f>HYPERLINK("https://www.youtube.com/watch?v=V1mBlarPb3A&amp;t=130s", "Go to time")</f>
        <v/>
      </c>
    </row>
    <row r="7998">
      <c r="A7998">
        <f>HYPERLINK("https://www.youtube.com/watch?v=SVlIfkDZXQU", "Video")</f>
        <v/>
      </c>
      <c r="B7998" t="inlineStr">
        <is>
          <t>3:42</t>
        </is>
      </c>
      <c r="C7998" t="inlineStr">
        <is>
          <t>bite you in the ass I want you to</t>
        </is>
      </c>
      <c r="D7998">
        <f>HYPERLINK("https://www.youtube.com/watch?v=SVlIfkDZXQU&amp;t=222s", "Go to time")</f>
        <v/>
      </c>
    </row>
    <row r="7999">
      <c r="A7999">
        <f>HYPERLINK("https://www.youtube.com/watch?v=QmZrUAPmcds", "Video")</f>
        <v/>
      </c>
      <c r="B7999" t="inlineStr">
        <is>
          <t>8:12</t>
        </is>
      </c>
      <c r="C7999" t="inlineStr">
        <is>
          <t>absolutely no kicking no biting and no</t>
        </is>
      </c>
      <c r="D7999">
        <f>HYPERLINK("https://www.youtube.com/watch?v=QmZrUAPmcds&amp;t=492s", "Go to time")</f>
        <v/>
      </c>
    </row>
    <row r="8000">
      <c r="A8000">
        <f>HYPERLINK("https://www.youtube.com/watch?v=QmZrUAPmcds", "Video")</f>
        <v/>
      </c>
      <c r="B8000" t="inlineStr">
        <is>
          <t>8:14</t>
        </is>
      </c>
      <c r="C8000" t="inlineStr">
        <is>
          <t>rabbit punches and now you're mocking</t>
        </is>
      </c>
      <c r="D8000">
        <f>HYPERLINK("https://www.youtube.com/watch?v=QmZrUAPmcds&amp;t=494s", "Go to time")</f>
        <v/>
      </c>
    </row>
    <row r="8001">
      <c r="A8001">
        <f>HYPERLINK("https://www.youtube.com/watch?v=gFWvR3d3ypA", "Video")</f>
        <v/>
      </c>
      <c r="B8001" t="inlineStr">
        <is>
          <t>6:36</t>
        </is>
      </c>
      <c r="C8001" t="inlineStr">
        <is>
          <t>early and got it bit off what would you</t>
        </is>
      </c>
      <c r="D8001">
        <f>HYPERLINK("https://www.youtube.com/watch?v=gFWvR3d3ypA&amp;t=396s", "Go to time")</f>
        <v/>
      </c>
    </row>
    <row r="8002">
      <c r="A8002">
        <f>HYPERLINK("https://www.youtube.com/watch?v=IJmgYe5xGLg", "Video")</f>
        <v/>
      </c>
      <c r="B8002" t="inlineStr">
        <is>
          <t>0:02</t>
        </is>
      </c>
      <c r="C8002" t="inlineStr">
        <is>
          <t>James quelling I'm in a bit of a hurry</t>
        </is>
      </c>
      <c r="D8002">
        <f>HYPERLINK("https://www.youtube.com/watch?v=IJmgYe5xGLg&amp;t=2s", "Go to time")</f>
        <v/>
      </c>
    </row>
    <row r="8003">
      <c r="A8003">
        <f>HYPERLINK("https://www.youtube.com/watch?v=R6FHs4bsbJc", "Video")</f>
        <v/>
      </c>
      <c r="B8003" t="inlineStr">
        <is>
          <t>12:13</t>
        </is>
      </c>
      <c r="C8003" t="inlineStr">
        <is>
          <t>subit the future of this firm What's</t>
        </is>
      </c>
      <c r="D8003">
        <f>HYPERLINK("https://www.youtube.com/watch?v=R6FHs4bsbJc&amp;t=733s", "Go to time")</f>
        <v/>
      </c>
    </row>
    <row r="8004">
      <c r="A8004">
        <f>HYPERLINK("https://www.youtube.com/watch?v=2WbjVroSsQ0", "Video")</f>
        <v/>
      </c>
      <c r="B8004" t="inlineStr">
        <is>
          <t>0:23</t>
        </is>
      </c>
      <c r="C8004" t="inlineStr">
        <is>
          <t>sometimes you even yourself a bit it's</t>
        </is>
      </c>
      <c r="D8004">
        <f>HYPERLINK("https://www.youtube.com/watch?v=2WbjVroSsQ0&amp;t=23s", "Go to time")</f>
        <v/>
      </c>
    </row>
    <row r="8005">
      <c r="A8005">
        <f>HYPERLINK("https://www.youtube.com/watch?v=X4f7l2AVp7M", "Video")</f>
        <v/>
      </c>
      <c r="B8005" t="inlineStr">
        <is>
          <t>2:44</t>
        </is>
      </c>
      <c r="C8005" t="inlineStr">
        <is>
          <t>the seven yellows are a little bit oaky</t>
        </is>
      </c>
      <c r="D8005">
        <f>HYPERLINK("https://www.youtube.com/watch?v=X4f7l2AVp7M&amp;t=164s", "Go to time")</f>
        <v/>
      </c>
    </row>
    <row r="8006">
      <c r="A8006">
        <f>HYPERLINK("https://www.youtube.com/watch?v=Kip-zjn5njY", "Video")</f>
        <v/>
      </c>
      <c r="B8006" t="inlineStr">
        <is>
          <t>2:38</t>
        </is>
      </c>
      <c r="C8006" t="inlineStr">
        <is>
          <t>hobit baby you just said it wasn't about</t>
        </is>
      </c>
      <c r="D8006">
        <f>HYPERLINK("https://www.youtube.com/watch?v=Kip-zjn5njY&amp;t=158s", "Go to time")</f>
        <v/>
      </c>
    </row>
    <row r="8007">
      <c r="A8007">
        <f>HYPERLINK("https://www.youtube.com/watch?v=Kip-zjn5njY", "Video")</f>
        <v/>
      </c>
      <c r="B8007" t="inlineStr">
        <is>
          <t>3:04</t>
        </is>
      </c>
      <c r="C8007" t="inlineStr">
        <is>
          <t>though you look great a bit overworked</t>
        </is>
      </c>
      <c r="D8007">
        <f>HYPERLINK("https://www.youtube.com/watch?v=Kip-zjn5njY&amp;t=184s", "Go to time")</f>
        <v/>
      </c>
    </row>
    <row r="8008">
      <c r="A8008">
        <f>HYPERLINK("https://www.youtube.com/watch?v=MjVbM5xq3IQ", "Video")</f>
        <v/>
      </c>
      <c r="B8008" t="inlineStr">
        <is>
          <t>0:13</t>
        </is>
      </c>
      <c r="C8008" t="inlineStr">
        <is>
          <t>hasn't changed one bit so why don't you</t>
        </is>
      </c>
      <c r="D8008">
        <f>HYPERLINK("https://www.youtube.com/watch?v=MjVbM5xq3IQ&amp;t=13s", "Go to time")</f>
        <v/>
      </c>
    </row>
    <row r="8009">
      <c r="A8009">
        <f>HYPERLINK("https://www.youtube.com/watch?v=IW0S5e3P2rs", "Video")</f>
        <v/>
      </c>
      <c r="B8009" t="inlineStr">
        <is>
          <t>2:08</t>
        </is>
      </c>
      <c r="C8009" t="inlineStr">
        <is>
          <t>like taking candy from a little hobbit</t>
        </is>
      </c>
      <c r="D8009">
        <f>HYPERLINK("https://www.youtube.com/watch?v=IW0S5e3P2rs&amp;t=128s", "Go to time")</f>
        <v/>
      </c>
    </row>
    <row r="8010">
      <c r="A8010">
        <f>HYPERLINK("https://www.youtube.com/watch?v=IW0S5e3P2rs", "Video")</f>
        <v/>
      </c>
      <c r="B8010" t="inlineStr">
        <is>
          <t>2:36</t>
        </is>
      </c>
      <c r="C8010" t="inlineStr">
        <is>
          <t>you look great a bit overworked but</t>
        </is>
      </c>
      <c r="D8010">
        <f>HYPERLINK("https://www.youtube.com/watch?v=IW0S5e3P2rs&amp;t=156s", "Go to time")</f>
        <v/>
      </c>
    </row>
    <row r="8011">
      <c r="A8011">
        <f>HYPERLINK("https://www.youtube.com/watch?v=IW0S5e3P2rs", "Video")</f>
        <v/>
      </c>
      <c r="B8011" t="inlineStr">
        <is>
          <t>8:46</t>
        </is>
      </c>
      <c r="C8011" t="inlineStr">
        <is>
          <t>hostile and overly ambitious then</t>
        </is>
      </c>
      <c r="D8011">
        <f>HYPERLINK("https://www.youtube.com/watch?v=IW0S5e3P2rs&amp;t=526s", "Go to time")</f>
        <v/>
      </c>
    </row>
    <row r="8012">
      <c r="A8012">
        <f>HYPERLINK("https://www.youtube.com/watch?v=N725Vh7Bf3w", "Video")</f>
        <v/>
      </c>
      <c r="B8012" t="inlineStr">
        <is>
          <t>9:31</t>
        </is>
      </c>
      <c r="C8012" t="inlineStr">
        <is>
          <t>Exhibit A you made an investment in</t>
        </is>
      </c>
      <c r="D8012">
        <f>HYPERLINK("https://www.youtube.com/watch?v=N725Vh7Bf3w&amp;t=571s", "Go to time")</f>
        <v/>
      </c>
    </row>
    <row r="8013">
      <c r="A8013">
        <f>HYPERLINK("https://www.youtube.com/watch?v=040UOdReSBs", "Video")</f>
        <v/>
      </c>
      <c r="B8013" t="inlineStr">
        <is>
          <t>12:11</t>
        </is>
      </c>
      <c r="C8013" t="inlineStr">
        <is>
          <t>habitability but whether or not rent has</t>
        </is>
      </c>
      <c r="D8013">
        <f>HYPERLINK("https://www.youtube.com/watch?v=040UOdReSBs&amp;t=731s", "Go to time")</f>
        <v/>
      </c>
    </row>
    <row r="8014">
      <c r="A8014">
        <f>HYPERLINK("https://www.youtube.com/watch?v=040UOdReSBs", "Video")</f>
        <v/>
      </c>
      <c r="B8014" t="inlineStr">
        <is>
          <t>12:18</t>
        </is>
      </c>
      <c r="C8014" t="inlineStr">
        <is>
          <t>habitability is</t>
        </is>
      </c>
      <c r="D8014">
        <f>HYPERLINK("https://www.youtube.com/watch?v=040UOdReSBs&amp;t=738s", "Go to time")</f>
        <v/>
      </c>
    </row>
    <row r="8015">
      <c r="A8015">
        <f>HYPERLINK("https://www.youtube.com/watch?v=040UOdReSBs", "Video")</f>
        <v/>
      </c>
      <c r="B8015" t="inlineStr">
        <is>
          <t>20:05</t>
        </is>
      </c>
      <c r="C8015" t="inlineStr">
        <is>
          <t>exhibit exchange don't bother I already</t>
        </is>
      </c>
      <c r="D8015">
        <f>HYPERLINK("https://www.youtube.com/watch?v=040UOdReSBs&amp;t=1205s", "Go to time")</f>
        <v/>
      </c>
    </row>
    <row r="8016">
      <c r="A8016">
        <f>HYPERLINK("https://www.youtube.com/watch?v=040UOdReSBs", "Video")</f>
        <v/>
      </c>
      <c r="B8016" t="inlineStr">
        <is>
          <t>25:15</t>
        </is>
      </c>
      <c r="C8016" t="inlineStr">
        <is>
          <t>this habit of you empathizing with every</t>
        </is>
      </c>
      <c r="D8016">
        <f>HYPERLINK("https://www.youtube.com/watch?v=040UOdReSBs&amp;t=1515s", "Go to time")</f>
        <v/>
      </c>
    </row>
    <row r="8017">
      <c r="A8017">
        <f>HYPERLINK("https://www.youtube.com/watch?v=clBSAIUV8t0", "Video")</f>
        <v/>
      </c>
      <c r="B8017" t="inlineStr">
        <is>
          <t>1:40</t>
        </is>
      </c>
      <c r="C8017" t="inlineStr">
        <is>
          <t>prohibiting me
from admitting I was ever there.</t>
        </is>
      </c>
      <c r="D8017">
        <f>HYPERLINK("https://www.youtube.com/watch?v=clBSAIUV8t0&amp;t=100s", "Go to time")</f>
        <v/>
      </c>
    </row>
    <row r="8018">
      <c r="A8018">
        <f>HYPERLINK("https://www.youtube.com/watch?v=eULsY6798So", "Video")</f>
        <v/>
      </c>
      <c r="B8018" t="inlineStr">
        <is>
          <t>23:51</t>
        </is>
      </c>
      <c r="C8018" t="inlineStr">
        <is>
          <t>bit cuz uh Donna was feeling a little</t>
        </is>
      </c>
      <c r="D8018">
        <f>HYPERLINK("https://www.youtube.com/watch?v=eULsY6798So&amp;t=1431s", "Go to time")</f>
        <v/>
      </c>
    </row>
    <row r="8019">
      <c r="A8019">
        <f>HYPERLINK("https://www.youtube.com/watch?v=CCkTcoWXu2A", "Video")</f>
        <v/>
      </c>
      <c r="B8019" t="inlineStr">
        <is>
          <t>1:23</t>
        </is>
      </c>
      <c r="C8019" t="inlineStr">
        <is>
          <t>and just to make your day a little bit</t>
        </is>
      </c>
      <c r="D8019">
        <f>HYPERLINK("https://www.youtube.com/watch?v=CCkTcoWXu2A&amp;t=83s", "Go to time")</f>
        <v/>
      </c>
    </row>
    <row r="8020">
      <c r="A8020">
        <f>HYPERLINK("https://www.youtube.com/watch?v=CCkTcoWXu2A", "Video")</f>
        <v/>
      </c>
      <c r="B8020" t="inlineStr">
        <is>
          <t>4:10</t>
        </is>
      </c>
      <c r="C8020" t="inlineStr">
        <is>
          <t>engaging in arbitration i have the right</t>
        </is>
      </c>
      <c r="D8020">
        <f>HYPERLINK("https://www.youtube.com/watch?v=CCkTcoWXu2A&amp;t=250s", "Go to time")</f>
        <v/>
      </c>
    </row>
    <row r="8021">
      <c r="A8021">
        <f>HYPERLINK("https://www.youtube.com/watch?v=la6cK7sPets", "Video")</f>
        <v/>
      </c>
      <c r="B8021" t="inlineStr">
        <is>
          <t>3:09</t>
        </is>
      </c>
      <c r="C8021" t="inlineStr">
        <is>
          <t>habits I learned from you I don't care</t>
        </is>
      </c>
      <c r="D8021">
        <f>HYPERLINK("https://www.youtube.com/watch?v=la6cK7sPets&amp;t=189s", "Go to time")</f>
        <v/>
      </c>
    </row>
    <row r="8022">
      <c r="A8022">
        <f>HYPERLINK("https://www.youtube.com/watch?v=uaLG1iioe0c", "Video")</f>
        <v/>
      </c>
      <c r="B8022" t="inlineStr">
        <is>
          <t>0:07</t>
        </is>
      </c>
      <c r="C8022" t="inlineStr">
        <is>
          <t>I think he was a little bit more than</t>
        </is>
      </c>
      <c r="D8022">
        <f>HYPERLINK("https://www.youtube.com/watch?v=uaLG1iioe0c&amp;t=7s", "Go to time")</f>
        <v/>
      </c>
    </row>
    <row r="8023">
      <c r="A8023">
        <f>HYPERLINK("https://www.youtube.com/watch?v=w6K2AUQJ10U", "Video")</f>
        <v/>
      </c>
      <c r="B8023" t="inlineStr">
        <is>
          <t>3:49</t>
        </is>
      </c>
      <c r="C8023" t="inlineStr">
        <is>
          <t>stop it and I am not in the habit of</t>
        </is>
      </c>
      <c r="D8023">
        <f>HYPERLINK("https://www.youtube.com/watch?v=w6K2AUQJ10U&amp;t=229s", "Go to time")</f>
        <v/>
      </c>
    </row>
    <row r="8024">
      <c r="A8024">
        <f>HYPERLINK("https://www.youtube.com/watch?v=w6K2AUQJ10U", "Video")</f>
        <v/>
      </c>
      <c r="B8024" t="inlineStr">
        <is>
          <t>5:52</t>
        </is>
      </c>
      <c r="C8024" t="inlineStr">
        <is>
          <t>it's usually not my Habit to court it</t>
        </is>
      </c>
      <c r="D8024">
        <f>HYPERLINK("https://www.youtube.com/watch?v=w6K2AUQJ10U&amp;t=352s", "Go to time")</f>
        <v/>
      </c>
    </row>
    <row r="8025">
      <c r="A8025">
        <f>HYPERLINK("https://www.youtube.com/watch?v=OYVKdZ7IMXs", "Video")</f>
        <v/>
      </c>
      <c r="B8025" t="inlineStr">
        <is>
          <t>0:46</t>
        </is>
      </c>
      <c r="C8025" t="inlineStr">
        <is>
          <t>bit because i didn't mean it with her</t>
        </is>
      </c>
      <c r="D8025">
        <f>HYPERLINK("https://www.youtube.com/watch?v=OYVKdZ7IMXs&amp;t=46s", "Go to time")</f>
        <v/>
      </c>
    </row>
    <row r="8026">
      <c r="A8026">
        <f>HYPERLINK("https://www.youtube.com/watch?v=pAwVlYwE3nw", "Video")</f>
        <v/>
      </c>
      <c r="B8026" t="inlineStr">
        <is>
          <t>2:14</t>
        </is>
      </c>
      <c r="C8026" t="inlineStr">
        <is>
          <t>because the apartment is not habitable</t>
        </is>
      </c>
      <c r="D8026">
        <f>HYPERLINK("https://www.youtube.com/watch?v=pAwVlYwE3nw&amp;t=134s", "Go to time")</f>
        <v/>
      </c>
    </row>
    <row r="8027">
      <c r="A8027">
        <f>HYPERLINK("https://www.youtube.com/watch?v=pAwVlYwE3nw", "Video")</f>
        <v/>
      </c>
      <c r="B8027" t="inlineStr">
        <is>
          <t>3:43</t>
        </is>
      </c>
      <c r="C8027" t="inlineStr">
        <is>
          <t>habitability but whether or not rent has</t>
        </is>
      </c>
      <c r="D8027">
        <f>HYPERLINK("https://www.youtube.com/watch?v=pAwVlYwE3nw&amp;t=223s", "Go to time")</f>
        <v/>
      </c>
    </row>
    <row r="8028">
      <c r="A8028">
        <f>HYPERLINK("https://www.youtube.com/watch?v=pAwVlYwE3nw", "Video")</f>
        <v/>
      </c>
      <c r="B8028" t="inlineStr">
        <is>
          <t>3:50</t>
        </is>
      </c>
      <c r="C8028" t="inlineStr">
        <is>
          <t>habitability is</t>
        </is>
      </c>
      <c r="D8028">
        <f>HYPERLINK("https://www.youtube.com/watch?v=pAwVlYwE3nw&amp;t=230s", "Go to time")</f>
        <v/>
      </c>
    </row>
    <row r="8029">
      <c r="A8029">
        <f>HYPERLINK("https://www.youtube.com/watch?v=pAwVlYwE3nw", "Video")</f>
        <v/>
      </c>
      <c r="B8029" t="inlineStr">
        <is>
          <t>6:32</t>
        </is>
      </c>
      <c r="C8029" t="inlineStr">
        <is>
          <t>to class you up a bit not class but</t>
        </is>
      </c>
      <c r="D8029">
        <f>HYPERLINK("https://www.youtube.com/watch?v=pAwVlYwE3nw&amp;t=392s", "Go to time")</f>
        <v/>
      </c>
    </row>
    <row r="8030">
      <c r="A8030">
        <f>HYPERLINK("https://www.youtube.com/watch?v=DrNbeLrhPn0", "Video")</f>
        <v/>
      </c>
      <c r="B8030" t="inlineStr">
        <is>
          <t>1:01</t>
        </is>
      </c>
      <c r="C8030" t="inlineStr">
        <is>
          <t>bit my head off the minute i walked into</t>
        </is>
      </c>
      <c r="D8030">
        <f>HYPERLINK("https://www.youtube.com/watch?v=DrNbeLrhPn0&amp;t=61s", "Go to time")</f>
        <v/>
      </c>
    </row>
    <row r="8031">
      <c r="A8031">
        <f>HYPERLINK("https://www.youtube.com/watch?v=DrNbeLrhPn0", "Video")</f>
        <v/>
      </c>
      <c r="B8031" t="inlineStr">
        <is>
          <t>5:03</t>
        </is>
      </c>
      <c r="C8031" t="inlineStr">
        <is>
          <t>and i came to you first and you bit my</t>
        </is>
      </c>
      <c r="D8031">
        <f>HYPERLINK("https://www.youtube.com/watch?v=DrNbeLrhPn0&amp;t=303s", "Go to time")</f>
        <v/>
      </c>
    </row>
    <row r="8032">
      <c r="A8032">
        <f>HYPERLINK("https://www.youtube.com/watch?v=JcoC6BWsmeA", "Video")</f>
        <v/>
      </c>
      <c r="B8032" t="inlineStr">
        <is>
          <t>4:27</t>
        </is>
      </c>
      <c r="C8032" t="inlineStr">
        <is>
          <t>them a little bit of money so you can</t>
        </is>
      </c>
      <c r="D8032">
        <f>HYPERLINK("https://www.youtube.com/watch?v=JcoC6BWsmeA&amp;t=267s", "Go to time")</f>
        <v/>
      </c>
    </row>
    <row r="8033">
      <c r="A8033">
        <f>HYPERLINK("https://www.youtube.com/watch?v=dwM1BCxjQjI", "Video")</f>
        <v/>
      </c>
      <c r="B8033" t="inlineStr">
        <is>
          <t>7:30</t>
        </is>
      </c>
      <c r="C8033" t="inlineStr">
        <is>
          <t>changed a bit maybe it has is this a new</t>
        </is>
      </c>
      <c r="D8033">
        <f>HYPERLINK("https://www.youtube.com/watch?v=dwM1BCxjQjI&amp;t=450s", "Go to time")</f>
        <v/>
      </c>
    </row>
    <row r="8034">
      <c r="A8034">
        <f>HYPERLINK("https://www.youtube.com/watch?v=YW8Id-4i-VU", "Video")</f>
        <v/>
      </c>
      <c r="B8034" t="inlineStr">
        <is>
          <t>1:55</t>
        </is>
      </c>
      <c r="C8034" t="inlineStr">
        <is>
          <t>a little bit i'm sorry</t>
        </is>
      </c>
      <c r="D8034">
        <f>HYPERLINK("https://www.youtube.com/watch?v=YW8Id-4i-VU&amp;t=115s", "Go to time")</f>
        <v/>
      </c>
    </row>
    <row r="8035">
      <c r="A8035">
        <f>HYPERLINK("https://www.youtube.com/watch?v=LtMT868s6UY", "Video")</f>
        <v/>
      </c>
      <c r="B8035" t="inlineStr">
        <is>
          <t>8:35</t>
        </is>
      </c>
      <c r="C8035" t="inlineStr">
        <is>
          <t>coming you use the opportunity Tobit me</t>
        </is>
      </c>
      <c r="D8035">
        <f>HYPERLINK("https://www.youtube.com/watch?v=LtMT868s6UY&amp;t=515s", "Go to time")</f>
        <v/>
      </c>
    </row>
    <row r="8036">
      <c r="A8036">
        <f>HYPERLINK("https://www.youtube.com/watch?v=11l3sQrGO8U", "Video")</f>
        <v/>
      </c>
      <c r="B8036" t="inlineStr">
        <is>
          <t>1:42</t>
        </is>
      </c>
      <c r="C8036" t="inlineStr">
        <is>
          <t>fired every ambitious attorney that ever</t>
        </is>
      </c>
      <c r="D8036">
        <f>HYPERLINK("https://www.youtube.com/watch?v=11l3sQrGO8U&amp;t=102s", "Go to time")</f>
        <v/>
      </c>
    </row>
    <row r="8037">
      <c r="A8037">
        <f>HYPERLINK("https://www.youtube.com/watch?v=nrPhqgiFcvo", "Video")</f>
        <v/>
      </c>
      <c r="B8037" t="inlineStr">
        <is>
          <t>3:35</t>
        </is>
      </c>
      <c r="C8037" t="inlineStr">
        <is>
          <t>bit too slick and a little bit too hard</t>
        </is>
      </c>
      <c r="D8037">
        <f>HYPERLINK("https://www.youtube.com/watch?v=nrPhqgiFcvo&amp;t=215s", "Go to time")</f>
        <v/>
      </c>
    </row>
    <row r="8038">
      <c r="A8038">
        <f>HYPERLINK("https://www.youtube.com/watch?v=nrPhqgiFcvo", "Video")</f>
        <v/>
      </c>
      <c r="B8038" t="inlineStr">
        <is>
          <t>4:55</t>
        </is>
      </c>
      <c r="C8038" t="inlineStr">
        <is>
          <t>you know early on he was a bit of a</t>
        </is>
      </c>
      <c r="D8038">
        <f>HYPERLINK("https://www.youtube.com/watch?v=nrPhqgiFcvo&amp;t=295s", "Go to time")</f>
        <v/>
      </c>
    </row>
    <row r="8039">
      <c r="A8039">
        <f>HYPERLINK("https://www.youtube.com/watch?v=bkKY_4z7Jgs", "Video")</f>
        <v/>
      </c>
      <c r="B8039" t="inlineStr">
        <is>
          <t>2:49</t>
        </is>
      </c>
      <c r="C8039" t="inlineStr">
        <is>
          <t>fast I'm not in the habit of removing</t>
        </is>
      </c>
      <c r="D8039">
        <f>HYPERLINK("https://www.youtube.com/watch?v=bkKY_4z7Jgs&amp;t=169s", "Go to time")</f>
        <v/>
      </c>
    </row>
    <row r="8040">
      <c r="A8040">
        <f>HYPERLINK("https://www.youtube.com/watch?v=bkKY_4z7Jgs", "Video")</f>
        <v/>
      </c>
      <c r="B8040" t="inlineStr">
        <is>
          <t>2:54</t>
        </is>
      </c>
      <c r="C8040" t="inlineStr">
        <is>
          <t>habit of having an accomplice be the</t>
        </is>
      </c>
      <c r="D8040">
        <f>HYPERLINK("https://www.youtube.com/watch?v=bkKY_4z7Jgs&amp;t=174s", "Go to time")</f>
        <v/>
      </c>
    </row>
    <row r="8041">
      <c r="A8041">
        <f>HYPERLINK("https://www.youtube.com/watch?v=IFE5L0ZNsq4", "Video")</f>
        <v/>
      </c>
      <c r="B8041" t="inlineStr">
        <is>
          <t>4:18</t>
        </is>
      </c>
      <c r="C8041" t="inlineStr">
        <is>
          <t>me a little bit</t>
        </is>
      </c>
      <c r="D8041">
        <f>HYPERLINK("https://www.youtube.com/watch?v=IFE5L0ZNsq4&amp;t=258s", "Go to time")</f>
        <v/>
      </c>
    </row>
    <row r="8042">
      <c r="A8042">
        <f>HYPERLINK("https://www.youtube.com/watch?v=VlcsIOqXP9s", "Video")</f>
        <v/>
      </c>
      <c r="B8042" t="inlineStr">
        <is>
          <t>3:43</t>
        </is>
      </c>
      <c r="C8042" t="inlineStr">
        <is>
          <t>two-bit firm but between you and me if I</t>
        </is>
      </c>
      <c r="D8042">
        <f>HYPERLINK("https://www.youtube.com/watch?v=VlcsIOqXP9s&amp;t=223s", "Go to time")</f>
        <v/>
      </c>
    </row>
    <row r="8043">
      <c r="A8043">
        <f>HYPERLINK("https://www.youtube.com/watch?v=ZPQaQbj4G1c", "Video")</f>
        <v/>
      </c>
      <c r="B8043" t="inlineStr">
        <is>
          <t>4:39</t>
        </is>
      </c>
      <c r="C8043" t="inlineStr">
        <is>
          <t>she's still in the habit of covering for</t>
        </is>
      </c>
      <c r="D8043">
        <f>HYPERLINK("https://www.youtube.com/watch?v=ZPQaQbj4G1c&amp;t=279s", "Go to time")</f>
        <v/>
      </c>
    </row>
    <row r="8044">
      <c r="A8044">
        <f>HYPERLINK("https://www.youtube.com/watch?v=nBk94leCudo", "Video")</f>
        <v/>
      </c>
      <c r="B8044" t="inlineStr">
        <is>
          <t>0:55</t>
        </is>
      </c>
      <c r="C8044" t="inlineStr">
        <is>
          <t>bit helps Mike and I appreciate you</t>
        </is>
      </c>
      <c r="D8044">
        <f>HYPERLINK("https://www.youtube.com/watch?v=nBk94leCudo&amp;t=55s", "Go to time")</f>
        <v/>
      </c>
    </row>
    <row r="8045">
      <c r="A8045">
        <f>HYPERLINK("https://www.youtube.com/watch?v=nBk94leCudo", "Video")</f>
        <v/>
      </c>
      <c r="B8045" t="inlineStr">
        <is>
          <t>2:28</t>
        </is>
      </c>
      <c r="C8045" t="inlineStr">
        <is>
          <t>every little bit helps well I know once</t>
        </is>
      </c>
      <c r="D8045">
        <f>HYPERLINK("https://www.youtube.com/watch?v=nBk94leCudo&amp;t=148s", "Go to time")</f>
        <v/>
      </c>
    </row>
    <row r="8046">
      <c r="A8046">
        <f>HYPERLINK("https://www.youtube.com/watch?v=nBk94leCudo", "Video")</f>
        <v/>
      </c>
      <c r="B8046" t="inlineStr">
        <is>
          <t>3:46</t>
        </is>
      </c>
      <c r="C8046" t="inlineStr">
        <is>
          <t>bit proud of Oliver of course I am he</t>
        </is>
      </c>
      <c r="D8046">
        <f>HYPERLINK("https://www.youtube.com/watch?v=nBk94leCudo&amp;t=226s", "Go to time")</f>
        <v/>
      </c>
    </row>
    <row r="8047">
      <c r="A8047">
        <f>HYPERLINK("https://www.youtube.com/watch?v=yAfwEBpPX7g", "Video")</f>
        <v/>
      </c>
      <c r="B8047" t="inlineStr">
        <is>
          <t>9:34</t>
        </is>
      </c>
      <c r="C8047" t="inlineStr">
        <is>
          <t>I'm exhibit a you made an investment in</t>
        </is>
      </c>
      <c r="D8047">
        <f>HYPERLINK("https://www.youtube.com/watch?v=yAfwEBpPX7g&amp;t=574s", "Go to time")</f>
        <v/>
      </c>
    </row>
    <row r="8048">
      <c r="A8048">
        <f>HYPERLINK("https://www.youtube.com/watch?v=xNcAHItEr1I", "Video")</f>
        <v/>
      </c>
      <c r="B8048" t="inlineStr">
        <is>
          <t>0:08</t>
        </is>
      </c>
      <c r="C8048" t="inlineStr">
        <is>
          <t>a package yeah a little bit</t>
        </is>
      </c>
      <c r="D8048">
        <f>HYPERLINK("https://www.youtube.com/watch?v=xNcAHItEr1I&amp;t=8s", "Go to time")</f>
        <v/>
      </c>
    </row>
    <row r="8049">
      <c r="A8049">
        <f>HYPERLINK("https://www.youtube.com/watch?v=wN-sD6QesLs", "Video")</f>
        <v/>
      </c>
      <c r="B8049" t="inlineStr">
        <is>
          <t>14:47</t>
        </is>
      </c>
      <c r="C8049" t="inlineStr">
        <is>
          <t>my Monica is Nigel Alexander Nesbit well</t>
        </is>
      </c>
      <c r="D8049">
        <f>HYPERLINK("https://www.youtube.com/watch?v=wN-sD6QesLs&amp;t=887s", "Go to time")</f>
        <v/>
      </c>
    </row>
    <row r="8050">
      <c r="A8050">
        <f>HYPERLINK("https://www.youtube.com/watch?v=3qH6MS5PRQs", "Video")</f>
        <v/>
      </c>
      <c r="B8050" t="inlineStr">
        <is>
          <t>0:34</t>
        </is>
      </c>
      <c r="C8050" t="inlineStr">
        <is>
          <t>jeffrey's work habits are not cause i</t>
        </is>
      </c>
      <c r="D8050">
        <f>HYPERLINK("https://www.youtube.com/watch?v=3qH6MS5PRQs&amp;t=34s", "Go to time")</f>
        <v/>
      </c>
    </row>
    <row r="8051">
      <c r="A8051">
        <f>HYPERLINK("https://www.youtube.com/watch?v=PpCsz_faBAM", "Video")</f>
        <v/>
      </c>
      <c r="B8051" t="inlineStr">
        <is>
          <t>0:29</t>
        </is>
      </c>
      <c r="C8051" t="inlineStr">
        <is>
          <t>nope not a bit in any event Tara and I</t>
        </is>
      </c>
      <c r="D8051">
        <f>HYPERLINK("https://www.youtube.com/watch?v=PpCsz_faBAM&amp;t=29s", "Go to time")</f>
        <v/>
      </c>
    </row>
    <row r="8052">
      <c r="A8052">
        <f>HYPERLINK("https://www.youtube.com/watch?v=PpCsz_faBAM", "Video")</f>
        <v/>
      </c>
      <c r="B8052" t="inlineStr">
        <is>
          <t>2:03</t>
        </is>
      </c>
      <c r="C8052" t="inlineStr">
        <is>
          <t>son of a bitch's name right now and I'm</t>
        </is>
      </c>
      <c r="D8052">
        <f>HYPERLINK("https://www.youtube.com/watch?v=PpCsz_faBAM&amp;t=123s", "Go to time")</f>
        <v/>
      </c>
    </row>
    <row r="8053">
      <c r="A8053">
        <f>HYPERLINK("https://www.youtube.com/watch?v=drWSGnSip1A", "Video")</f>
        <v/>
      </c>
      <c r="B8053" t="inlineStr">
        <is>
          <t>0:57</t>
        </is>
      </c>
      <c r="C8053" t="inlineStr">
        <is>
          <t>-I just stepped out
for a bite.</t>
        </is>
      </c>
      <c r="D8053">
        <f>HYPERLINK("https://www.youtube.com/watch?v=drWSGnSip1A&amp;t=57s", "Go to time")</f>
        <v/>
      </c>
    </row>
    <row r="8054">
      <c r="A8054">
        <f>HYPERLINK("https://www.youtube.com/watch?v=LAd2n-Fw7q4", "Video")</f>
        <v/>
      </c>
      <c r="B8054" t="inlineStr">
        <is>
          <t>6:06</t>
        </is>
      </c>
      <c r="C8054" t="inlineStr">
        <is>
          <t>job and you don't like that one bit</t>
        </is>
      </c>
      <c r="D8054">
        <f>HYPERLINK("https://www.youtube.com/watch?v=LAd2n-Fw7q4&amp;t=366s", "Go to time")</f>
        <v/>
      </c>
    </row>
    <row r="8055">
      <c r="A8055">
        <f>HYPERLINK("https://www.youtube.com/watch?v=sg_C-fGCHCE", "Video")</f>
        <v/>
      </c>
      <c r="B8055" t="inlineStr">
        <is>
          <t>2:22</t>
        </is>
      </c>
      <c r="C8055" t="inlineStr">
        <is>
          <t>gentlemen i'm a bit confused if you're</t>
        </is>
      </c>
      <c r="D8055">
        <f>HYPERLINK("https://www.youtube.com/watch?v=sg_C-fGCHCE&amp;t=142s", "Go to time")</f>
        <v/>
      </c>
    </row>
    <row r="8056">
      <c r="A8056">
        <f>HYPERLINK("https://www.youtube.com/watch?v=sg_C-fGCHCE", "Video")</f>
        <v/>
      </c>
      <c r="B8056" t="inlineStr">
        <is>
          <t>2:37</t>
        </is>
      </c>
      <c r="C8056" t="inlineStr">
        <is>
          <t>you're in a bit of a pickle richard you</t>
        </is>
      </c>
      <c r="D8056">
        <f>HYPERLINK("https://www.youtube.com/watch?v=sg_C-fGCHCE&amp;t=157s", "Go to time")</f>
        <v/>
      </c>
    </row>
    <row r="8057">
      <c r="A8057">
        <f>HYPERLINK("https://www.youtube.com/watch?v=-dfvdKf-KR0", "Video")</f>
        <v/>
      </c>
      <c r="B8057" t="inlineStr">
        <is>
          <t>6:39</t>
        </is>
      </c>
      <c r="C8057" t="inlineStr">
        <is>
          <t>sometimes you even fool yourself a bit</t>
        </is>
      </c>
      <c r="D8057">
        <f>HYPERLINK("https://www.youtube.com/watch?v=-dfvdKf-KR0&amp;t=399s", "Go to time")</f>
        <v/>
      </c>
    </row>
    <row r="8058">
      <c r="A8058">
        <f>HYPERLINK("https://www.youtube.com/watch?v=-dfvdKf-KR0", "Video")</f>
        <v/>
      </c>
      <c r="B8058" t="inlineStr">
        <is>
          <t>29:39</t>
        </is>
      </c>
      <c r="C8058" t="inlineStr">
        <is>
          <t>ourselves for a bit I</t>
        </is>
      </c>
      <c r="D8058">
        <f>HYPERLINK("https://www.youtube.com/watch?v=-dfvdKf-KR0&amp;t=1779s", "Go to time")</f>
        <v/>
      </c>
    </row>
    <row r="8059">
      <c r="A8059">
        <f>HYPERLINK("https://www.youtube.com/watch?v=-dfvdKf-KR0", "Video")</f>
        <v/>
      </c>
      <c r="B8059" t="inlineStr">
        <is>
          <t>45:10</t>
        </is>
      </c>
      <c r="C8059" t="inlineStr">
        <is>
          <t>he bit my head off let me guess he</t>
        </is>
      </c>
      <c r="D8059">
        <f>HYPERLINK("https://www.youtube.com/watch?v=-dfvdKf-KR0&amp;t=2710s", "Go to time")</f>
        <v/>
      </c>
    </row>
    <row r="8060">
      <c r="A8060">
        <f>HYPERLINK("https://www.youtube.com/watch?v=8ZxCsVadkiQ", "Video")</f>
        <v/>
      </c>
      <c r="B8060" t="inlineStr">
        <is>
          <t>6:26</t>
        </is>
      </c>
      <c r="C8060" t="inlineStr">
        <is>
          <t>publicly stated that you are a bitter</t>
        </is>
      </c>
      <c r="D8060">
        <f>HYPERLINK("https://www.youtube.com/watch?v=8ZxCsVadkiQ&amp;t=386s", "Go to time")</f>
        <v/>
      </c>
    </row>
    <row r="8061">
      <c r="A8061">
        <f>HYPERLINK("https://www.youtube.com/watch?v=MrJlhnVXGfw", "Video")</f>
        <v/>
      </c>
      <c r="B8061" t="inlineStr">
        <is>
          <t>1:26</t>
        </is>
      </c>
      <c r="C8061" t="inlineStr">
        <is>
          <t>habit of sharing custody of a client</t>
        </is>
      </c>
      <c r="D8061">
        <f>HYPERLINK("https://www.youtube.com/watch?v=MrJlhnVXGfw&amp;t=86s", "Go to time")</f>
        <v/>
      </c>
    </row>
    <row r="8062">
      <c r="A8062">
        <f>HYPERLINK("https://www.youtube.com/watch?v=Q-No3M6IWhA", "Video")</f>
        <v/>
      </c>
      <c r="B8062" t="inlineStr">
        <is>
          <t>4:15</t>
        </is>
      </c>
      <c r="C8062" t="inlineStr">
        <is>
          <t>bit take it easy mike</t>
        </is>
      </c>
      <c r="D8062">
        <f>HYPERLINK("https://www.youtube.com/watch?v=Q-No3M6IWhA&amp;t=255s", "Go to time")</f>
        <v/>
      </c>
    </row>
    <row r="8063">
      <c r="A8063">
        <f>HYPERLINK("https://www.youtube.com/watch?v=ExJ57ts4gnA", "Video")</f>
        <v/>
      </c>
      <c r="B8063" t="inlineStr">
        <is>
          <t>2:18</t>
        </is>
      </c>
      <c r="C8063" t="inlineStr">
        <is>
          <t>parents both heavy smokers nasty habit</t>
        </is>
      </c>
      <c r="D8063">
        <f>HYPERLINK("https://www.youtube.com/watch?v=ExJ57ts4gnA&amp;t=138s", "Go to time")</f>
        <v/>
      </c>
    </row>
    <row r="8064">
      <c r="A8064">
        <f>HYPERLINK("https://www.youtube.com/watch?v=ExJ57ts4gnA", "Video")</f>
        <v/>
      </c>
      <c r="B8064" t="inlineStr">
        <is>
          <t>4:19</t>
        </is>
      </c>
      <c r="C8064" t="inlineStr">
        <is>
          <t>against settling one bit but if we go to</t>
        </is>
      </c>
      <c r="D8064">
        <f>HYPERLINK("https://www.youtube.com/watch?v=ExJ57ts4gnA&amp;t=259s", "Go to time")</f>
        <v/>
      </c>
    </row>
    <row r="8065">
      <c r="A8065">
        <f>HYPERLINK("https://www.youtube.com/watch?v=iFeKTUWaAno", "Video")</f>
        <v/>
      </c>
      <c r="B8065" t="inlineStr">
        <is>
          <t>0:50</t>
        </is>
      </c>
      <c r="C8065" t="inlineStr">
        <is>
          <t>there's nothing that prohibits us from</t>
        </is>
      </c>
      <c r="D8065">
        <f>HYPERLINK("https://www.youtube.com/watch?v=iFeKTUWaAno&amp;t=50s", "Go to time")</f>
        <v/>
      </c>
    </row>
    <row r="8066">
      <c r="A8066">
        <f>HYPERLINK("https://www.youtube.com/watch?v=iFeKTUWaAno", "Video")</f>
        <v/>
      </c>
      <c r="B8066" t="inlineStr">
        <is>
          <t>1:19</t>
        </is>
      </c>
      <c r="C8066" t="inlineStr">
        <is>
          <t>being a little bit of a about</t>
        </is>
      </c>
      <c r="D8066">
        <f>HYPERLINK("https://www.youtube.com/watch?v=iFeKTUWaAno&amp;t=79s", "Go to time")</f>
        <v/>
      </c>
    </row>
    <row r="8067">
      <c r="A8067">
        <f>HYPERLINK("https://www.youtube.com/watch?v=da0esMtY1_M", "Video")</f>
        <v/>
      </c>
      <c r="B8067" t="inlineStr">
        <is>
          <t>3:24</t>
        </is>
      </c>
      <c r="C8067" t="inlineStr">
        <is>
          <t>preemptive bit of course i did</t>
        </is>
      </c>
      <c r="D8067">
        <f>HYPERLINK("https://www.youtube.com/watch?v=da0esMtY1_M&amp;t=204s", "Go to time")</f>
        <v/>
      </c>
    </row>
    <row r="8068">
      <c r="A8068">
        <f>HYPERLINK("https://www.youtube.com/watch?v=Ca0zQJ6JtMY", "Video")</f>
        <v/>
      </c>
      <c r="B8068" t="inlineStr">
        <is>
          <t>3:57</t>
        </is>
      </c>
      <c r="C8068" t="inlineStr">
        <is>
          <t>answer I'm afraid I've got a bit of a</t>
        </is>
      </c>
      <c r="D8068">
        <f>HYPERLINK("https://www.youtube.com/watch?v=Ca0zQJ6JtMY&amp;t=237s", "Go to time")</f>
        <v/>
      </c>
    </row>
    <row r="8069">
      <c r="A8069">
        <f>HYPERLINK("https://www.youtube.com/watch?v=Ca0zQJ6JtMY", "Video")</f>
        <v/>
      </c>
      <c r="B8069" t="inlineStr">
        <is>
          <t>6:51</t>
        </is>
      </c>
      <c r="C8069" t="inlineStr">
        <is>
          <t>Mr nesbit's gut oh</t>
        </is>
      </c>
      <c r="D8069">
        <f>HYPERLINK("https://www.youtube.com/watch?v=Ca0zQJ6JtMY&amp;t=411s", "Go to time")</f>
        <v/>
      </c>
    </row>
    <row r="8070">
      <c r="A8070">
        <f>HYPERLINK("https://www.youtube.com/watch?v=12WoXR7V8rM", "Video")</f>
        <v/>
      </c>
      <c r="B8070" t="inlineStr">
        <is>
          <t>1:57</t>
        </is>
      </c>
      <c r="C8070" t="inlineStr">
        <is>
          <t>saw a ghost you bit off Rachel's head</t>
        </is>
      </c>
      <c r="D8070">
        <f>HYPERLINK("https://www.youtube.com/watch?v=12WoXR7V8rM&amp;t=117s", "Go to time")</f>
        <v/>
      </c>
    </row>
    <row r="8071">
      <c r="A8071">
        <f>HYPERLINK("https://www.youtube.com/watch?v=12WoXR7V8rM", "Video")</f>
        <v/>
      </c>
      <c r="B8071" t="inlineStr">
        <is>
          <t>2:36</t>
        </is>
      </c>
      <c r="C8071" t="inlineStr">
        <is>
          <t>that assumption is going to bite him in</t>
        </is>
      </c>
      <c r="D8071">
        <f>HYPERLINK("https://www.youtube.com/watch?v=12WoXR7V8rM&amp;t=156s", "Go to time")</f>
        <v/>
      </c>
    </row>
    <row r="8072">
      <c r="A8072">
        <f>HYPERLINK("https://www.youtube.com/watch?v=12WoXR7V8rM", "Video")</f>
        <v/>
      </c>
      <c r="B8072" t="inlineStr">
        <is>
          <t>2:39</t>
        </is>
      </c>
      <c r="C8072" t="inlineStr">
        <is>
          <t>bigger the bite nobody is going to</t>
        </is>
      </c>
      <c r="D8072">
        <f>HYPERLINK("https://www.youtube.com/watch?v=12WoXR7V8rM&amp;t=159s", "Go to time")</f>
        <v/>
      </c>
    </row>
    <row r="8073">
      <c r="A8073">
        <f>HYPERLINK("https://www.youtube.com/watch?v=woR66Ua3zqI", "Video")</f>
        <v/>
      </c>
      <c r="B8073" t="inlineStr">
        <is>
          <t>1:25</t>
        </is>
      </c>
      <c r="C8073" t="inlineStr">
        <is>
          <t>harvey this is becoming a habit i've</t>
        </is>
      </c>
      <c r="D8073">
        <f>HYPERLINK("https://www.youtube.com/watch?v=woR66Ua3zqI&amp;t=85s", "Go to time")</f>
        <v/>
      </c>
    </row>
    <row r="8074">
      <c r="A8074">
        <f>HYPERLINK("https://www.youtube.com/watch?v=CJtu_4CpRvM", "Video")</f>
        <v/>
      </c>
      <c r="B8074" t="inlineStr">
        <is>
          <t>17:13</t>
        </is>
      </c>
      <c r="C8074" t="inlineStr">
        <is>
          <t>client yes your own ambition aside do</t>
        </is>
      </c>
      <c r="D8074">
        <f>HYPERLINK("https://www.youtube.com/watch?v=CJtu_4CpRvM&amp;t=1033s", "Go to time")</f>
        <v/>
      </c>
    </row>
    <row r="8075">
      <c r="A8075">
        <f>HYPERLINK("https://www.youtube.com/watch?v=gxgYEHvtMDk", "Video")</f>
        <v/>
      </c>
      <c r="B8075" t="inlineStr">
        <is>
          <t>3:43</t>
        </is>
      </c>
      <c r="C8075" t="inlineStr">
        <is>
          <t>two-bit firm but between you and me if i</t>
        </is>
      </c>
      <c r="D8075">
        <f>HYPERLINK("https://www.youtube.com/watch?v=gxgYEHvtMDk&amp;t=223s", "Go to time")</f>
        <v/>
      </c>
    </row>
    <row r="8076">
      <c r="A8076">
        <f>HYPERLINK("https://www.youtube.com/watch?v=giWFqPUi3ho", "Video")</f>
        <v/>
      </c>
      <c r="B8076" t="inlineStr">
        <is>
          <t>9:04</t>
        </is>
      </c>
      <c r="C8076" t="inlineStr">
        <is>
          <t>absolutely no kicking no biting and no</t>
        </is>
      </c>
      <c r="D8076">
        <f>HYPERLINK("https://www.youtube.com/watch?v=giWFqPUi3ho&amp;t=544s", "Go to time")</f>
        <v/>
      </c>
    </row>
    <row r="8077">
      <c r="A8077">
        <f>HYPERLINK("https://www.youtube.com/watch?v=giWFqPUi3ho", "Video")</f>
        <v/>
      </c>
      <c r="B8077" t="inlineStr">
        <is>
          <t>9:07</t>
        </is>
      </c>
      <c r="C8077" t="inlineStr">
        <is>
          <t>rabbit punches and now you're mocking</t>
        </is>
      </c>
      <c r="D8077">
        <f>HYPERLINK("https://www.youtube.com/watch?v=giWFqPUi3ho&amp;t=547s", "Go to time")</f>
        <v/>
      </c>
    </row>
    <row r="8078">
      <c r="A8078">
        <f>HYPERLINK("https://www.youtube.com/watch?v=TyWzwbMXeWo", "Video")</f>
        <v/>
      </c>
      <c r="B8078" t="inlineStr">
        <is>
          <t>3:54</t>
        </is>
      </c>
      <c r="C8078" t="inlineStr">
        <is>
          <t>park that's the exhibit</t>
        </is>
      </c>
      <c r="D8078">
        <f>HYPERLINK("https://www.youtube.com/watch?v=TyWzwbMXeWo&amp;t=234s", "Go to time")</f>
        <v/>
      </c>
    </row>
    <row r="8079">
      <c r="A8079">
        <f>HYPERLINK("https://www.youtube.com/watch?v=NU4lzrsF5do", "Video")</f>
        <v/>
      </c>
      <c r="B8079" t="inlineStr">
        <is>
          <t>7:37</t>
        </is>
      </c>
      <c r="C8079" t="inlineStr">
        <is>
          <t>bit hasn't it what are you talking about</t>
        </is>
      </c>
      <c r="D8079">
        <f>HYPERLINK("https://www.youtube.com/watch?v=NU4lzrsF5do&amp;t=457s", "Go to time")</f>
        <v/>
      </c>
    </row>
    <row r="8080">
      <c r="A8080">
        <f>HYPERLINK("https://www.youtube.com/watch?v=oXzTUjDfguA", "Video")</f>
        <v/>
      </c>
      <c r="B8080" t="inlineStr">
        <is>
          <t>1:03</t>
        </is>
      </c>
      <c r="C8080" t="inlineStr">
        <is>
          <t>fist-bumping and a little bit of this as</t>
        </is>
      </c>
      <c r="D8080">
        <f>HYPERLINK("https://www.youtube.com/watch?v=oXzTUjDfguA&amp;t=63s", "Go to time")</f>
        <v/>
      </c>
    </row>
    <row r="8081">
      <c r="A8081">
        <f>HYPERLINK("https://www.youtube.com/watch?v=VLi2JdFEKJY", "Video")</f>
        <v/>
      </c>
      <c r="B8081" t="inlineStr">
        <is>
          <t>6:58</t>
        </is>
      </c>
      <c r="C8081" t="inlineStr">
        <is>
          <t>bit cuz uh Donna was feeling a little</t>
        </is>
      </c>
      <c r="D8081">
        <f>HYPERLINK("https://www.youtube.com/watch?v=VLi2JdFEKJY&amp;t=418s", "Go to time")</f>
        <v/>
      </c>
    </row>
    <row r="8082">
      <c r="A8082">
        <f>HYPERLINK("https://www.youtube.com/watch?v=PhEsRiTKd04", "Video")</f>
        <v/>
      </c>
      <c r="B8082" t="inlineStr">
        <is>
          <t>1:49</t>
        </is>
      </c>
      <c r="C8082" t="inlineStr">
        <is>
          <t>habitable okay you are making money</t>
        </is>
      </c>
      <c r="D8082">
        <f>HYPERLINK("https://www.youtube.com/watch?v=PhEsRiTKd04&amp;t=109s", "Go to time")</f>
        <v/>
      </c>
    </row>
    <row r="8083">
      <c r="A8083">
        <f>HYPERLINK("https://www.youtube.com/watch?v=8LhvAB26_ow", "Video")</f>
        <v/>
      </c>
      <c r="B8083" t="inlineStr">
        <is>
          <t>5:04</t>
        </is>
      </c>
      <c r="C8083" t="inlineStr">
        <is>
          <t>little bit so where do we</t>
        </is>
      </c>
      <c r="D8083">
        <f>HYPERLINK("https://www.youtube.com/watch?v=8LhvAB26_ow&amp;t=304s", "Go to time")</f>
        <v/>
      </c>
    </row>
    <row r="8084">
      <c r="A8084">
        <f>HYPERLINK("https://www.youtube.com/watch?v=uow0FNoJ-ng", "Video")</f>
        <v/>
      </c>
      <c r="B8084" t="inlineStr">
        <is>
          <t>5:37</t>
        </is>
      </c>
      <c r="C8084" t="inlineStr">
        <is>
          <t>me an exhibit I'm sorry you must have</t>
        </is>
      </c>
      <c r="D8084">
        <f>HYPERLINK("https://www.youtube.com/watch?v=uow0FNoJ-ng&amp;t=337s", "Go to time")</f>
        <v/>
      </c>
    </row>
    <row r="8085">
      <c r="A8085">
        <f>HYPERLINK("https://www.youtube.com/watch?v=Yd0yQ9yxSYY", "Video")</f>
        <v/>
      </c>
      <c r="B8085" t="inlineStr">
        <is>
          <t>7:20</t>
        </is>
      </c>
      <c r="C8085" t="inlineStr">
        <is>
          <t>and then a bit of neurological change
and they're easier to persuade?</t>
        </is>
      </c>
      <c r="D8085">
        <f>HYPERLINK("https://www.youtube.com/watch?v=Yd0yQ9yxSYY&amp;t=440s", "Go to time")</f>
        <v/>
      </c>
    </row>
    <row r="8086">
      <c r="A8086">
        <f>HYPERLINK("https://www.youtube.com/watch?v=ogCIqaCe2zI", "Video")</f>
        <v/>
      </c>
      <c r="B8086" t="inlineStr">
        <is>
          <t>0:59</t>
        </is>
      </c>
      <c r="C8086" t="inlineStr">
        <is>
          <t>Well, join me for a little bit
of diving into the ocean,</t>
        </is>
      </c>
      <c r="D8086">
        <f>HYPERLINK("https://www.youtube.com/watch?v=ogCIqaCe2zI&amp;t=59s", "Go to time")</f>
        <v/>
      </c>
    </row>
    <row r="8087">
      <c r="A8087">
        <f>HYPERLINK("https://www.youtube.com/watch?v=ogCIqaCe2zI", "Video")</f>
        <v/>
      </c>
      <c r="B8087" t="inlineStr">
        <is>
          <t>2:03</t>
        </is>
      </c>
      <c r="C8087" t="inlineStr">
        <is>
          <t>Well, let's think a little bit
about other things besides camouflage</t>
        </is>
      </c>
      <c r="D8087">
        <f>HYPERLINK("https://www.youtube.com/watch?v=ogCIqaCe2zI&amp;t=123s", "Go to time")</f>
        <v/>
      </c>
    </row>
    <row r="8088">
      <c r="A8088">
        <f>HYPERLINK("https://www.youtube.com/watch?v=ogCIqaCe2zI", "Video")</f>
        <v/>
      </c>
      <c r="B8088" t="inlineStr">
        <is>
          <t>11:58</t>
        </is>
      </c>
      <c r="C8088" t="inlineStr">
        <is>
          <t>to see that they're
a little bit malleable as they are.</t>
        </is>
      </c>
      <c r="D8088">
        <f>HYPERLINK("https://www.youtube.com/watch?v=ogCIqaCe2zI&amp;t=718s", "Go to time")</f>
        <v/>
      </c>
    </row>
    <row r="8089">
      <c r="A8089">
        <f>HYPERLINK("https://www.youtube.com/watch?v=ogCIqaCe2zI", "Video")</f>
        <v/>
      </c>
      <c r="B8089" t="inlineStr">
        <is>
          <t>13:15</t>
        </is>
      </c>
      <c r="C8089" t="inlineStr">
        <is>
          <t>is to begin to be a little bit smarter</t>
        </is>
      </c>
      <c r="D8089">
        <f>HYPERLINK("https://www.youtube.com/watch?v=ogCIqaCe2zI&amp;t=795s", "Go to time")</f>
        <v/>
      </c>
    </row>
    <row r="8090">
      <c r="A8090">
        <f>HYPERLINK("https://www.youtube.com/watch?v=-7ORAKULel4", "Video")</f>
        <v/>
      </c>
      <c r="B8090" t="inlineStr">
        <is>
          <t>6:17</t>
        </is>
      </c>
      <c r="C8090" t="inlineStr">
        <is>
          <t>false news exhibited significantly more
surprise and disgust</t>
        </is>
      </c>
      <c r="D8090">
        <f>HYPERLINK("https://www.youtube.com/watch?v=-7ORAKULel4&amp;t=377s", "Go to time")</f>
        <v/>
      </c>
    </row>
    <row r="8091">
      <c r="A8091">
        <f>HYPERLINK("https://www.youtube.com/watch?v=-7ORAKULel4", "Video")</f>
        <v/>
      </c>
      <c r="B8091" t="inlineStr">
        <is>
          <t>6:26</t>
        </is>
      </c>
      <c r="C8091" t="inlineStr">
        <is>
          <t>And true news exhibited
significantly more anticipation,</t>
        </is>
      </c>
      <c r="D8091">
        <f>HYPERLINK("https://www.youtube.com/watch?v=-7ORAKULel4&amp;t=386s", "Go to time")</f>
        <v/>
      </c>
    </row>
    <row r="8092">
      <c r="A8092">
        <f>HYPERLINK("https://www.youtube.com/watch?v=eVFYhbHpfqU", "Video")</f>
        <v/>
      </c>
      <c r="B8092" t="inlineStr">
        <is>
          <t>10:12</t>
        </is>
      </c>
      <c r="C8092" t="inlineStr">
        <is>
          <t>I got a bit of gray hair, started to dress
in black like a true architect.</t>
        </is>
      </c>
      <c r="D8092">
        <f>HYPERLINK("https://www.youtube.com/watch?v=eVFYhbHpfqU&amp;t=612s", "Go to time")</f>
        <v/>
      </c>
    </row>
    <row r="8093">
      <c r="A8093">
        <f>HYPERLINK("https://www.youtube.com/watch?v=0NV1KdWRHck", "Video")</f>
        <v/>
      </c>
      <c r="B8093" t="inlineStr">
        <is>
          <t>1:58</t>
        </is>
      </c>
      <c r="C8093" t="inlineStr">
        <is>
          <t>which I must admit
seems a bit careless of me now,</t>
        </is>
      </c>
      <c r="D8093">
        <f>HYPERLINK("https://www.youtube.com/watch?v=0NV1KdWRHck&amp;t=118s", "Go to time")</f>
        <v/>
      </c>
    </row>
    <row r="8094">
      <c r="A8094">
        <f>HYPERLINK("https://www.youtube.com/watch?v=0NV1KdWRHck", "Video")</f>
        <v/>
      </c>
      <c r="B8094" t="inlineStr">
        <is>
          <t>8:54</t>
        </is>
      </c>
      <c r="C8094" t="inlineStr">
        <is>
          <t>and you've seen a bit of me,
so I'm quite shameless, I'll show you.</t>
        </is>
      </c>
      <c r="D8094">
        <f>HYPERLINK("https://www.youtube.com/watch?v=0NV1KdWRHck&amp;t=534s", "Go to time")</f>
        <v/>
      </c>
    </row>
    <row r="8095">
      <c r="A8095">
        <f>HYPERLINK("https://www.youtube.com/watch?v=xgBnYr0_FRk", "Video")</f>
        <v/>
      </c>
      <c r="B8095" t="inlineStr">
        <is>
          <t>9:41</t>
        </is>
      </c>
      <c r="C8095" t="inlineStr">
        <is>
          <t>who was the first animal
to orbit the earth.</t>
        </is>
      </c>
      <c r="D8095">
        <f>HYPERLINK("https://www.youtube.com/watch?v=xgBnYr0_FRk&amp;t=581s", "Go to time")</f>
        <v/>
      </c>
    </row>
    <row r="8096">
      <c r="A8096">
        <f>HYPERLINK("https://www.youtube.com/watch?v=hK8kk_3WA7w", "Video")</f>
        <v/>
      </c>
      <c r="B8096" t="inlineStr">
        <is>
          <t>10:29</t>
        </is>
      </c>
      <c r="C8096" t="inlineStr">
        <is>
          <t>that the delivery of your message
is every bit as important as its content.</t>
        </is>
      </c>
      <c r="D8096">
        <f>HYPERLINK("https://www.youtube.com/watch?v=hK8kk_3WA7w&amp;t=629s", "Go to time")</f>
        <v/>
      </c>
    </row>
    <row r="8097">
      <c r="A8097">
        <f>HYPERLINK("https://www.youtube.com/watch?v=jmQWOPDqxWA", "Video")</f>
        <v/>
      </c>
      <c r="B8097" t="inlineStr">
        <is>
          <t>4:23</t>
        </is>
      </c>
      <c r="C8097" t="inlineStr">
        <is>
          <t>CA: Aided perhaps a bit
by being easier to isolate</t>
        </is>
      </c>
      <c r="D8097">
        <f>HYPERLINK("https://www.youtube.com/watch?v=jmQWOPDqxWA&amp;t=263s", "Go to time")</f>
        <v/>
      </c>
    </row>
    <row r="8098">
      <c r="A8098">
        <f>HYPERLINK("https://www.youtube.com/watch?v=jmQWOPDqxWA", "Video")</f>
        <v/>
      </c>
      <c r="B8098" t="inlineStr">
        <is>
          <t>4:33</t>
        </is>
      </c>
      <c r="C8098" t="inlineStr">
        <is>
          <t>that a little bit of good work
goes a long way.</t>
        </is>
      </c>
      <c r="D8098">
        <f>HYPERLINK("https://www.youtube.com/watch?v=jmQWOPDqxWA&amp;t=273s", "Go to time")</f>
        <v/>
      </c>
    </row>
    <row r="8099">
      <c r="A8099">
        <f>HYPERLINK("https://www.youtube.com/watch?v=jmQWOPDqxWA", "Video")</f>
        <v/>
      </c>
      <c r="B8099" t="inlineStr">
        <is>
          <t>6:29</t>
        </is>
      </c>
      <c r="C8099" t="inlineStr">
        <is>
          <t>that the overall fatality rate
is actually falling a bit</t>
        </is>
      </c>
      <c r="D8099">
        <f>HYPERLINK("https://www.youtube.com/watch?v=jmQWOPDqxWA&amp;t=389s", "Go to time")</f>
        <v/>
      </c>
    </row>
    <row r="8100">
      <c r="A8100">
        <f>HYPERLINK("https://www.youtube.com/watch?v=jmQWOPDqxWA", "Video")</f>
        <v/>
      </c>
      <c r="B8100" t="inlineStr">
        <is>
          <t>7:57</t>
        </is>
      </c>
      <c r="C8100" t="inlineStr">
        <is>
          <t>CA: I'll actually ask you to tell me
a bit more about that in one sec,</t>
        </is>
      </c>
      <c r="D8100">
        <f>HYPERLINK("https://www.youtube.com/watch?v=jmQWOPDqxWA&amp;t=477s", "Go to time")</f>
        <v/>
      </c>
    </row>
    <row r="8101">
      <c r="A8101">
        <f>HYPERLINK("https://www.youtube.com/watch?v=jmQWOPDqxWA", "Video")</f>
        <v/>
      </c>
      <c r="B8101" t="inlineStr">
        <is>
          <t>20:13</t>
        </is>
      </c>
      <c r="C8101" t="inlineStr">
        <is>
          <t>and so it is a bit unusual here
how much we've had to rely on Fauci</t>
        </is>
      </c>
      <c r="D8101">
        <f>HYPERLINK("https://www.youtube.com/watch?v=jmQWOPDqxWA&amp;t=1213s", "Go to time")</f>
        <v/>
      </c>
    </row>
    <row r="8102">
      <c r="A8102">
        <f>HYPERLINK("https://www.youtube.com/watch?v=jmQWOPDqxWA", "Video")</f>
        <v/>
      </c>
      <c r="B8102" t="inlineStr">
        <is>
          <t>33:00</t>
        </is>
      </c>
      <c r="C8102" t="inlineStr">
        <is>
          <t>So I am caught a little bit,</t>
        </is>
      </c>
      <c r="D8102">
        <f>HYPERLINK("https://www.youtube.com/watch?v=jmQWOPDqxWA&amp;t=1980s", "Go to time")</f>
        <v/>
      </c>
    </row>
    <row r="8103">
      <c r="A8103">
        <f>HYPERLINK("https://www.youtube.com/watch?v=jmQWOPDqxWA", "Video")</f>
        <v/>
      </c>
      <c r="B8103" t="inlineStr">
        <is>
          <t>36:07</t>
        </is>
      </c>
      <c r="C8103" t="inlineStr">
        <is>
          <t>just a little bit about philanthropy.</t>
        </is>
      </c>
      <c r="D8103">
        <f>HYPERLINK("https://www.youtube.com/watch?v=jmQWOPDqxWA&amp;t=2167s", "Go to time")</f>
        <v/>
      </c>
    </row>
    <row r="8104">
      <c r="A8104">
        <f>HYPERLINK("https://www.youtube.com/watch?v=jmQWOPDqxWA", "Video")</f>
        <v/>
      </c>
      <c r="B8104" t="inlineStr">
        <is>
          <t>37:54</t>
        </is>
      </c>
      <c r="C8104" t="inlineStr">
        <is>
          <t>We do need to up the ambition level
of philanthropists.</t>
        </is>
      </c>
      <c r="D8104">
        <f>HYPERLINK("https://www.youtube.com/watch?v=jmQWOPDqxWA&amp;t=2274s", "Go to time")</f>
        <v/>
      </c>
    </row>
    <row r="8105">
      <c r="A8105">
        <f>HYPERLINK("https://www.youtube.com/watch?v=_ryJK294Psw", "Video")</f>
        <v/>
      </c>
      <c r="B8105" t="inlineStr">
        <is>
          <t>1:41</t>
        </is>
      </c>
      <c r="C8105" t="inlineStr">
        <is>
          <t>Our perception of what physics is
needs a bit of a shift.</t>
        </is>
      </c>
      <c r="D8105">
        <f>HYPERLINK("https://www.youtube.com/watch?v=_ryJK294Psw&amp;t=101s", "Go to time")</f>
        <v/>
      </c>
    </row>
    <row r="8106">
      <c r="A8106">
        <f>HYPERLINK("https://www.youtube.com/watch?v=_ryJK294Psw", "Video")</f>
        <v/>
      </c>
      <c r="B8106" t="inlineStr">
        <is>
          <t>1:44</t>
        </is>
      </c>
      <c r="C8106" t="inlineStr">
        <is>
          <t>Not only does it need a bit of a shift,</t>
        </is>
      </c>
      <c r="D8106">
        <f>HYPERLINK("https://www.youtube.com/watch?v=_ryJK294Psw&amp;t=104s", "Go to time")</f>
        <v/>
      </c>
    </row>
    <row r="8107">
      <c r="A8107">
        <f>HYPERLINK("https://www.youtube.com/watch?v=_ryJK294Psw", "Video")</f>
        <v/>
      </c>
      <c r="B8107" t="inlineStr">
        <is>
          <t>5:26</t>
        </is>
      </c>
      <c r="C8107" t="inlineStr">
        <is>
          <t>Fundamentally, this is the bit
that really matters to me</t>
        </is>
      </c>
      <c r="D8107">
        <f>HYPERLINK("https://www.youtube.com/watch?v=_ryJK294Psw&amp;t=326s", "Go to time")</f>
        <v/>
      </c>
    </row>
    <row r="8108">
      <c r="A8108">
        <f>HYPERLINK("https://www.youtube.com/watch?v=_ryJK294Psw", "Video")</f>
        <v/>
      </c>
      <c r="B8108" t="inlineStr">
        <is>
          <t>5:31</t>
        </is>
      </c>
      <c r="C8108" t="inlineStr">
        <is>
          <t>And this is the bit
that we don't talk about.</t>
        </is>
      </c>
      <c r="D8108">
        <f>HYPERLINK("https://www.youtube.com/watch?v=_ryJK294Psw&amp;t=331s", "Go to time")</f>
        <v/>
      </c>
    </row>
    <row r="8109">
      <c r="A8109">
        <f>HYPERLINK("https://www.youtube.com/watch?v=_ryJK294Psw", "Video")</f>
        <v/>
      </c>
      <c r="B8109" t="inlineStr">
        <is>
          <t>5:44</t>
        </is>
      </c>
      <c r="C8109" t="inlineStr">
        <is>
          <t>in this middle bit,</t>
        </is>
      </c>
      <c r="D8109">
        <f>HYPERLINK("https://www.youtube.com/watch?v=_ryJK294Psw&amp;t=344s", "Go to time")</f>
        <v/>
      </c>
    </row>
    <row r="8110">
      <c r="A8110">
        <f>HYPERLINK("https://www.youtube.com/watch?v=_ryJK294Psw", "Video")</f>
        <v/>
      </c>
      <c r="B8110" t="inlineStr">
        <is>
          <t>7:53</t>
        </is>
      </c>
      <c r="C8110" t="inlineStr">
        <is>
          <t>So this is the fun bit of physics,
that you learn these patterns</t>
        </is>
      </c>
      <c r="D8110">
        <f>HYPERLINK("https://www.youtube.com/watch?v=_ryJK294Psw&amp;t=473s", "Go to time")</f>
        <v/>
      </c>
    </row>
    <row r="8111">
      <c r="A8111">
        <f>HYPERLINK("https://www.youtube.com/watch?v=_ryJK294Psw", "Video")</f>
        <v/>
      </c>
      <c r="B8111" t="inlineStr">
        <is>
          <t>9:27</t>
        </is>
      </c>
      <c r="C8111" t="inlineStr">
        <is>
          <t>Once you've got a bit
of thermodynamics with the duck,</t>
        </is>
      </c>
      <c r="D8111">
        <f>HYPERLINK("https://www.youtube.com/watch?v=_ryJK294Psw&amp;t=567s", "Go to time")</f>
        <v/>
      </c>
    </row>
    <row r="8112">
      <c r="A8112">
        <f>HYPERLINK("https://www.youtube.com/watch?v=_ryJK294Psw", "Video")</f>
        <v/>
      </c>
      <c r="B8112" t="inlineStr">
        <is>
          <t>10:15</t>
        </is>
      </c>
      <c r="C8112" t="inlineStr">
        <is>
          <t>I had written a bit
about toast falling butter-side down.</t>
        </is>
      </c>
      <c r="D8112">
        <f>HYPERLINK("https://www.youtube.com/watch?v=_ryJK294Psw&amp;t=615s", "Go to time")</f>
        <v/>
      </c>
    </row>
    <row r="8113">
      <c r="A8113">
        <f>HYPERLINK("https://www.youtube.com/watch?v=_ryJK294Psw", "Video")</f>
        <v/>
      </c>
      <c r="B8113" t="inlineStr">
        <is>
          <t>10:39</t>
        </is>
      </c>
      <c r="C8113" t="inlineStr">
        <is>
          <t>And that was the good bit --
he doesn't have to.</t>
        </is>
      </c>
      <c r="D8113">
        <f>HYPERLINK("https://www.youtube.com/watch?v=_ryJK294Psw&amp;t=639s", "Go to time")</f>
        <v/>
      </c>
    </row>
    <row r="8114">
      <c r="A8114">
        <f>HYPERLINK("https://www.youtube.com/watch?v=_ryJK294Psw", "Video")</f>
        <v/>
      </c>
      <c r="B8114" t="inlineStr">
        <is>
          <t>14:18</t>
        </is>
      </c>
      <c r="C8114" t="inlineStr">
        <is>
          <t>that bit where your brain went,
"Oh, that's a bit odd,"</t>
        </is>
      </c>
      <c r="D8114">
        <f>HYPERLINK("https://www.youtube.com/watch?v=_ryJK294Psw&amp;t=858s", "Go to time")</f>
        <v/>
      </c>
    </row>
    <row r="8115">
      <c r="A8115">
        <f>HYPERLINK("https://www.youtube.com/watch?v=_ryJK294Psw", "Video")</f>
        <v/>
      </c>
      <c r="B8115" t="inlineStr">
        <is>
          <t>14:36</t>
        </is>
      </c>
      <c r="C8115" t="inlineStr">
        <is>
          <t>I know that sounds a little bit
like watching paint dry,</t>
        </is>
      </c>
      <c r="D8115">
        <f>HYPERLINK("https://www.youtube.com/watch?v=_ryJK294Psw&amp;t=876s", "Go to time")</f>
        <v/>
      </c>
    </row>
    <row r="8116">
      <c r="A8116">
        <f>HYPERLINK("https://www.youtube.com/watch?v=_ryJK294Psw", "Video")</f>
        <v/>
      </c>
      <c r="B8116" t="inlineStr">
        <is>
          <t>15:03</t>
        </is>
      </c>
      <c r="C8116" t="inlineStr">
        <is>
          <t>And if you're feeling really ambitious,</t>
        </is>
      </c>
      <c r="D8116">
        <f>HYPERLINK("https://www.youtube.com/watch?v=_ryJK294Psw&amp;t=903s", "Go to time")</f>
        <v/>
      </c>
    </row>
    <row r="8117">
      <c r="A8117">
        <f>HYPERLINK("https://www.youtube.com/watch?v=lR_WNPGVENU", "Video")</f>
        <v/>
      </c>
      <c r="B8117" t="inlineStr">
        <is>
          <t>5:21</t>
        </is>
      </c>
      <c r="C8117" t="inlineStr">
        <is>
          <t>generates a bit less
than two tons of carbon emissions.</t>
        </is>
      </c>
      <c r="D8117">
        <f>HYPERLINK("https://www.youtube.com/watch?v=lR_WNPGVENU&amp;t=321s", "Go to time")</f>
        <v/>
      </c>
    </row>
    <row r="8118">
      <c r="A8118">
        <f>HYPERLINK("https://www.youtube.com/watch?v=lR_WNPGVENU", "Video")</f>
        <v/>
      </c>
      <c r="B8118" t="inlineStr">
        <is>
          <t>5:26</t>
        </is>
      </c>
      <c r="C8118" t="inlineStr">
        <is>
          <t>In other countries, like China,
it's a bit more, so let's round to two.</t>
        </is>
      </c>
      <c r="D8118">
        <f>HYPERLINK("https://www.youtube.com/watch?v=lR_WNPGVENU&amp;t=326s", "Go to time")</f>
        <v/>
      </c>
    </row>
    <row r="8119">
      <c r="A8119">
        <f>HYPERLINK("https://www.youtube.com/watch?v=P_Z5MhlprRE", "Video")</f>
        <v/>
      </c>
      <c r="B8119" t="inlineStr">
        <is>
          <t>0:33</t>
        </is>
      </c>
      <c r="C8119" t="inlineStr">
        <is>
          <t>But maybe you could tell us
a little bit about your district</t>
        </is>
      </c>
      <c r="D8119">
        <f>HYPERLINK("https://www.youtube.com/watch?v=P_Z5MhlprRE&amp;t=33s", "Go to time")</f>
        <v/>
      </c>
    </row>
    <row r="8120">
      <c r="A8120">
        <f>HYPERLINK("https://www.youtube.com/watch?v=P_Z5MhlprRE", "Video")</f>
        <v/>
      </c>
      <c r="B8120" t="inlineStr">
        <is>
          <t>1:28</t>
        </is>
      </c>
      <c r="C8120" t="inlineStr">
        <is>
          <t>it's something I know a little bit about.</t>
        </is>
      </c>
      <c r="D8120">
        <f>HYPERLINK("https://www.youtube.com/watch?v=P_Z5MhlprRE&amp;t=88s", "Go to time")</f>
        <v/>
      </c>
    </row>
    <row r="8121">
      <c r="A8121">
        <f>HYPERLINK("https://www.youtube.com/watch?v=pVZzgzYZdCA", "Video")</f>
        <v/>
      </c>
      <c r="B8121" t="inlineStr">
        <is>
          <t>0:30</t>
        </is>
      </c>
      <c r="C8121" t="inlineStr">
        <is>
          <t>um about going down this rabbit hole</t>
        </is>
      </c>
      <c r="D8121">
        <f>HYPERLINK("https://www.youtube.com/watch?v=pVZzgzYZdCA&amp;t=30s", "Go to time")</f>
        <v/>
      </c>
    </row>
    <row r="8122">
      <c r="A8122">
        <f>HYPERLINK("https://www.youtube.com/watch?v=pVZzgzYZdCA", "Video")</f>
        <v/>
      </c>
      <c r="B8122" t="inlineStr">
        <is>
          <t>0:38</t>
        </is>
      </c>
      <c r="C8122" t="inlineStr">
        <is>
          <t>crypto rabbit hole</t>
        </is>
      </c>
      <c r="D8122">
        <f>HYPERLINK("https://www.youtube.com/watch?v=pVZzgzYZdCA&amp;t=38s", "Go to time")</f>
        <v/>
      </c>
    </row>
    <row r="8123">
      <c r="A8123">
        <f>HYPERLINK("https://www.youtube.com/watch?v=pVZzgzYZdCA", "Video")</f>
        <v/>
      </c>
      <c r="B8123" t="inlineStr">
        <is>
          <t>2:38</t>
        </is>
      </c>
      <c r="C8123" t="inlineStr">
        <is>
          <t>of a little bit more real time and</t>
        </is>
      </c>
      <c r="D8123">
        <f>HYPERLINK("https://www.youtube.com/watch?v=pVZzgzYZdCA&amp;t=158s", "Go to time")</f>
        <v/>
      </c>
    </row>
    <row r="8124">
      <c r="A8124">
        <f>HYPERLINK("https://www.youtube.com/watch?v=pVZzgzYZdCA", "Video")</f>
        <v/>
      </c>
      <c r="B8124" t="inlineStr">
        <is>
          <t>4:54</t>
        </is>
      </c>
      <c r="C8124" t="inlineStr">
        <is>
          <t>right now crypto has a little bit of a</t>
        </is>
      </c>
      <c r="D8124">
        <f>HYPERLINK("https://www.youtube.com/watch?v=pVZzgzYZdCA&amp;t=294s", "Go to time")</f>
        <v/>
      </c>
    </row>
    <row r="8125">
      <c r="A8125">
        <f>HYPERLINK("https://www.youtube.com/watch?v=pVZzgzYZdCA", "Video")</f>
        <v/>
      </c>
      <c r="B8125" t="inlineStr">
        <is>
          <t>5:17</t>
        </is>
      </c>
      <c r="C8125" t="inlineStr">
        <is>
          <t>asset was a currency which is Bitcoin</t>
        </is>
      </c>
      <c r="D8125">
        <f>HYPERLINK("https://www.youtube.com/watch?v=pVZzgzYZdCA&amp;t=317s", "Go to time")</f>
        <v/>
      </c>
    </row>
    <row r="8126">
      <c r="A8126">
        <f>HYPERLINK("https://www.youtube.com/watch?v=pVZzgzYZdCA", "Video")</f>
        <v/>
      </c>
      <c r="B8126" t="inlineStr">
        <is>
          <t>5:34</t>
        </is>
      </c>
      <c r="C8126" t="inlineStr">
        <is>
          <t>two most popular these one is Bitcoin</t>
        </is>
      </c>
      <c r="D8126">
        <f>HYPERLINK("https://www.youtube.com/watch?v=pVZzgzYZdCA&amp;t=334s", "Go to time")</f>
        <v/>
      </c>
    </row>
    <row r="8127">
      <c r="A8127">
        <f>HYPERLINK("https://www.youtube.com/watch?v=pVZzgzYZdCA", "Video")</f>
        <v/>
      </c>
      <c r="B8127" t="inlineStr">
        <is>
          <t>5:37</t>
        </is>
      </c>
      <c r="C8127" t="inlineStr">
        <is>
          <t>so with Bitcoin as we just mentioned it</t>
        </is>
      </c>
      <c r="D8127">
        <f>HYPERLINK("https://www.youtube.com/watch?v=pVZzgzYZdCA&amp;t=337s", "Go to time")</f>
        <v/>
      </c>
    </row>
    <row r="8128">
      <c r="A8128">
        <f>HYPERLINK("https://www.youtube.com/watch?v=pVZzgzYZdCA", "Video")</f>
        <v/>
      </c>
      <c r="B8128" t="inlineStr">
        <is>
          <t>5:51</t>
        </is>
      </c>
      <c r="C8128" t="inlineStr">
        <is>
          <t>named Bitcoin first the network the</t>
        </is>
      </c>
      <c r="D8128">
        <f>HYPERLINK("https://www.youtube.com/watch?v=pVZzgzYZdCA&amp;t=351s", "Go to time")</f>
        <v/>
      </c>
    </row>
    <row r="8129">
      <c r="A8129">
        <f>HYPERLINK("https://www.youtube.com/watch?v=pVZzgzYZdCA", "Video")</f>
        <v/>
      </c>
      <c r="B8129" t="inlineStr">
        <is>
          <t>5:55</t>
        </is>
      </c>
      <c r="C8129" t="inlineStr">
        <is>
          <t>blockchain is Bitcoin with a capital B</t>
        </is>
      </c>
      <c r="D8129">
        <f>HYPERLINK("https://www.youtube.com/watch?v=pVZzgzYZdCA&amp;t=355s", "Go to time")</f>
        <v/>
      </c>
    </row>
    <row r="8130">
      <c r="A8130">
        <f>HYPERLINK("https://www.youtube.com/watch?v=pVZzgzYZdCA", "Video")</f>
        <v/>
      </c>
      <c r="B8130" t="inlineStr">
        <is>
          <t>6:03</t>
        </is>
      </c>
      <c r="C8130" t="inlineStr">
        <is>
          <t>to see all the Bitcoin transactions</t>
        </is>
      </c>
      <c r="D8130">
        <f>HYPERLINK("https://www.youtube.com/watch?v=pVZzgzYZdCA&amp;t=363s", "Go to time")</f>
        <v/>
      </c>
    </row>
    <row r="8131">
      <c r="A8131">
        <f>HYPERLINK("https://www.youtube.com/watch?v=pVZzgzYZdCA", "Video")</f>
        <v/>
      </c>
      <c r="B8131" t="inlineStr">
        <is>
          <t>6:05</t>
        </is>
      </c>
      <c r="C8131" t="inlineStr">
        <is>
          <t>since the moment that the Bitcoin</t>
        </is>
      </c>
      <c r="D8131">
        <f>HYPERLINK("https://www.youtube.com/watch?v=pVZzgzYZdCA&amp;t=365s", "Go to time")</f>
        <v/>
      </c>
    </row>
    <row r="8132">
      <c r="A8132">
        <f>HYPERLINK("https://www.youtube.com/watch?v=pVZzgzYZdCA", "Video")</f>
        <v/>
      </c>
      <c r="B8132" t="inlineStr">
        <is>
          <t>6:09</t>
        </is>
      </c>
      <c r="C8132" t="inlineStr">
        <is>
          <t>and the uh Bitcoin with a lowercase b is</t>
        </is>
      </c>
      <c r="D8132">
        <f>HYPERLINK("https://www.youtube.com/watch?v=pVZzgzYZdCA&amp;t=369s", "Go to time")</f>
        <v/>
      </c>
    </row>
    <row r="8133">
      <c r="A8133">
        <f>HYPERLINK("https://www.youtube.com/watch?v=pVZzgzYZdCA", "Video")</f>
        <v/>
      </c>
      <c r="B8133" t="inlineStr">
        <is>
          <t>6:14</t>
        </is>
      </c>
      <c r="C8133" t="inlineStr">
        <is>
          <t>Bitcoin the asset which is that currency</t>
        </is>
      </c>
      <c r="D8133">
        <f>HYPERLINK("https://www.youtube.com/watch?v=pVZzgzYZdCA&amp;t=374s", "Go to time")</f>
        <v/>
      </c>
    </row>
    <row r="8134">
      <c r="A8134">
        <f>HYPERLINK("https://www.youtube.com/watch?v=pVZzgzYZdCA", "Video")</f>
        <v/>
      </c>
      <c r="B8134" t="inlineStr">
        <is>
          <t>6:17</t>
        </is>
      </c>
      <c r="C8134" t="inlineStr">
        <is>
          <t>and when you look at the um Bitcoin</t>
        </is>
      </c>
      <c r="D8134">
        <f>HYPERLINK("https://www.youtube.com/watch?v=pVZzgzYZdCA&amp;t=377s", "Go to time")</f>
        <v/>
      </c>
    </row>
    <row r="8135">
      <c r="A8135">
        <f>HYPERLINK("https://www.youtube.com/watch?v=pVZzgzYZdCA", "Video")</f>
        <v/>
      </c>
      <c r="B8135" t="inlineStr">
        <is>
          <t>6:25</t>
        </is>
      </c>
      <c r="C8135" t="inlineStr">
        <is>
          <t>Bitcoin as just those coins you know</t>
        </is>
      </c>
      <c r="D8135">
        <f>HYPERLINK("https://www.youtube.com/watch?v=pVZzgzYZdCA&amp;t=385s", "Go to time")</f>
        <v/>
      </c>
    </row>
    <row r="8136">
      <c r="A8136">
        <f>HYPERLINK("https://www.youtube.com/watch?v=pVZzgzYZdCA", "Video")</f>
        <v/>
      </c>
      <c r="B8136" t="inlineStr">
        <is>
          <t>6:29</t>
        </is>
      </c>
      <c r="C8136" t="inlineStr">
        <is>
          <t>but actually the subtitle of the Bitcoin</t>
        </is>
      </c>
      <c r="D8136">
        <f>HYPERLINK("https://www.youtube.com/watch?v=pVZzgzYZdCA&amp;t=389s", "Go to time")</f>
        <v/>
      </c>
    </row>
    <row r="8137">
      <c r="A8137">
        <f>HYPERLINK("https://www.youtube.com/watch?v=pVZzgzYZdCA", "Video")</f>
        <v/>
      </c>
      <c r="B8137" t="inlineStr">
        <is>
          <t>6:41</t>
        </is>
      </c>
      <c r="C8137" t="inlineStr">
        <is>
          <t>um that's really referring to bitcoin</t>
        </is>
      </c>
      <c r="D8137">
        <f>HYPERLINK("https://www.youtube.com/watch?v=pVZzgzYZdCA&amp;t=401s", "Go to time")</f>
        <v/>
      </c>
    </row>
    <row r="8138">
      <c r="A8138">
        <f>HYPERLINK("https://www.youtube.com/watch?v=pVZzgzYZdCA", "Video")</f>
        <v/>
      </c>
      <c r="B8138" t="inlineStr">
        <is>
          <t>6:43</t>
        </is>
      </c>
      <c r="C8138" t="inlineStr">
        <is>
          <t>the blockchain or Bitcoin the network</t>
        </is>
      </c>
      <c r="D8138">
        <f>HYPERLINK("https://www.youtube.com/watch?v=pVZzgzYZdCA&amp;t=403s", "Go to time")</f>
        <v/>
      </c>
    </row>
    <row r="8139">
      <c r="A8139">
        <f>HYPERLINK("https://www.youtube.com/watch?v=pVZzgzYZdCA", "Video")</f>
        <v/>
      </c>
      <c r="B8139" t="inlineStr">
        <is>
          <t>6:49</t>
        </is>
      </c>
      <c r="C8139" t="inlineStr">
        <is>
          <t>little bit easier to to uh to make this</t>
        </is>
      </c>
      <c r="D8139">
        <f>HYPERLINK("https://www.youtube.com/watch?v=pVZzgzYZdCA&amp;t=409s", "Go to time")</f>
        <v/>
      </c>
    </row>
    <row r="8140">
      <c r="A8140">
        <f>HYPERLINK("https://www.youtube.com/watch?v=pVZzgzYZdCA", "Video")</f>
        <v/>
      </c>
      <c r="B8140" t="inlineStr">
        <is>
          <t>6:58</t>
        </is>
      </c>
      <c r="C8140" t="inlineStr">
        <is>
          <t>now to go into why it is that Bitcoin is</t>
        </is>
      </c>
      <c r="D8140">
        <f>HYPERLINK("https://www.youtube.com/watch?v=pVZzgzYZdCA&amp;t=418s", "Go to time")</f>
        <v/>
      </c>
    </row>
    <row r="8141">
      <c r="A8141">
        <f>HYPERLINK("https://www.youtube.com/watch?v=pVZzgzYZdCA", "Video")</f>
        <v/>
      </c>
      <c r="B8141" t="inlineStr">
        <is>
          <t>7:07</t>
        </is>
      </c>
      <c r="C8141" t="inlineStr">
        <is>
          <t>Bitcoin is designed as</t>
        </is>
      </c>
      <c r="D8141">
        <f>HYPERLINK("https://www.youtube.com/watch?v=pVZzgzYZdCA&amp;t=427s", "Go to time")</f>
        <v/>
      </c>
    </row>
    <row r="8142">
      <c r="A8142">
        <f>HYPERLINK("https://www.youtube.com/watch?v=pVZzgzYZdCA", "Video")</f>
        <v/>
      </c>
      <c r="B8142" t="inlineStr">
        <is>
          <t>7:38</t>
        </is>
      </c>
      <c r="C8142" t="inlineStr">
        <is>
          <t>people probably use Bitcoin more as a</t>
        </is>
      </c>
      <c r="D8142">
        <f>HYPERLINK("https://www.youtube.com/watch?v=pVZzgzYZdCA&amp;t=458s", "Go to time")</f>
        <v/>
      </c>
    </row>
    <row r="8143">
      <c r="A8143">
        <f>HYPERLINK("https://www.youtube.com/watch?v=pVZzgzYZdCA", "Video")</f>
        <v/>
      </c>
      <c r="B8143" t="inlineStr">
        <is>
          <t>7:57</t>
        </is>
      </c>
      <c r="C8143" t="inlineStr">
        <is>
          <t>the Bitcoins but he posted on Reddit or</t>
        </is>
      </c>
      <c r="D8143">
        <f>HYPERLINK("https://www.youtube.com/watch?v=pVZzgzYZdCA&amp;t=477s", "Go to time")</f>
        <v/>
      </c>
    </row>
    <row r="8144">
      <c r="A8144">
        <f>HYPERLINK("https://www.youtube.com/watch?v=pVZzgzYZdCA", "Video")</f>
        <v/>
      </c>
      <c r="B8144" t="inlineStr">
        <is>
          <t>8:02</t>
        </is>
      </c>
      <c r="C8144" t="inlineStr">
        <is>
          <t>would use Bitcoins to buy me a pizza and</t>
        </is>
      </c>
      <c r="D8144">
        <f>HYPERLINK("https://www.youtube.com/watch?v=pVZzgzYZdCA&amp;t=482s", "Go to time")</f>
        <v/>
      </c>
    </row>
    <row r="8145">
      <c r="A8145">
        <f>HYPERLINK("https://www.youtube.com/watch?v=pVZzgzYZdCA", "Video")</f>
        <v/>
      </c>
      <c r="B8145" t="inlineStr">
        <is>
          <t>8:10</t>
        </is>
      </c>
      <c r="C8145" t="inlineStr">
        <is>
          <t>want to pay someone Bitcoins to get a</t>
        </is>
      </c>
      <c r="D8145">
        <f>HYPERLINK("https://www.youtube.com/watch?v=pVZzgzYZdCA&amp;t=490s", "Go to time")</f>
        <v/>
      </c>
    </row>
    <row r="8146">
      <c r="A8146">
        <f>HYPERLINK("https://www.youtube.com/watch?v=pVZzgzYZdCA", "Video")</f>
        <v/>
      </c>
      <c r="B8146" t="inlineStr">
        <is>
          <t>8:12</t>
        </is>
      </c>
      <c r="C8146" t="inlineStr">
        <is>
          <t>pizza so he spent 10 10 000 Bitcoins to</t>
        </is>
      </c>
      <c r="D8146">
        <f>HYPERLINK("https://www.youtube.com/watch?v=pVZzgzYZdCA&amp;t=492s", "Go to time")</f>
        <v/>
      </c>
    </row>
    <row r="8147">
      <c r="A8147">
        <f>HYPERLINK("https://www.youtube.com/watch?v=pVZzgzYZdCA", "Video")</f>
        <v/>
      </c>
      <c r="B8147" t="inlineStr">
        <is>
          <t>8:19</t>
        </is>
      </c>
      <c r="C8147" t="inlineStr">
        <is>
          <t>pizzas in history 10 000 Bitcoin</t>
        </is>
      </c>
      <c r="D8147">
        <f>HYPERLINK("https://www.youtube.com/watch?v=pVZzgzYZdCA&amp;t=499s", "Go to time")</f>
        <v/>
      </c>
    </row>
    <row r="8148">
      <c r="A8148">
        <f>HYPERLINK("https://www.youtube.com/watch?v=pVZzgzYZdCA", "Video")</f>
        <v/>
      </c>
      <c r="B8148" t="inlineStr">
        <is>
          <t>11:08</t>
        </is>
      </c>
      <c r="C8148" t="inlineStr">
        <is>
          <t>2016 called bitfinex and that story was</t>
        </is>
      </c>
      <c r="D8148">
        <f>HYPERLINK("https://www.youtube.com/watch?v=pVZzgzYZdCA&amp;t=668s", "Go to time")</f>
        <v/>
      </c>
    </row>
    <row r="8149">
      <c r="A8149">
        <f>HYPERLINK("https://www.youtube.com/watch?v=pVZzgzYZdCA", "Video")</f>
        <v/>
      </c>
      <c r="B8149" t="inlineStr">
        <is>
          <t>11:35</t>
        </is>
      </c>
      <c r="C8149" t="inlineStr">
        <is>
          <t>you know uh Bitcoin was designed as</t>
        </is>
      </c>
      <c r="D8149">
        <f>HYPERLINK("https://www.youtube.com/watch?v=pVZzgzYZdCA&amp;t=695s", "Go to time")</f>
        <v/>
      </c>
    </row>
    <row r="8150">
      <c r="A8150">
        <f>HYPERLINK("https://www.youtube.com/watch?v=pVZzgzYZdCA", "Video")</f>
        <v/>
      </c>
      <c r="B8150" t="inlineStr">
        <is>
          <t>12:26</t>
        </is>
      </c>
      <c r="C8150" t="inlineStr">
        <is>
          <t>they're a little bit they just want to</t>
        </is>
      </c>
      <c r="D8150">
        <f>HYPERLINK("https://www.youtube.com/watch?v=pVZzgzYZdCA&amp;t=746s", "Go to time")</f>
        <v/>
      </c>
    </row>
    <row r="8151">
      <c r="A8151">
        <f>HYPERLINK("https://www.youtube.com/watch?v=pVZzgzYZdCA", "Video")</f>
        <v/>
      </c>
      <c r="B8151" t="inlineStr">
        <is>
          <t>20:35</t>
        </is>
      </c>
      <c r="C8151" t="inlineStr">
        <is>
          <t>Uber you know regulatory Arbitrage type</t>
        </is>
      </c>
      <c r="D8151">
        <f>HYPERLINK("https://www.youtube.com/watch?v=pVZzgzYZdCA&amp;t=1235s", "Go to time")</f>
        <v/>
      </c>
    </row>
    <row r="8152">
      <c r="A8152">
        <f>HYPERLINK("https://www.youtube.com/watch?v=pVZzgzYZdCA", "Video")</f>
        <v/>
      </c>
      <c r="B8152" t="inlineStr">
        <is>
          <t>22:21</t>
        </is>
      </c>
      <c r="C8152" t="inlineStr">
        <is>
          <t>like a little bit there's a little bit</t>
        </is>
      </c>
      <c r="D8152">
        <f>HYPERLINK("https://www.youtube.com/watch?v=pVZzgzYZdCA&amp;t=1341s", "Go to time")</f>
        <v/>
      </c>
    </row>
    <row r="8153">
      <c r="A8153">
        <f>HYPERLINK("https://www.youtube.com/watch?v=pVZzgzYZdCA", "Video")</f>
        <v/>
      </c>
      <c r="B8153" t="inlineStr">
        <is>
          <t>23:00</t>
        </is>
      </c>
      <c r="C8153" t="inlineStr">
        <is>
          <t>situation would would at least put a bit</t>
        </is>
      </c>
      <c r="D8153">
        <f>HYPERLINK("https://www.youtube.com/watch?v=pVZzgzYZdCA&amp;t=1380s", "Go to time")</f>
        <v/>
      </c>
    </row>
    <row r="8154">
      <c r="A8154">
        <f>HYPERLINK("https://www.youtube.com/watch?v=pVZzgzYZdCA", "Video")</f>
        <v/>
      </c>
      <c r="B8154" t="inlineStr">
        <is>
          <t>23:23</t>
        </is>
      </c>
      <c r="C8154" t="inlineStr">
        <is>
          <t>bits I wanted to get into kind of</t>
        </is>
      </c>
      <c r="D8154">
        <f>HYPERLINK("https://www.youtube.com/watch?v=pVZzgzYZdCA&amp;t=1403s", "Go to time")</f>
        <v/>
      </c>
    </row>
    <row r="8155">
      <c r="A8155">
        <f>HYPERLINK("https://www.youtube.com/watch?v=pVZzgzYZdCA", "Video")</f>
        <v/>
      </c>
      <c r="B8155" t="inlineStr">
        <is>
          <t>23:27</t>
        </is>
      </c>
      <c r="C8155" t="inlineStr">
        <is>
          <t>um so I'll talk a little bit about ether</t>
        </is>
      </c>
      <c r="D8155">
        <f>HYPERLINK("https://www.youtube.com/watch?v=pVZzgzYZdCA&amp;t=1407s", "Go to time")</f>
        <v/>
      </c>
    </row>
    <row r="8156">
      <c r="A8156">
        <f>HYPERLINK("https://www.youtube.com/watch?v=pVZzgzYZdCA", "Video")</f>
        <v/>
      </c>
      <c r="B8156" t="inlineStr">
        <is>
          <t>23:39</t>
        </is>
      </c>
      <c r="C8156" t="inlineStr">
        <is>
          <t>Bitcoin of ether of ethereum is and</t>
        </is>
      </c>
      <c r="D8156">
        <f>HYPERLINK("https://www.youtube.com/watch?v=pVZzgzYZdCA&amp;t=1419s", "Go to time")</f>
        <v/>
      </c>
    </row>
    <row r="8157">
      <c r="A8157">
        <f>HYPERLINK("https://www.youtube.com/watch?v=pVZzgzYZdCA", "Video")</f>
        <v/>
      </c>
      <c r="B8157" t="inlineStr">
        <is>
          <t>23:41</t>
        </is>
      </c>
      <c r="C8157" t="inlineStr">
        <is>
          <t>through that we can talk a little bit</t>
        </is>
      </c>
      <c r="D8157">
        <f>HYPERLINK("https://www.youtube.com/watch?v=pVZzgzYZdCA&amp;t=1421s", "Go to time")</f>
        <v/>
      </c>
    </row>
    <row r="8158">
      <c r="A8158">
        <f>HYPERLINK("https://www.youtube.com/watch?v=pVZzgzYZdCA", "Video")</f>
        <v/>
      </c>
      <c r="B8158" t="inlineStr">
        <is>
          <t>23:48</t>
        </is>
      </c>
      <c r="C8158" t="inlineStr">
        <is>
          <t>Bitcoin started as this cryptocurrency</t>
        </is>
      </c>
      <c r="D8158">
        <f>HYPERLINK("https://www.youtube.com/watch?v=pVZzgzYZdCA&amp;t=1428s", "Go to time")</f>
        <v/>
      </c>
    </row>
    <row r="8159">
      <c r="A8159">
        <f>HYPERLINK("https://www.youtube.com/watch?v=pVZzgzYZdCA", "Video")</f>
        <v/>
      </c>
      <c r="B8159" t="inlineStr">
        <is>
          <t>24:03</t>
        </is>
      </c>
      <c r="C8159" t="inlineStr">
        <is>
          <t>Bitcoin has</t>
        </is>
      </c>
      <c r="D8159">
        <f>HYPERLINK("https://www.youtube.com/watch?v=pVZzgzYZdCA&amp;t=1443s", "Go to time")</f>
        <v/>
      </c>
    </row>
    <row r="8160">
      <c r="A8160">
        <f>HYPERLINK("https://www.youtube.com/watch?v=pVZzgzYZdCA", "Video")</f>
        <v/>
      </c>
      <c r="B8160" t="inlineStr">
        <is>
          <t>24:44</t>
        </is>
      </c>
      <c r="C8160" t="inlineStr">
        <is>
          <t>Innovation with Bitcoin is that it's</t>
        </is>
      </c>
      <c r="D8160">
        <f>HYPERLINK("https://www.youtube.com/watch?v=pVZzgzYZdCA&amp;t=1484s", "Go to time")</f>
        <v/>
      </c>
    </row>
    <row r="8161">
      <c r="A8161">
        <f>HYPERLINK("https://www.youtube.com/watch?v=pVZzgzYZdCA", "Video")</f>
        <v/>
      </c>
      <c r="B8161" t="inlineStr">
        <is>
          <t>25:10</t>
        </is>
      </c>
      <c r="C8161" t="inlineStr">
        <is>
          <t>with Bitcoin this is something that's</t>
        </is>
      </c>
      <c r="D8161">
        <f>HYPERLINK("https://www.youtube.com/watch?v=pVZzgzYZdCA&amp;t=1510s", "Go to time")</f>
        <v/>
      </c>
    </row>
    <row r="8162">
      <c r="A8162">
        <f>HYPERLINK("https://www.youtube.com/watch?v=pVZzgzYZdCA", "Video")</f>
        <v/>
      </c>
      <c r="B8162" t="inlineStr">
        <is>
          <t>25:40</t>
        </is>
      </c>
      <c r="C8162" t="inlineStr">
        <is>
          <t>so Bitcoin mining is a process by which</t>
        </is>
      </c>
      <c r="D8162">
        <f>HYPERLINK("https://www.youtube.com/watch?v=pVZzgzYZdCA&amp;t=1540s", "Go to time")</f>
        <v/>
      </c>
    </row>
    <row r="8163">
      <c r="A8163">
        <f>HYPERLINK("https://www.youtube.com/watch?v=pVZzgzYZdCA", "Video")</f>
        <v/>
      </c>
      <c r="B8163" t="inlineStr">
        <is>
          <t>26:04</t>
        </is>
      </c>
      <c r="C8163" t="inlineStr">
        <is>
          <t>Bitcoin blockchain it makes it harder to</t>
        </is>
      </c>
      <c r="D8163">
        <f>HYPERLINK("https://www.youtube.com/watch?v=pVZzgzYZdCA&amp;t=1564s", "Go to time")</f>
        <v/>
      </c>
    </row>
    <row r="8164">
      <c r="A8164">
        <f>HYPERLINK("https://www.youtube.com/watch?v=pVZzgzYZdCA", "Video")</f>
        <v/>
      </c>
      <c r="B8164" t="inlineStr">
        <is>
          <t>26:57</t>
        </is>
      </c>
      <c r="C8164" t="inlineStr">
        <is>
          <t>instead of only having Bitcoin you know</t>
        </is>
      </c>
      <c r="D8164">
        <f>HYPERLINK("https://www.youtube.com/watch?v=pVZzgzYZdCA&amp;t=1617s", "Go to time")</f>
        <v/>
      </c>
    </row>
    <row r="8165">
      <c r="A8165">
        <f>HYPERLINK("https://www.youtube.com/watch?v=pVZzgzYZdCA", "Video")</f>
        <v/>
      </c>
      <c r="B8165" t="inlineStr">
        <is>
          <t>27:00</t>
        </is>
      </c>
      <c r="C8165" t="inlineStr">
        <is>
          <t>Bitcoin is um it's only like I said</t>
        </is>
      </c>
      <c r="D8165">
        <f>HYPERLINK("https://www.youtube.com/watch?v=pVZzgzYZdCA&amp;t=1620s", "Go to time")</f>
        <v/>
      </c>
    </row>
    <row r="8166">
      <c r="A8166">
        <f>HYPERLINK("https://www.youtube.com/watch?v=pVZzgzYZdCA", "Video")</f>
        <v/>
      </c>
      <c r="B8166" t="inlineStr">
        <is>
          <t>30:55</t>
        </is>
      </c>
      <c r="C8166" t="inlineStr">
        <is>
          <t>and Bitcoin and nfts</t>
        </is>
      </c>
      <c r="D8166">
        <f>HYPERLINK("https://www.youtube.com/watch?v=pVZzgzYZdCA&amp;t=1855s", "Go to time")</f>
        <v/>
      </c>
    </row>
    <row r="8167">
      <c r="A8167">
        <f>HYPERLINK("https://www.youtube.com/watch?v=pVZzgzYZdCA", "Video")</f>
        <v/>
      </c>
      <c r="B8167" t="inlineStr">
        <is>
          <t>34:21</t>
        </is>
      </c>
      <c r="C8167" t="inlineStr">
        <is>
          <t>yeah something that's a little bit</t>
        </is>
      </c>
      <c r="D8167">
        <f>HYPERLINK("https://www.youtube.com/watch?v=pVZzgzYZdCA&amp;t=2061s", "Go to time")</f>
        <v/>
      </c>
    </row>
    <row r="8168">
      <c r="A8168">
        <f>HYPERLINK("https://www.youtube.com/watch?v=pVZzgzYZdCA", "Video")</f>
        <v/>
      </c>
      <c r="B8168" t="inlineStr">
        <is>
          <t>35:31</t>
        </is>
      </c>
      <c r="C8168" t="inlineStr">
        <is>
          <t>that Bitcoin was actually born out of</t>
        </is>
      </c>
      <c r="D8168">
        <f>HYPERLINK("https://www.youtube.com/watch?v=pVZzgzYZdCA&amp;t=2131s", "Go to time")</f>
        <v/>
      </c>
    </row>
    <row r="8169">
      <c r="A8169">
        <f>HYPERLINK("https://www.youtube.com/watch?v=pVZzgzYZdCA", "Video")</f>
        <v/>
      </c>
      <c r="B8169" t="inlineStr">
        <is>
          <t>35:38</t>
        </is>
      </c>
      <c r="C8169" t="inlineStr">
        <is>
          <t>Bitcoin blockchain he wrote a message</t>
        </is>
      </c>
      <c r="D8169">
        <f>HYPERLINK("https://www.youtube.com/watch?v=pVZzgzYZdCA&amp;t=2138s", "Go to time")</f>
        <v/>
      </c>
    </row>
    <row r="8170">
      <c r="A8170">
        <f>HYPERLINK("https://www.youtube.com/watch?v=pVZzgzYZdCA", "Video")</f>
        <v/>
      </c>
      <c r="B8170" t="inlineStr">
        <is>
          <t>41:03</t>
        </is>
      </c>
      <c r="C8170" t="inlineStr">
        <is>
          <t>attention to the Bitcoin price in</t>
        </is>
      </c>
      <c r="D8170">
        <f>HYPERLINK("https://www.youtube.com/watch?v=pVZzgzYZdCA&amp;t=2463s", "Go to time")</f>
        <v/>
      </c>
    </row>
    <row r="8171">
      <c r="A8171">
        <f>HYPERLINK("https://www.youtube.com/watch?v=pVZzgzYZdCA", "Video")</f>
        <v/>
      </c>
      <c r="B8171" t="inlineStr">
        <is>
          <t>41:19</t>
        </is>
      </c>
      <c r="C8171" t="inlineStr">
        <is>
          <t>it's a little bit different</t>
        </is>
      </c>
      <c r="D8171">
        <f>HYPERLINK("https://www.youtube.com/watch?v=pVZzgzYZdCA&amp;t=2479s", "Go to time")</f>
        <v/>
      </c>
    </row>
    <row r="8172">
      <c r="A8172">
        <f>HYPERLINK("https://www.youtube.com/watch?v=pVZzgzYZdCA", "Video")</f>
        <v/>
      </c>
      <c r="B8172" t="inlineStr">
        <is>
          <t>42:14</t>
        </is>
      </c>
      <c r="C8172" t="inlineStr">
        <is>
          <t>disappear and where it's Bitcoin to ease</t>
        </is>
      </c>
      <c r="D8172">
        <f>HYPERLINK("https://www.youtube.com/watch?v=pVZzgzYZdCA&amp;t=2534s", "Go to time")</f>
        <v/>
      </c>
    </row>
    <row r="8173">
      <c r="A8173">
        <f>HYPERLINK("https://www.youtube.com/watch?v=pVZzgzYZdCA", "Video")</f>
        <v/>
      </c>
      <c r="B8173" t="inlineStr">
        <is>
          <t>42:17</t>
        </is>
      </c>
      <c r="C8173" t="inlineStr">
        <is>
          <t>or Bitcoin to Solana and there's like 10</t>
        </is>
      </c>
      <c r="D8173">
        <f>HYPERLINK("https://www.youtube.com/watch?v=pVZzgzYZdCA&amp;t=2537s", "Go to time")</f>
        <v/>
      </c>
    </row>
    <row r="8174">
      <c r="A8174">
        <f>HYPERLINK("https://www.youtube.com/watch?v=pVZzgzYZdCA", "Video")</f>
        <v/>
      </c>
      <c r="B8174" t="inlineStr">
        <is>
          <t>44:49</t>
        </is>
      </c>
      <c r="C8174" t="inlineStr">
        <is>
          <t>ether and stable coins and Bitcoin or</t>
        </is>
      </c>
      <c r="D8174">
        <f>HYPERLINK("https://www.youtube.com/watch?v=pVZzgzYZdCA&amp;t=2689s", "Go to time")</f>
        <v/>
      </c>
    </row>
    <row r="8175">
      <c r="A8175">
        <f>HYPERLINK("https://www.youtube.com/watch?v=pVZzgzYZdCA", "Video")</f>
        <v/>
      </c>
      <c r="B8175" t="inlineStr">
        <is>
          <t>45:55</t>
        </is>
      </c>
      <c r="C8175" t="inlineStr">
        <is>
          <t>a stable coin is versus you know Bitcoin</t>
        </is>
      </c>
      <c r="D8175">
        <f>HYPERLINK("https://www.youtube.com/watch?v=pVZzgzYZdCA&amp;t=2755s", "Go to time")</f>
        <v/>
      </c>
    </row>
    <row r="8176">
      <c r="A8176">
        <f>HYPERLINK("https://www.youtube.com/watch?v=pVZzgzYZdCA", "Video")</f>
        <v/>
      </c>
      <c r="B8176" t="inlineStr">
        <is>
          <t>47:42</t>
        </is>
      </c>
      <c r="C8176" t="inlineStr">
        <is>
          <t>millions of dollars worth of bitcoin on</t>
        </is>
      </c>
      <c r="D8176">
        <f>HYPERLINK("https://www.youtube.com/watch?v=pVZzgzYZdCA&amp;t=2862s", "Go to time")</f>
        <v/>
      </c>
    </row>
    <row r="8177">
      <c r="A8177">
        <f>HYPERLINK("https://www.youtube.com/watch?v=pVZzgzYZdCA", "Video")</f>
        <v/>
      </c>
      <c r="B8177" t="inlineStr">
        <is>
          <t>48:04</t>
        </is>
      </c>
      <c r="C8177" t="inlineStr">
        <is>
          <t>worth of bitcoin so when you decide how</t>
        </is>
      </c>
      <c r="D8177">
        <f>HYPERLINK("https://www.youtube.com/watch?v=pVZzgzYZdCA&amp;t=2884s", "Go to time")</f>
        <v/>
      </c>
    </row>
    <row r="8178">
      <c r="A8178">
        <f>HYPERLINK("https://www.youtube.com/watch?v=6wNif5SlN08", "Video")</f>
        <v/>
      </c>
      <c r="B8178" t="inlineStr">
        <is>
          <t>9:43</t>
        </is>
      </c>
      <c r="C8178" t="inlineStr">
        <is>
          <t>and perhaps maybe a little bit reassured,</t>
        </is>
      </c>
      <c r="D8178">
        <f>HYPERLINK("https://www.youtube.com/watch?v=6wNif5SlN08&amp;t=583s", "Go to time")</f>
        <v/>
      </c>
    </row>
    <row r="8179">
      <c r="A8179">
        <f>HYPERLINK("https://www.youtube.com/watch?v=7G4WI4oTC5A", "Video")</f>
        <v/>
      </c>
      <c r="B8179" t="inlineStr">
        <is>
          <t>4:32</t>
        </is>
      </c>
      <c r="C8179" t="inlineStr">
        <is>
          <t>Or if you're a little bit older,
"Fantastic Voyage," right?</t>
        </is>
      </c>
      <c r="D8179">
        <f>HYPERLINK("https://www.youtube.com/watch?v=7G4WI4oTC5A&amp;t=272s", "Go to time")</f>
        <v/>
      </c>
    </row>
    <row r="8180">
      <c r="A8180">
        <f>HYPERLINK("https://www.youtube.com/watch?v=7G4WI4oTC5A", "Video")</f>
        <v/>
      </c>
      <c r="B8180" t="inlineStr">
        <is>
          <t>6:32</t>
        </is>
      </c>
      <c r="C8180" t="inlineStr">
        <is>
          <t>you'll get a little bit of material,</t>
        </is>
      </c>
      <c r="D8180">
        <f>HYPERLINK("https://www.youtube.com/watch?v=7G4WI4oTC5A&amp;t=392s", "Go to time")</f>
        <v/>
      </c>
    </row>
    <row r="8181">
      <c r="A8181">
        <f>HYPERLINK("https://www.youtube.com/watch?v=7G4WI4oTC5A", "Video")</f>
        <v/>
      </c>
      <c r="B8181" t="inlineStr">
        <is>
          <t>7:23</t>
        </is>
      </c>
      <c r="C8181" t="inlineStr">
        <is>
          <t>In this case, we took a bit of a glue
and glued together two pieces of metal.</t>
        </is>
      </c>
      <c r="D8181">
        <f>HYPERLINK("https://www.youtube.com/watch?v=7G4WI4oTC5A&amp;t=443s", "Go to time")</f>
        <v/>
      </c>
    </row>
    <row r="8182">
      <c r="A8182">
        <f>HYPERLINK("https://www.youtube.com/watch?v=fc3c3OrpKSI", "Video")</f>
        <v/>
      </c>
      <c r="B8182" t="inlineStr">
        <is>
          <t>6:28</t>
        </is>
      </c>
      <c r="C8182" t="inlineStr">
        <is>
          <t>Now, habit change is hard.</t>
        </is>
      </c>
      <c r="D8182">
        <f>HYPERLINK("https://www.youtube.com/watch?v=fc3c3OrpKSI&amp;t=388s", "Go to time")</f>
        <v/>
      </c>
    </row>
    <row r="8183">
      <c r="A8183">
        <f>HYPERLINK("https://www.youtube.com/watch?v=fc3c3OrpKSI", "Video")</f>
        <v/>
      </c>
      <c r="B8183" t="inlineStr">
        <is>
          <t>6:35</t>
        </is>
      </c>
      <c r="C8183" t="inlineStr">
        <is>
          <t>and real consistency
to make the new habits stick.</t>
        </is>
      </c>
      <c r="D8183">
        <f>HYPERLINK("https://www.youtube.com/watch?v=fc3c3OrpKSI&amp;t=395s", "Go to time")</f>
        <v/>
      </c>
    </row>
    <row r="8184">
      <c r="A8184">
        <f>HYPERLINK("https://www.youtube.com/watch?v=2LC4YFenynI", "Video")</f>
        <v/>
      </c>
      <c r="B8184" t="inlineStr">
        <is>
          <t>4:52</t>
        </is>
      </c>
      <c r="C8184" t="inlineStr">
        <is>
          <t>and tree-climbing and introspection
and the value of a little bit of boredom.</t>
        </is>
      </c>
      <c r="D8184">
        <f>HYPERLINK("https://www.youtube.com/watch?v=2LC4YFenynI&amp;t=292s", "Go to time")</f>
        <v/>
      </c>
    </row>
    <row r="8185">
      <c r="A8185">
        <f>HYPERLINK("https://www.youtube.com/watch?v=TdBAHexVYzc", "Video")</f>
        <v/>
      </c>
      <c r="B8185" t="inlineStr">
        <is>
          <t>1:28</t>
        </is>
      </c>
      <c r="C8185" t="inlineStr">
        <is>
          <t>a way for scientists to delete or insert
specific bits of DNA into cells</t>
        </is>
      </c>
      <c r="D8185">
        <f>HYPERLINK("https://www.youtube.com/watch?v=TdBAHexVYzc&amp;t=88s", "Go to time")</f>
        <v/>
      </c>
    </row>
    <row r="8186">
      <c r="A8186">
        <f>HYPERLINK("https://www.youtube.com/watch?v=TdBAHexVYzc", "Video")</f>
        <v/>
      </c>
      <c r="B8186" t="inlineStr">
        <is>
          <t>3:05</t>
        </is>
      </c>
      <c r="C8186" t="inlineStr">
        <is>
          <t>and inserted in little bits
into the chromosome --</t>
        </is>
      </c>
      <c r="D8186">
        <f>HYPERLINK("https://www.youtube.com/watch?v=TdBAHexVYzc&amp;t=185s", "Go to time")</f>
        <v/>
      </c>
    </row>
    <row r="8187">
      <c r="A8187">
        <f>HYPERLINK("https://www.youtube.com/watch?v=TdBAHexVYzc", "Video")</f>
        <v/>
      </c>
      <c r="B8187" t="inlineStr">
        <is>
          <t>3:11</t>
        </is>
      </c>
      <c r="C8187" t="inlineStr">
        <is>
          <t>And these integrated bits of viral DNA
get inserted at a site called CRISPR.</t>
        </is>
      </c>
      <c r="D8187">
        <f>HYPERLINK("https://www.youtube.com/watch?v=TdBAHexVYzc&amp;t=191s", "Go to time")</f>
        <v/>
      </c>
    </row>
    <row r="8188">
      <c r="A8188">
        <f>HYPERLINK("https://www.youtube.com/watch?v=TdBAHexVYzc", "Video")</f>
        <v/>
      </c>
      <c r="B8188" t="inlineStr">
        <is>
          <t>3:35</t>
        </is>
      </c>
      <c r="C8188" t="inlineStr">
        <is>
          <t>And importantly, those bits of DNA
are passed on to the cells' progeny,</t>
        </is>
      </c>
      <c r="D8188">
        <f>HYPERLINK("https://www.youtube.com/watch?v=TdBAHexVYzc&amp;t=215s", "Go to time")</f>
        <v/>
      </c>
    </row>
    <row r="8189">
      <c r="A8189">
        <f>HYPERLINK("https://www.youtube.com/watch?v=TdBAHexVYzc", "Video")</f>
        <v/>
      </c>
      <c r="B8189" t="inlineStr">
        <is>
          <t>4:00</t>
        </is>
      </c>
      <c r="C8189" t="inlineStr">
        <is>
          <t>Once those bits of DNA have been inserted
into the bacterial chromosome,</t>
        </is>
      </c>
      <c r="D8189">
        <f>HYPERLINK("https://www.youtube.com/watch?v=TdBAHexVYzc&amp;t=240s", "Go to time")</f>
        <v/>
      </c>
    </row>
    <row r="8190">
      <c r="A8190">
        <f>HYPERLINK("https://www.youtube.com/watch?v=TdBAHexVYzc", "Video")</f>
        <v/>
      </c>
      <c r="B8190" t="inlineStr">
        <is>
          <t>4:25</t>
        </is>
      </c>
      <c r="C8190" t="inlineStr">
        <is>
          <t>So those little bits of RNA
from the CRISPR locus</t>
        </is>
      </c>
      <c r="D8190">
        <f>HYPERLINK("https://www.youtube.com/watch?v=TdBAHexVYzc&amp;t=265s", "Go to time")</f>
        <v/>
      </c>
    </row>
    <row r="8191">
      <c r="A8191">
        <f>HYPERLINK("https://www.youtube.com/watch?v=TdBAHexVYzc", "Video")</f>
        <v/>
      </c>
      <c r="B8191" t="inlineStr">
        <is>
          <t>7:50</t>
        </is>
      </c>
      <c r="C8191" t="inlineStr">
        <is>
          <t>we can program it easily,
using these little bits of RNA.</t>
        </is>
      </c>
      <c r="D8191">
        <f>HYPERLINK("https://www.youtube.com/watch?v=TdBAHexVYzc&amp;t=470s", "Go to time")</f>
        <v/>
      </c>
    </row>
    <row r="8192">
      <c r="A8192">
        <f>HYPERLINK("https://www.youtube.com/watch?v=TdBAHexVYzc", "Video")</f>
        <v/>
      </c>
      <c r="B8192" t="inlineStr">
        <is>
          <t>15:23</t>
        </is>
      </c>
      <c r="C8192" t="inlineStr">
        <is>
          <t>it's a little bit
uncomfortable to do that.</t>
        </is>
      </c>
      <c r="D8192">
        <f>HYPERLINK("https://www.youtube.com/watch?v=TdBAHexVYzc&amp;t=923s", "Go to time")</f>
        <v/>
      </c>
    </row>
    <row r="8193">
      <c r="A8193">
        <f>HYPERLINK("https://www.youtube.com/watch?v=PLk8Pm_XBJE", "Video")</f>
        <v/>
      </c>
      <c r="B8193" t="inlineStr">
        <is>
          <t>0:28</t>
        </is>
      </c>
      <c r="C8193" t="inlineStr">
        <is>
          <t>and both of my legs had to be amputated
due to tissue damage from frostbite.</t>
        </is>
      </c>
      <c r="D8193">
        <f>HYPERLINK("https://www.youtube.com/watch?v=PLk8Pm_XBJE&amp;t=28s", "Go to time")</f>
        <v/>
      </c>
    </row>
    <row r="8194">
      <c r="A8194">
        <f>HYPERLINK("https://www.youtube.com/watch?v=PLk8Pm_XBJE", "Video")</f>
        <v/>
      </c>
      <c r="B8194" t="inlineStr">
        <is>
          <t>9:24</t>
        </is>
      </c>
      <c r="C8194" t="inlineStr">
        <is>
          <t>automatically exhibiting natural motions</t>
        </is>
      </c>
      <c r="D8194">
        <f>HYPERLINK("https://www.youtube.com/watch?v=PLk8Pm_XBJE&amp;t=564s", "Go to time")</f>
        <v/>
      </c>
    </row>
    <row r="8195">
      <c r="A8195">
        <f>HYPERLINK("https://www.youtube.com/watch?v=I1ouTj1BQec", "Video")</f>
        <v/>
      </c>
      <c r="B8195" t="inlineStr">
        <is>
          <t>8:31</t>
        </is>
      </c>
      <c r="C8195" t="inlineStr">
        <is>
          <t>But if it's just that bit more compelling
and they share it with 11 other people</t>
        </is>
      </c>
      <c r="D8195">
        <f>HYPERLINK("https://www.youtube.com/watch?v=I1ouTj1BQec&amp;t=511s", "Go to time")</f>
        <v/>
      </c>
    </row>
    <row r="8196">
      <c r="A8196">
        <f>HYPERLINK("https://www.youtube.com/watch?v=I1ouTj1BQec", "Video")</f>
        <v/>
      </c>
      <c r="B8196" t="inlineStr">
        <is>
          <t>13:46</t>
        </is>
      </c>
      <c r="C8196" t="inlineStr">
        <is>
          <t>Now, sometimes when I give these stories,
people's reaction is to nitpick a bit.</t>
        </is>
      </c>
      <c r="D8196">
        <f>HYPERLINK("https://www.youtube.com/watch?v=I1ouTj1BQec&amp;t=826s", "Go to time")</f>
        <v/>
      </c>
    </row>
    <row r="8197">
      <c r="A8197">
        <f>HYPERLINK("https://www.youtube.com/watch?v=I1ouTj1BQec", "Video")</f>
        <v/>
      </c>
      <c r="B8197" t="inlineStr">
        <is>
          <t>13:56</t>
        </is>
      </c>
      <c r="C8197" t="inlineStr">
        <is>
          <t>Or "Maybe their motivation
was a little bit mixed."</t>
        </is>
      </c>
      <c r="D8197">
        <f>HYPERLINK("https://www.youtube.com/watch?v=I1ouTj1BQec&amp;t=836s", "Go to time")</f>
        <v/>
      </c>
    </row>
    <row r="8198">
      <c r="A8198">
        <f>HYPERLINK("https://www.youtube.com/watch?v=A2ti4_lNPL8", "Video")</f>
        <v/>
      </c>
      <c r="B8198" t="inlineStr">
        <is>
          <t>0:06</t>
        </is>
      </c>
      <c r="C8198" t="inlineStr">
        <is>
          <t>If it's cool with you, I'm just
going to draw for a little bit.</t>
        </is>
      </c>
      <c r="D8198">
        <f>HYPERLINK("https://www.youtube.com/watch?v=A2ti4_lNPL8&amp;t=6s", "Go to time")</f>
        <v/>
      </c>
    </row>
    <row r="8199">
      <c r="A8199">
        <f>HYPERLINK("https://www.youtube.com/watch?v=xHHb7R3kx40", "Video")</f>
        <v/>
      </c>
      <c r="B8199" t="inlineStr">
        <is>
          <t>0:15</t>
        </is>
      </c>
      <c r="C8199" t="inlineStr">
        <is>
          <t>It's a bit funny, because I did write
that humans will become digital,</t>
        </is>
      </c>
      <c r="D8199">
        <f>HYPERLINK("https://www.youtube.com/watch?v=xHHb7R3kx40&amp;t=15s", "Go to time")</f>
        <v/>
      </c>
    </row>
    <row r="8200">
      <c r="A8200">
        <f>HYPERLINK("https://www.youtube.com/watch?v=xHHb7R3kx40", "Video")</f>
        <v/>
      </c>
      <c r="B8200" t="inlineStr">
        <is>
          <t>0:39</t>
        </is>
      </c>
      <c r="C8200" t="inlineStr">
        <is>
          <t>Well, it's a bit difficult to say,</t>
        </is>
      </c>
      <c r="D8200">
        <f>HYPERLINK("https://www.youtube.com/watch?v=xHHb7R3kx40&amp;t=39s", "Go to time")</f>
        <v/>
      </c>
    </row>
    <row r="8201">
      <c r="A8201">
        <f>HYPERLINK("https://www.youtube.com/watch?v=xHHb7R3kx40", "Video")</f>
        <v/>
      </c>
      <c r="B8201" t="inlineStr">
        <is>
          <t>5:27</t>
        </is>
      </c>
      <c r="C8201" t="inlineStr">
        <is>
          <t>It's a bit like these Hollywood movies
that depict the bad guys --</t>
        </is>
      </c>
      <c r="D8201">
        <f>HYPERLINK("https://www.youtube.com/watch?v=xHHb7R3kx40&amp;t=327s", "Go to time")</f>
        <v/>
      </c>
    </row>
    <row r="8202">
      <c r="A8202">
        <f>HYPERLINK("https://www.youtube.com/watch?v=xHHb7R3kx40", "Video")</f>
        <v/>
      </c>
      <c r="B8202" t="inlineStr">
        <is>
          <t>13:58</t>
        </is>
      </c>
      <c r="C8202" t="inlineStr">
        <is>
          <t>that hides all your ugly bits
and makes you see yourself</t>
        </is>
      </c>
      <c r="D8202">
        <f>HYPERLINK("https://www.youtube.com/watch?v=xHHb7R3kx40&amp;t=838s", "Go to time")</f>
        <v/>
      </c>
    </row>
    <row r="8203">
      <c r="A8203">
        <f>HYPERLINK("https://www.youtube.com/watch?v=XTlDS7ju_28", "Video")</f>
        <v/>
      </c>
      <c r="B8203" t="inlineStr">
        <is>
          <t>0:58</t>
        </is>
      </c>
      <c r="C8203" t="inlineStr">
        <is>
          <t>until that learned behavior
becomes a habit.</t>
        </is>
      </c>
      <c r="D8203">
        <f>HYPERLINK("https://www.youtube.com/watch?v=XTlDS7ju_28&amp;t=58s", "Go to time")</f>
        <v/>
      </c>
    </row>
    <row r="8204">
      <c r="A8204">
        <f>HYPERLINK("https://www.youtube.com/watch?v=XTlDS7ju_28", "Video")</f>
        <v/>
      </c>
      <c r="B8204" t="inlineStr">
        <is>
          <t>1:07</t>
        </is>
      </c>
      <c r="C8204" t="inlineStr">
        <is>
          <t>our brains reinforce certain habits</t>
        </is>
      </c>
      <c r="D8204">
        <f>HYPERLINK("https://www.youtube.com/watch?v=XTlDS7ju_28&amp;t=67s", "Go to time")</f>
        <v/>
      </c>
    </row>
    <row r="8205">
      <c r="A8205">
        <f>HYPERLINK("https://www.youtube.com/watch?v=XTlDS7ju_28", "Video")</f>
        <v/>
      </c>
      <c r="B8205" t="inlineStr">
        <is>
          <t>9:07</t>
        </is>
      </c>
      <c r="C8205" t="inlineStr">
        <is>
          <t>and unlearn unhelpful habits
by trying something new.</t>
        </is>
      </c>
      <c r="D8205">
        <f>HYPERLINK("https://www.youtube.com/watch?v=XTlDS7ju_28&amp;t=547s", "Go to time")</f>
        <v/>
      </c>
    </row>
    <row r="8206">
      <c r="A8206">
        <f>HYPERLINK("https://www.youtube.com/watch?v=OcMQ1-P6RdM", "Video")</f>
        <v/>
      </c>
      <c r="B8206" t="inlineStr">
        <is>
          <t>6:56</t>
        </is>
      </c>
      <c r="C8206" t="inlineStr">
        <is>
          <t>My job came a bit later
as a graduate student</t>
        </is>
      </c>
      <c r="D8206">
        <f>HYPERLINK("https://www.youtube.com/watch?v=OcMQ1-P6RdM&amp;t=416s", "Go to time")</f>
        <v/>
      </c>
    </row>
    <row r="8207">
      <c r="A8207">
        <f>HYPERLINK("https://www.youtube.com/watch?v=B8kyrIQCFXQ", "Video")</f>
        <v/>
      </c>
      <c r="B8207" t="inlineStr">
        <is>
          <t>7:58</t>
        </is>
      </c>
      <c r="C8207" t="inlineStr">
        <is>
          <t>the lowest-carbon-footprint-per-person
means of habitation,</t>
        </is>
      </c>
      <c r="D8207">
        <f>HYPERLINK("https://www.youtube.com/watch?v=B8kyrIQCFXQ&amp;t=478s", "Go to time")</f>
        <v/>
      </c>
    </row>
    <row r="8208">
      <c r="A8208">
        <f>HYPERLINK("https://www.youtube.com/watch?v=OEydHbngSz0", "Video")</f>
        <v/>
      </c>
      <c r="B8208" t="inlineStr">
        <is>
          <t>2:17</t>
        </is>
      </c>
      <c r="C8208" t="inlineStr">
        <is>
          <t>I did a bit of basic research</t>
        </is>
      </c>
      <c r="D8208">
        <f>HYPERLINK("https://www.youtube.com/watch?v=OEydHbngSz0&amp;t=137s", "Go to time")</f>
        <v/>
      </c>
    </row>
    <row r="8209">
      <c r="A8209">
        <f>HYPERLINK("https://www.youtube.com/watch?v=543mYKKh1EE", "Video")</f>
        <v/>
      </c>
      <c r="B8209" t="inlineStr">
        <is>
          <t>6:39</t>
        </is>
      </c>
      <c r="C8209" t="inlineStr">
        <is>
          <t>This one's a little bit of a doozy.</t>
        </is>
      </c>
      <c r="D8209">
        <f>HYPERLINK("https://www.youtube.com/watch?v=543mYKKh1EE&amp;t=399s", "Go to time")</f>
        <v/>
      </c>
    </row>
    <row r="8210">
      <c r="A8210">
        <f>HYPERLINK("https://www.youtube.com/watch?v=543mYKKh1EE", "Video")</f>
        <v/>
      </c>
      <c r="B8210" t="inlineStr">
        <is>
          <t>9:40</t>
        </is>
      </c>
      <c r="C8210" t="inlineStr">
        <is>
          <t>if the wording were
just a little bit different.</t>
        </is>
      </c>
      <c r="D8210">
        <f>HYPERLINK("https://www.youtube.com/watch?v=543mYKKh1EE&amp;t=580s", "Go to time")</f>
        <v/>
      </c>
    </row>
    <row r="8211">
      <c r="A8211">
        <f>HYPERLINK("https://www.youtube.com/watch?v=xRL2vVAa47I", "Video")</f>
        <v/>
      </c>
      <c r="B8211" t="inlineStr">
        <is>
          <t>8:53</t>
        </is>
      </c>
      <c r="C8211" t="inlineStr">
        <is>
          <t>"Zuckerberg has become Putin's bitch."</t>
        </is>
      </c>
      <c r="D8211">
        <f>HYPERLINK("https://www.youtube.com/watch?v=xRL2vVAa47I&amp;t=533s", "Go to time")</f>
        <v/>
      </c>
    </row>
    <row r="8212">
      <c r="A8212">
        <f>HYPERLINK("https://www.youtube.com/watch?v=xRL2vVAa47I", "Video")</f>
        <v/>
      </c>
      <c r="B8212" t="inlineStr">
        <is>
          <t>17:38</t>
        </is>
      </c>
      <c r="C8212" t="inlineStr">
        <is>
          <t>I know at least a bit --</t>
        </is>
      </c>
      <c r="D8212">
        <f>HYPERLINK("https://www.youtube.com/watch?v=xRL2vVAa47I&amp;t=1058s", "Go to time")</f>
        <v/>
      </c>
    </row>
    <row r="8213">
      <c r="A8213">
        <f>HYPERLINK("https://www.youtube.com/watch?v=eMiPKpXbm9A", "Video")</f>
        <v/>
      </c>
      <c r="B8213" t="inlineStr">
        <is>
          <t>1:53</t>
        </is>
      </c>
      <c r="C8213" t="inlineStr">
        <is>
          <t>we have to look at cement
in a little bit more detail.</t>
        </is>
      </c>
      <c r="D8213">
        <f>HYPERLINK("https://www.youtube.com/watch?v=eMiPKpXbm9A&amp;t=113s", "Go to time")</f>
        <v/>
      </c>
    </row>
    <row r="8214">
      <c r="A8214">
        <f>HYPERLINK("https://www.youtube.com/watch?v=eMiPKpXbm9A", "Video")</f>
        <v/>
      </c>
      <c r="B8214" t="inlineStr">
        <is>
          <t>4:18</t>
        </is>
      </c>
      <c r="C8214" t="inlineStr">
        <is>
          <t>So a little bit comically,</t>
        </is>
      </c>
      <c r="D8214">
        <f>HYPERLINK("https://www.youtube.com/watch?v=eMiPKpXbm9A&amp;t=258s", "Go to time")</f>
        <v/>
      </c>
    </row>
    <row r="8215">
      <c r="A8215">
        <f>HYPERLINK("https://www.youtube.com/watch?v=HiA41B9LbJI", "Video")</f>
        <v/>
      </c>
      <c r="B8215" t="inlineStr">
        <is>
          <t>4:16</t>
        </is>
      </c>
      <c r="C8215" t="inlineStr">
        <is>
          <t>I've brought some bacterial data
that can be a bit tricky to understand</t>
        </is>
      </c>
      <c r="D8215">
        <f>HYPERLINK("https://www.youtube.com/watch?v=HiA41B9LbJI&amp;t=256s", "Go to time")</f>
        <v/>
      </c>
    </row>
    <row r="8216">
      <c r="A8216">
        <f>HYPERLINK("https://www.youtube.com/watch?v=HiA41B9LbJI", "Video")</f>
        <v/>
      </c>
      <c r="B8216" t="inlineStr">
        <is>
          <t>5:13</t>
        </is>
      </c>
      <c r="C8216" t="inlineStr">
        <is>
          <t>that have the ambition to be the only
family in the patient they have infected,</t>
        </is>
      </c>
      <c r="D8216">
        <f>HYPERLINK("https://www.youtube.com/watch?v=HiA41B9LbJI&amp;t=313s", "Go to time")</f>
        <v/>
      </c>
    </row>
    <row r="8217">
      <c r="A8217">
        <f>HYPERLINK("https://www.youtube.com/watch?v=U-BHz_UIOfs", "Video")</f>
        <v/>
      </c>
      <c r="B8217" t="inlineStr">
        <is>
          <t>4:41</t>
        </is>
      </c>
      <c r="C8217" t="inlineStr">
        <is>
          <t>and make just a little bit more
than the average salary in the country.</t>
        </is>
      </c>
      <c r="D8217">
        <f>HYPERLINK("https://www.youtube.com/watch?v=U-BHz_UIOfs&amp;t=281s", "Go to time")</f>
        <v/>
      </c>
    </row>
    <row r="8218">
      <c r="A8218">
        <f>HYPERLINK("https://www.youtube.com/watch?v=U-BHz_UIOfs", "Video")</f>
        <v/>
      </c>
      <c r="B8218" t="inlineStr">
        <is>
          <t>9:33</t>
        </is>
      </c>
      <c r="C8218" t="inlineStr">
        <is>
          <t>and initially he was struggling
just a little bit.</t>
        </is>
      </c>
      <c r="D8218">
        <f>HYPERLINK("https://www.youtube.com/watch?v=U-BHz_UIOfs&amp;t=573s", "Go to time")</f>
        <v/>
      </c>
    </row>
    <row r="8219">
      <c r="A8219">
        <f>HYPERLINK("https://www.youtube.com/watch?v=IPvR43dRmRY", "Video")</f>
        <v/>
      </c>
      <c r="B8219" t="inlineStr">
        <is>
          <t>1:12</t>
        </is>
      </c>
      <c r="C8219" t="inlineStr">
        <is>
          <t>Now, let's put that
a little bit in context.</t>
        </is>
      </c>
      <c r="D8219">
        <f>HYPERLINK("https://www.youtube.com/watch?v=IPvR43dRmRY&amp;t=72s", "Go to time")</f>
        <v/>
      </c>
    </row>
    <row r="8220">
      <c r="A8220">
        <f>HYPERLINK("https://www.youtube.com/watch?v=CyGWML6cI_k", "Video")</f>
        <v/>
      </c>
      <c r="B8220" t="inlineStr">
        <is>
          <t>0:17</t>
        </is>
      </c>
      <c r="C8220" t="inlineStr">
        <is>
          <t>that are a little bit
disappointed with democracy?</t>
        </is>
      </c>
      <c r="D8220">
        <f>HYPERLINK("https://www.youtube.com/watch?v=CyGWML6cI_k&amp;t=17s", "Go to time")</f>
        <v/>
      </c>
    </row>
    <row r="8221">
      <c r="A8221">
        <f>HYPERLINK("https://www.youtube.com/watch?v=CyGWML6cI_k", "Video")</f>
        <v/>
      </c>
      <c r="B8221" t="inlineStr">
        <is>
          <t>3:36</t>
        </is>
      </c>
      <c r="C8221" t="inlineStr">
        <is>
          <t>So what I'm going to do today is
I'm going to be a little bit provocative,</t>
        </is>
      </c>
      <c r="D8221">
        <f>HYPERLINK("https://www.youtube.com/watch?v=CyGWML6cI_k&amp;t=216s", "Go to time")</f>
        <v/>
      </c>
    </row>
    <row r="8222">
      <c r="A8222">
        <f>HYPERLINK("https://www.youtube.com/watch?v=CyGWML6cI_k", "Video")</f>
        <v/>
      </c>
      <c r="B8222" t="inlineStr">
        <is>
          <t>6:34</t>
        </is>
      </c>
      <c r="C8222" t="inlineStr">
        <is>
          <t>But we've been down that rabbit hole,</t>
        </is>
      </c>
      <c r="D8222">
        <f>HYPERLINK("https://www.youtube.com/watch?v=CyGWML6cI_k&amp;t=394s", "Go to time")</f>
        <v/>
      </c>
    </row>
    <row r="8223">
      <c r="A8223">
        <f>HYPERLINK("https://www.youtube.com/watch?v=CyGWML6cI_k", "Video")</f>
        <v/>
      </c>
      <c r="B8223" t="inlineStr">
        <is>
          <t>8:11</t>
        </is>
      </c>
      <c r="C8223" t="inlineStr">
        <is>
          <t>and maybe a little bit
conservative on some issues</t>
        </is>
      </c>
      <c r="D8223">
        <f>HYPERLINK("https://www.youtube.com/watch?v=CyGWML6cI_k&amp;t=491s", "Go to time")</f>
        <v/>
      </c>
    </row>
    <row r="8224">
      <c r="A8224">
        <f>HYPERLINK("https://www.youtube.com/watch?v=CyGWML6cI_k", "Video")</f>
        <v/>
      </c>
      <c r="B8224" t="inlineStr">
        <is>
          <t>9:18</t>
        </is>
      </c>
      <c r="C8224" t="inlineStr">
        <is>
          <t>So you can provide your avatar
with your reading habits,</t>
        </is>
      </c>
      <c r="D8224">
        <f>HYPERLINK("https://www.youtube.com/watch?v=CyGWML6cI_k&amp;t=558s", "Go to time")</f>
        <v/>
      </c>
    </row>
    <row r="8225">
      <c r="A8225">
        <f>HYPERLINK("https://www.youtube.com/watch?v=Juc_yvEkJuc", "Video")</f>
        <v/>
      </c>
      <c r="B8225" t="inlineStr">
        <is>
          <t>2:36</t>
        </is>
      </c>
      <c r="C8225" t="inlineStr">
        <is>
          <t>Even the Paris Agreement's
ambitious targets</t>
        </is>
      </c>
      <c r="D8225">
        <f>HYPERLINK("https://www.youtube.com/watch?v=Juc_yvEkJuc&amp;t=156s", "Go to time")</f>
        <v/>
      </c>
    </row>
    <row r="8226">
      <c r="A8226">
        <f>HYPERLINK("https://www.youtube.com/watch?v=RAh0Q3XsB6w", "Video")</f>
        <v/>
      </c>
      <c r="B8226" t="inlineStr">
        <is>
          <t>8:30</t>
        </is>
      </c>
      <c r="C8226" t="inlineStr">
        <is>
          <t>And to kind of, again,
put a bit of a marker on this,</t>
        </is>
      </c>
      <c r="D8226">
        <f>HYPERLINK("https://www.youtube.com/watch?v=RAh0Q3XsB6w&amp;t=510s", "Go to time")</f>
        <v/>
      </c>
    </row>
    <row r="8227">
      <c r="A8227">
        <f>HYPERLINK("https://www.youtube.com/watch?v=RAh0Q3XsB6w", "Video")</f>
        <v/>
      </c>
      <c r="B8227" t="inlineStr">
        <is>
          <t>8:51</t>
        </is>
      </c>
      <c r="C8227" t="inlineStr">
        <is>
          <t>said that that was too ambitious.</t>
        </is>
      </c>
      <c r="D8227">
        <f>HYPERLINK("https://www.youtube.com/watch?v=RAh0Q3XsB6w&amp;t=531s", "Go to time")</f>
        <v/>
      </c>
    </row>
    <row r="8228">
      <c r="A8228">
        <f>HYPERLINK("https://www.youtube.com/watch?v=RAh0Q3XsB6w", "Video")</f>
        <v/>
      </c>
      <c r="B8228" t="inlineStr">
        <is>
          <t>10:14</t>
        </is>
      </c>
      <c r="C8228" t="inlineStr">
        <is>
          <t>Can you tell us
a little bit more about that?</t>
        </is>
      </c>
      <c r="D8228">
        <f>HYPERLINK("https://www.youtube.com/watch?v=RAh0Q3XsB6w&amp;t=614s", "Go to time")</f>
        <v/>
      </c>
    </row>
    <row r="8229">
      <c r="A8229">
        <f>HYPERLINK("https://www.youtube.com/watch?v=RAh0Q3XsB6w", "Video")</f>
        <v/>
      </c>
      <c r="B8229" t="inlineStr">
        <is>
          <t>13:58</t>
        </is>
      </c>
      <c r="C8229" t="inlineStr">
        <is>
          <t>Trying to kind of step backwards
from it a little bit, though,</t>
        </is>
      </c>
      <c r="D8229">
        <f>HYPERLINK("https://www.youtube.com/watch?v=RAh0Q3XsB6w&amp;t=838s", "Go to time")</f>
        <v/>
      </c>
    </row>
    <row r="8230">
      <c r="A8230">
        <f>HYPERLINK("https://www.youtube.com/watch?v=DqwzKPZK8AU", "Video")</f>
        <v/>
      </c>
      <c r="B8230" t="inlineStr">
        <is>
          <t>6:35</t>
        </is>
      </c>
      <c r="C8230" t="inlineStr">
        <is>
          <t>in my community, we have sacred places
which people are prohibited to go to.</t>
        </is>
      </c>
      <c r="D8230">
        <f>HYPERLINK("https://www.youtube.com/watch?v=DqwzKPZK8AU&amp;t=395s", "Go to time")</f>
        <v/>
      </c>
    </row>
    <row r="8231">
      <c r="A8231">
        <f>HYPERLINK("https://www.youtube.com/watch?v=DqwzKPZK8AU", "Video")</f>
        <v/>
      </c>
      <c r="B8231" t="inlineStr">
        <is>
          <t>6:48</t>
        </is>
      </c>
      <c r="C8231" t="inlineStr">
        <is>
          <t>We have practices which prohibit
certain groups of people</t>
        </is>
      </c>
      <c r="D8231">
        <f>HYPERLINK("https://www.youtube.com/watch?v=DqwzKPZK8AU&amp;t=408s", "Go to time")</f>
        <v/>
      </c>
    </row>
    <row r="8232">
      <c r="A8232">
        <f>HYPERLINK("https://www.youtube.com/watch?v=DqwzKPZK8AU", "Video")</f>
        <v/>
      </c>
      <c r="B8232" t="inlineStr">
        <is>
          <t>8:39</t>
        </is>
      </c>
      <c r="C8232" t="inlineStr">
        <is>
          <t>and treat everything
as fragmented bits and pieces</t>
        </is>
      </c>
      <c r="D8232">
        <f>HYPERLINK("https://www.youtube.com/watch?v=DqwzKPZK8AU&amp;t=519s", "Go to time")</f>
        <v/>
      </c>
    </row>
    <row r="8233">
      <c r="A8233">
        <f>HYPERLINK("https://www.youtube.com/watch?v=k7P9v9NB7fU", "Video")</f>
        <v/>
      </c>
      <c r="B8233" t="inlineStr">
        <is>
          <t>6:04</t>
        </is>
      </c>
      <c r="C8233" t="inlineStr">
        <is>
          <t>And -- this is a surprising bit --</t>
        </is>
      </c>
      <c r="D8233">
        <f>HYPERLINK("https://www.youtube.com/watch?v=k7P9v9NB7fU&amp;t=364s", "Go to time")</f>
        <v/>
      </c>
    </row>
    <row r="8234">
      <c r="A8234">
        <f>HYPERLINK("https://www.youtube.com/watch?v=k7P9v9NB7fU", "Video")</f>
        <v/>
      </c>
      <c r="B8234" t="inlineStr">
        <is>
          <t>11:56</t>
        </is>
      </c>
      <c r="C8234" t="inlineStr">
        <is>
          <t>Bit of light relief
because you're about to need it,</t>
        </is>
      </c>
      <c r="D8234">
        <f>HYPERLINK("https://www.youtube.com/watch?v=k7P9v9NB7fU&amp;t=716s", "Go to time")</f>
        <v/>
      </c>
    </row>
    <row r="8235">
      <c r="A8235">
        <f>HYPERLINK("https://www.youtube.com/watch?v=FcN3BW4vR7M", "Video")</f>
        <v/>
      </c>
      <c r="B8235" t="inlineStr">
        <is>
          <t>1:34</t>
        </is>
      </c>
      <c r="C8235" t="inlineStr">
        <is>
          <t>she rewarded me with an ice-cold glass
of bittersweet lemonade</t>
        </is>
      </c>
      <c r="D8235">
        <f>HYPERLINK("https://www.youtube.com/watch?v=FcN3BW4vR7M&amp;t=94s", "Go to time")</f>
        <v/>
      </c>
    </row>
    <row r="8236">
      <c r="A8236">
        <f>HYPERLINK("https://www.youtube.com/watch?v=_tewedUBhAo", "Video")</f>
        <v/>
      </c>
      <c r="B8236" t="inlineStr">
        <is>
          <t>3:17</t>
        </is>
      </c>
      <c r="C8236" t="inlineStr">
        <is>
          <t>So I asked my parents,
and they laughed a bit,</t>
        </is>
      </c>
      <c r="D8236">
        <f>HYPERLINK("https://www.youtube.com/watch?v=_tewedUBhAo&amp;t=197s", "Go to time")</f>
        <v/>
      </c>
    </row>
    <row r="8237">
      <c r="A8237">
        <f>HYPERLINK("https://www.youtube.com/watch?v=lKp7_MtPXZM", "Video")</f>
        <v/>
      </c>
      <c r="B8237" t="inlineStr">
        <is>
          <t>19:20</t>
        </is>
      </c>
      <c r="C8237" t="inlineStr">
        <is>
          <t>HW: Let's talk a little bit
more about the media,</t>
        </is>
      </c>
      <c r="D8237">
        <f>HYPERLINK("https://www.youtube.com/watch?v=lKp7_MtPXZM&amp;t=1160s", "Go to time")</f>
        <v/>
      </c>
    </row>
    <row r="8238">
      <c r="A8238">
        <f>HYPERLINK("https://www.youtube.com/watch?v=lKp7_MtPXZM", "Video")</f>
        <v/>
      </c>
      <c r="B8238" t="inlineStr">
        <is>
          <t>28:46</t>
        </is>
      </c>
      <c r="C8238" t="inlineStr">
        <is>
          <t>risk their ambitions,
risk even their personal safety</t>
        </is>
      </c>
      <c r="D8238">
        <f>HYPERLINK("https://www.youtube.com/watch?v=lKp7_MtPXZM&amp;t=1726s", "Go to time")</f>
        <v/>
      </c>
    </row>
    <row r="8239">
      <c r="A8239">
        <f>HYPERLINK("https://www.youtube.com/watch?v=nbYQ7kdt0U4", "Video")</f>
        <v/>
      </c>
      <c r="B8239" t="inlineStr">
        <is>
          <t>6:20</t>
        </is>
      </c>
      <c r="C8239" t="inlineStr">
        <is>
          <t>This is my bit of light.</t>
        </is>
      </c>
      <c r="D8239">
        <f>HYPERLINK("https://www.youtube.com/watch?v=nbYQ7kdt0U4&amp;t=380s", "Go to time")</f>
        <v/>
      </c>
    </row>
    <row r="8240">
      <c r="A8240">
        <f>HYPERLINK("https://www.youtube.com/watch?v=RkoaaVo_RgU", "Video")</f>
        <v/>
      </c>
      <c r="B8240" t="inlineStr">
        <is>
          <t>3:05</t>
        </is>
      </c>
      <c r="C8240" t="inlineStr">
        <is>
          <t>So me being me, I decided to gift her
a little bit of an art project.</t>
        </is>
      </c>
      <c r="D8240">
        <f>HYPERLINK("https://www.youtube.com/watch?v=RkoaaVo_RgU&amp;t=185s", "Go to time")</f>
        <v/>
      </c>
    </row>
    <row r="8241">
      <c r="A8241">
        <f>HYPERLINK("https://www.youtube.com/watch?v=RkoaaVo_RgU", "Video")</f>
        <v/>
      </c>
      <c r="B8241" t="inlineStr">
        <is>
          <t>10:29</t>
        </is>
      </c>
      <c r="C8241" t="inlineStr">
        <is>
          <t>but we also just need more technologists
to think a little bit like artists.</t>
        </is>
      </c>
      <c r="D8241">
        <f>HYPERLINK("https://www.youtube.com/watch?v=RkoaaVo_RgU&amp;t=629s", "Go to time")</f>
        <v/>
      </c>
    </row>
    <row r="8242">
      <c r="A8242">
        <f>HYPERLINK("https://www.youtube.com/watch?v=D1JZkmkStK8", "Video")</f>
        <v/>
      </c>
      <c r="B8242" t="inlineStr">
        <is>
          <t>14:38</t>
        </is>
      </c>
      <c r="C8242" t="inlineStr">
        <is>
          <t>do Bitcoin and Bitcoin and other digital</t>
        </is>
      </c>
      <c r="D8242">
        <f>HYPERLINK("https://www.youtube.com/watch?v=D1JZkmkStK8&amp;t=878s", "Go to time")</f>
        <v/>
      </c>
    </row>
    <row r="8243">
      <c r="A8243">
        <f>HYPERLINK("https://www.youtube.com/watch?v=ysblroPCgCw", "Video")</f>
        <v/>
      </c>
      <c r="B8243" t="inlineStr">
        <is>
          <t>2:47</t>
        </is>
      </c>
      <c r="C8243" t="inlineStr">
        <is>
          <t>if you give me the first five exhibits
that he or she had in their career.</t>
        </is>
      </c>
      <c r="D8243">
        <f>HYPERLINK("https://www.youtube.com/watch?v=ysblroPCgCw&amp;t=167s", "Go to time")</f>
        <v/>
      </c>
    </row>
    <row r="8244">
      <c r="A8244">
        <f>HYPERLINK("https://www.youtube.com/watch?v=SQB9zNWw9MA", "Video")</f>
        <v/>
      </c>
      <c r="B8244" t="inlineStr">
        <is>
          <t>5:17</t>
        </is>
      </c>
      <c r="C8244" t="inlineStr">
        <is>
          <t>to break a 426-bit RSA key.</t>
        </is>
      </c>
      <c r="D8244">
        <f>HYPERLINK("https://www.youtube.com/watch?v=SQB9zNWw9MA&amp;t=317s", "Go to time")</f>
        <v/>
      </c>
    </row>
    <row r="8245">
      <c r="A8245">
        <f>HYPERLINK("https://www.youtube.com/watch?v=SQB9zNWw9MA", "Video")</f>
        <v/>
      </c>
      <c r="B8245" t="inlineStr">
        <is>
          <t>5:35</t>
        </is>
      </c>
      <c r="C8245" t="inlineStr">
        <is>
          <t>Today we routinely use 2048 or 4096 bits.</t>
        </is>
      </c>
      <c r="D8245">
        <f>HYPERLINK("https://www.youtube.com/watch?v=SQB9zNWw9MA&amp;t=335s", "Go to time")</f>
        <v/>
      </c>
    </row>
    <row r="8246">
      <c r="A8246">
        <f>HYPERLINK("https://www.youtube.com/watch?v=fHDy7Jzp-5I", "Video")</f>
        <v/>
      </c>
      <c r="B8246" t="inlineStr">
        <is>
          <t>11:08</t>
        </is>
      </c>
      <c r="C8246" t="inlineStr">
        <is>
          <t>But let's see if we can make it
a little bit easier by adding a hint.</t>
        </is>
      </c>
      <c r="D8246">
        <f>HYPERLINK("https://www.youtube.com/watch?v=fHDy7Jzp-5I&amp;t=668s", "Go to time")</f>
        <v/>
      </c>
    </row>
    <row r="8247">
      <c r="A8247">
        <f>HYPERLINK("https://www.youtube.com/watch?v=n0urFzhWTZ4", "Video")</f>
        <v/>
      </c>
      <c r="B8247" t="inlineStr">
        <is>
          <t>3:04</t>
        </is>
      </c>
      <c r="C8247" t="inlineStr">
        <is>
          <t>and we're losing them
to arbitrary fitness standards.</t>
        </is>
      </c>
      <c r="D8247">
        <f>HYPERLINK("https://www.youtube.com/watch?v=n0urFzhWTZ4&amp;t=184s", "Go to time")</f>
        <v/>
      </c>
    </row>
    <row r="8248">
      <c r="A8248">
        <f>HYPERLINK("https://www.youtube.com/watch?v=iazvFYCU4YU", "Video")</f>
        <v/>
      </c>
      <c r="B8248" t="inlineStr">
        <is>
          <t>6:23</t>
        </is>
      </c>
      <c r="C8248" t="inlineStr">
        <is>
          <t>a bit of gender diversity people who</t>
        </is>
      </c>
      <c r="D8248">
        <f>HYPERLINK("https://www.youtube.com/watch?v=iazvFYCU4YU&amp;t=383s", "Go to time")</f>
        <v/>
      </c>
    </row>
    <row r="8249">
      <c r="A8249">
        <f>HYPERLINK("https://www.youtube.com/watch?v=iazvFYCU4YU", "Video")</f>
        <v/>
      </c>
      <c r="B8249" t="inlineStr">
        <is>
          <t>7:46</t>
        </is>
      </c>
      <c r="C8249" t="inlineStr">
        <is>
          <t>need can you talk a bit about some of</t>
        </is>
      </c>
      <c r="D8249">
        <f>HYPERLINK("https://www.youtube.com/watch?v=iazvFYCU4YU&amp;t=466s", "Go to time")</f>
        <v/>
      </c>
    </row>
    <row r="8250">
      <c r="A8250">
        <f>HYPERLINK("https://www.youtube.com/watch?v=iazvFYCU4YU", "Video")</f>
        <v/>
      </c>
      <c r="B8250" t="inlineStr">
        <is>
          <t>24:52</t>
        </is>
      </c>
      <c r="C8250" t="inlineStr">
        <is>
          <t>little bit of upfront prep and a little</t>
        </is>
      </c>
      <c r="D8250">
        <f>HYPERLINK("https://www.youtube.com/watch?v=iazvFYCU4YU&amp;t=1492s", "Go to time")</f>
        <v/>
      </c>
    </row>
    <row r="8251">
      <c r="A8251">
        <f>HYPERLINK("https://www.youtube.com/watch?v=iazvFYCU4YU", "Video")</f>
        <v/>
      </c>
      <c r="B8251" t="inlineStr">
        <is>
          <t>24:54</t>
        </is>
      </c>
      <c r="C8251" t="inlineStr">
        <is>
          <t>bit of a front investment in workers it</t>
        </is>
      </c>
      <c r="D8251">
        <f>HYPERLINK("https://www.youtube.com/watch?v=iazvFYCU4YU&amp;t=1494s", "Go to time")</f>
        <v/>
      </c>
    </row>
    <row r="8252">
      <c r="A8252">
        <f>HYPERLINK("https://www.youtube.com/watch?v=JJZ8z_nTCZQ", "Video")</f>
        <v/>
      </c>
      <c r="B8252" t="inlineStr">
        <is>
          <t>8:05</t>
        </is>
      </c>
      <c r="C8252" t="inlineStr">
        <is>
          <t>there's quite a bit of an increase
during the transition to menopause.</t>
        </is>
      </c>
      <c r="D8252">
        <f>HYPERLINK("https://www.youtube.com/watch?v=JJZ8z_nTCZQ&amp;t=485s", "Go to time")</f>
        <v/>
      </c>
    </row>
    <row r="8253">
      <c r="A8253">
        <f>HYPERLINK("https://www.youtube.com/watch?v=Kv_z5asgn7Y", "Video")</f>
        <v/>
      </c>
      <c r="B8253" t="inlineStr">
        <is>
          <t>2:16</t>
        </is>
      </c>
      <c r="C8253" t="inlineStr">
        <is>
          <t>OK, I might have known a little bit.</t>
        </is>
      </c>
      <c r="D8253">
        <f>HYPERLINK("https://www.youtube.com/watch?v=Kv_z5asgn7Y&amp;t=136s", "Go to time")</f>
        <v/>
      </c>
    </row>
    <row r="8254">
      <c r="A8254">
        <f>HYPERLINK("https://www.youtube.com/watch?v=ktOeFgmdIAo", "Video")</f>
        <v/>
      </c>
      <c r="B8254" t="inlineStr">
        <is>
          <t>0:19</t>
        </is>
      </c>
      <c r="C8254" t="inlineStr">
        <is>
          <t>My palms are a little bit clammy.</t>
        </is>
      </c>
      <c r="D8254">
        <f>HYPERLINK("https://www.youtube.com/watch?v=ktOeFgmdIAo&amp;t=19s", "Go to time")</f>
        <v/>
      </c>
    </row>
    <row r="8255">
      <c r="A8255">
        <f>HYPERLINK("https://www.youtube.com/watch?v=ktOeFgmdIAo", "Video")</f>
        <v/>
      </c>
      <c r="B8255" t="inlineStr">
        <is>
          <t>0:24</t>
        </is>
      </c>
      <c r="C8255" t="inlineStr">
        <is>
          <t>And my breath is a little bit shallow.</t>
        </is>
      </c>
      <c r="D8255">
        <f>HYPERLINK("https://www.youtube.com/watch?v=ktOeFgmdIAo&amp;t=24s", "Go to time")</f>
        <v/>
      </c>
    </row>
    <row r="8256">
      <c r="A8256">
        <f>HYPERLINK("https://www.youtube.com/watch?v=ktOeFgmdIAo", "Video")</f>
        <v/>
      </c>
      <c r="B8256" t="inlineStr">
        <is>
          <t>11:55</t>
        </is>
      </c>
      <c r="C8256" t="inlineStr">
        <is>
          <t>it's that a little bit of unconditional
support can go a really long way.</t>
        </is>
      </c>
      <c r="D8256">
        <f>HYPERLINK("https://www.youtube.com/watch?v=ktOeFgmdIAo&amp;t=715s", "Go to time")</f>
        <v/>
      </c>
    </row>
    <row r="8257">
      <c r="A8257">
        <f>HYPERLINK("https://www.youtube.com/watch?v=LsAN-TEJfN0", "Video")</f>
        <v/>
      </c>
      <c r="B8257" t="inlineStr">
        <is>
          <t>4:55</t>
        </is>
      </c>
      <c r="C8257" t="inlineStr">
        <is>
          <t>RH: That's the bitch about the internet --
it moves fast, you know?</t>
        </is>
      </c>
      <c r="D8257">
        <f>HYPERLINK("https://www.youtube.com/watch?v=LsAN-TEJfN0&amp;t=295s", "Go to time")</f>
        <v/>
      </c>
    </row>
    <row r="8258">
      <c r="A8258">
        <f>HYPERLINK("https://www.youtube.com/watch?v=RLESBHduKBs", "Video")</f>
        <v/>
      </c>
      <c r="B8258" t="inlineStr">
        <is>
          <t>5:43</t>
        </is>
      </c>
      <c r="C8258" t="inlineStr">
        <is>
          <t>So let's follow this a little bit further
to when he's now 15 years old.</t>
        </is>
      </c>
      <c r="D8258">
        <f>HYPERLINK("https://www.youtube.com/watch?v=RLESBHduKBs&amp;t=343s", "Go to time")</f>
        <v/>
      </c>
    </row>
    <row r="8259">
      <c r="A8259">
        <f>HYPERLINK("https://www.youtube.com/watch?v=RLESBHduKBs", "Video")</f>
        <v/>
      </c>
      <c r="B8259" t="inlineStr">
        <is>
          <t>8:36</t>
        </is>
      </c>
      <c r="C8259" t="inlineStr">
        <is>
          <t>slowly going down a little bit
as high school goes on.</t>
        </is>
      </c>
      <c r="D8259">
        <f>HYPERLINK("https://www.youtube.com/watch?v=RLESBHduKBs&amp;t=516s", "Go to time")</f>
        <v/>
      </c>
    </row>
    <row r="8260">
      <c r="A8260">
        <f>HYPERLINK("https://www.youtube.com/watch?v=RLESBHduKBs", "Video")</f>
        <v/>
      </c>
      <c r="B8260" t="inlineStr">
        <is>
          <t>9:01</t>
        </is>
      </c>
      <c r="C8260" t="inlineStr">
        <is>
          <t>He's feeling a little bit uncertain.</t>
        </is>
      </c>
      <c r="D8260">
        <f>HYPERLINK("https://www.youtube.com/watch?v=RLESBHduKBs&amp;t=541s", "Go to time")</f>
        <v/>
      </c>
    </row>
    <row r="8261">
      <c r="A8261">
        <f>HYPERLINK("https://www.youtube.com/watch?v=RLESBHduKBs", "Video")</f>
        <v/>
      </c>
      <c r="B8261" t="inlineStr">
        <is>
          <t>9:47</t>
        </is>
      </c>
      <c r="C8261" t="inlineStr">
        <is>
          <t>They know a little bit more
about how to handle the tough situations</t>
        </is>
      </c>
      <c r="D8261">
        <f>HYPERLINK("https://www.youtube.com/watch?v=RLESBHduKBs&amp;t=587s", "Go to time")</f>
        <v/>
      </c>
    </row>
    <row r="8262">
      <c r="A8262">
        <f>HYPERLINK("https://www.youtube.com/watch?v=RLESBHduKBs", "Video")</f>
        <v/>
      </c>
      <c r="B8262" t="inlineStr">
        <is>
          <t>9:52</t>
        </is>
      </c>
      <c r="C8262" t="inlineStr">
        <is>
          <t>They know a little bit more
about real-world issues and topics.</t>
        </is>
      </c>
      <c r="D8262">
        <f>HYPERLINK("https://www.youtube.com/watch?v=RLESBHduKBs&amp;t=592s", "Go to time")</f>
        <v/>
      </c>
    </row>
    <row r="8263">
      <c r="A8263">
        <f>HYPERLINK("https://www.youtube.com/watch?v=RLESBHduKBs", "Video")</f>
        <v/>
      </c>
      <c r="B8263" t="inlineStr">
        <is>
          <t>11:17</t>
        </is>
      </c>
      <c r="C8263" t="inlineStr">
        <is>
          <t>He's even getting physically ill
a little bit more often.</t>
        </is>
      </c>
      <c r="D8263">
        <f>HYPERLINK("https://www.youtube.com/watch?v=RLESBHduKBs&amp;t=677s", "Go to time")</f>
        <v/>
      </c>
    </row>
    <row r="8264">
      <c r="A8264">
        <f>HYPERLINK("https://www.youtube.com/watch?v=-hRUwrRSSWE", "Video")</f>
        <v/>
      </c>
      <c r="B8264" t="inlineStr">
        <is>
          <t>1:18</t>
        </is>
      </c>
      <c r="C8264" t="inlineStr">
        <is>
          <t>this is the chance we get
to geek out together a bit.</t>
        </is>
      </c>
      <c r="D8264">
        <f>HYPERLINK("https://www.youtube.com/watch?v=-hRUwrRSSWE&amp;t=78s", "Go to time")</f>
        <v/>
      </c>
    </row>
    <row r="8265">
      <c r="A8265">
        <f>HYPERLINK("https://www.youtube.com/watch?v=rmfzwwrCrrU", "Video")</f>
        <v/>
      </c>
      <c r="B8265" t="inlineStr">
        <is>
          <t>1:46</t>
        </is>
      </c>
      <c r="C8265" t="inlineStr">
        <is>
          <t>In their natural habitat, soil or water,
their environment constrains them.</t>
        </is>
      </c>
      <c r="D8265">
        <f>HYPERLINK("https://www.youtube.com/watch?v=rmfzwwrCrrU&amp;t=106s", "Go to time")</f>
        <v/>
      </c>
    </row>
    <row r="8266">
      <c r="A8266">
        <f>HYPERLINK("https://www.youtube.com/watch?v=rmfzwwrCrrU", "Video")</f>
        <v/>
      </c>
      <c r="B8266" t="inlineStr">
        <is>
          <t>4:05</t>
        </is>
      </c>
      <c r="C8266" t="inlineStr">
        <is>
          <t>economies that have
transitioned from atoms to bits,</t>
        </is>
      </c>
      <c r="D8266">
        <f>HYPERLINK("https://www.youtube.com/watch?v=rmfzwwrCrrU&amp;t=245s", "Go to time")</f>
        <v/>
      </c>
    </row>
    <row r="8267">
      <c r="A8267">
        <f>HYPERLINK("https://www.youtube.com/watch?v=rmfzwwrCrrU", "Video")</f>
        <v/>
      </c>
      <c r="B8267" t="inlineStr">
        <is>
          <t>4:36</t>
        </is>
      </c>
      <c r="C8267" t="inlineStr">
        <is>
          <t>Now, prophets object to every bit of this.</t>
        </is>
      </c>
      <c r="D8267">
        <f>HYPERLINK("https://www.youtube.com/watch?v=rmfzwwrCrrU&amp;t=276s", "Go to time")</f>
        <v/>
      </c>
    </row>
    <row r="8268">
      <c r="A8268">
        <f>HYPERLINK("https://www.youtube.com/watch?v=rmfzwwrCrrU", "Video")</f>
        <v/>
      </c>
      <c r="B8268" t="inlineStr">
        <is>
          <t>4:43</t>
        </is>
      </c>
      <c r="C8268" t="inlineStr">
        <is>
          <t>They say, you can't eat bits,</t>
        </is>
      </c>
      <c r="D8268">
        <f>HYPERLINK("https://www.youtube.com/watch?v=rmfzwwrCrrU&amp;t=283s", "Go to time")</f>
        <v/>
      </c>
    </row>
    <row r="8269">
      <c r="A8269">
        <f>HYPERLINK("https://www.youtube.com/watch?v=rmfzwwrCrrU", "Video")</f>
        <v/>
      </c>
      <c r="B8269" t="inlineStr">
        <is>
          <t>6:01</t>
        </is>
      </c>
      <c r="C8269" t="inlineStr">
        <is>
          <t>Above all, though, prophets envision
people changing their habits.</t>
        </is>
      </c>
      <c r="D8269">
        <f>HYPERLINK("https://www.youtube.com/watch?v=rmfzwwrCrrU&amp;t=361s", "Go to time")</f>
        <v/>
      </c>
    </row>
    <row r="8270">
      <c r="A8270">
        <f>HYPERLINK("https://www.youtube.com/watch?v=IGi948nVqlU", "Video")</f>
        <v/>
      </c>
      <c r="B8270" t="inlineStr">
        <is>
          <t>5:09</t>
        </is>
      </c>
      <c r="C8270" t="inlineStr">
        <is>
          <t>but we must preserve their habitats
to increase their chances of survival.</t>
        </is>
      </c>
      <c r="D8270">
        <f>HYPERLINK("https://www.youtube.com/watch?v=IGi948nVqlU&amp;t=309s", "Go to time")</f>
        <v/>
      </c>
    </row>
    <row r="8271">
      <c r="A8271">
        <f>HYPERLINK("https://www.youtube.com/watch?v=lkMV6SxilXc", "Video")</f>
        <v/>
      </c>
      <c r="B8271" t="inlineStr">
        <is>
          <t>1:27</t>
        </is>
      </c>
      <c r="C8271" t="inlineStr">
        <is>
          <t>bit about this idea in in Broad Strokes</t>
        </is>
      </c>
      <c r="D8271">
        <f>HYPERLINK("https://www.youtube.com/watch?v=lkMV6SxilXc&amp;t=87s", "Go to time")</f>
        <v/>
      </c>
    </row>
    <row r="8272">
      <c r="A8272">
        <f>HYPERLINK("https://www.youtube.com/watch?v=lkMV6SxilXc", "Video")</f>
        <v/>
      </c>
      <c r="B8272" t="inlineStr">
        <is>
          <t>7:56</t>
        </is>
      </c>
      <c r="C8272" t="inlineStr">
        <is>
          <t>me you started to get into a little bit</t>
        </is>
      </c>
      <c r="D8272">
        <f>HYPERLINK("https://www.youtube.com/watch?v=lkMV6SxilXc&amp;t=476s", "Go to time")</f>
        <v/>
      </c>
    </row>
    <row r="8273">
      <c r="A8273">
        <f>HYPERLINK("https://www.youtube.com/watch?v=lkMV6SxilXc", "Video")</f>
        <v/>
      </c>
      <c r="B8273" t="inlineStr">
        <is>
          <t>8:51</t>
        </is>
      </c>
      <c r="C8273" t="inlineStr">
        <is>
          <t>habits shifting you used to be someone</t>
        </is>
      </c>
      <c r="D8273">
        <f>HYPERLINK("https://www.youtube.com/watch?v=lkMV6SxilXc&amp;t=531s", "Go to time")</f>
        <v/>
      </c>
    </row>
    <row r="8274">
      <c r="A8274">
        <f>HYPERLINK("https://www.youtube.com/watch?v=lkMV6SxilXc", "Video")</f>
        <v/>
      </c>
      <c r="B8274" t="inlineStr">
        <is>
          <t>13:01</t>
        </is>
      </c>
      <c r="C8274" t="inlineStr">
        <is>
          <t>reflect it's going to be bittersweet</t>
        </is>
      </c>
      <c r="D8274">
        <f>HYPERLINK("https://www.youtube.com/watch?v=lkMV6SxilXc&amp;t=781s", "Go to time")</f>
        <v/>
      </c>
    </row>
    <row r="8275">
      <c r="A8275">
        <f>HYPERLINK("https://www.youtube.com/watch?v=lkMV6SxilXc", "Video")</f>
        <v/>
      </c>
      <c r="B8275" t="inlineStr">
        <is>
          <t>33:03</t>
        </is>
      </c>
      <c r="C8275" t="inlineStr">
        <is>
          <t>few uh that are a little bit will pivot</t>
        </is>
      </c>
      <c r="D8275">
        <f>HYPERLINK("https://www.youtube.com/watch?v=lkMV6SxilXc&amp;t=1983s", "Go to time")</f>
        <v/>
      </c>
    </row>
    <row r="8276">
      <c r="A8276">
        <f>HYPERLINK("https://www.youtube.com/watch?v=lkMV6SxilXc", "Video")</f>
        <v/>
      </c>
      <c r="B8276" t="inlineStr">
        <is>
          <t>33:05</t>
        </is>
      </c>
      <c r="C8276" t="inlineStr">
        <is>
          <t>a little bit for us um so so Lynn um B</t>
        </is>
      </c>
      <c r="D8276">
        <f>HYPERLINK("https://www.youtube.com/watch?v=lkMV6SxilXc&amp;t=1985s", "Go to time")</f>
        <v/>
      </c>
    </row>
    <row r="8277">
      <c r="A8277">
        <f>HYPERLINK("https://www.youtube.com/watch?v=lkMV6SxilXc", "Video")</f>
        <v/>
      </c>
      <c r="B8277" t="inlineStr">
        <is>
          <t>34:39</t>
        </is>
      </c>
      <c r="C8277" t="inlineStr">
        <is>
          <t>a little bit better so the the second</t>
        </is>
      </c>
      <c r="D8277">
        <f>HYPERLINK("https://www.youtube.com/watch?v=lkMV6SxilXc&amp;t=2079s", "Go to time")</f>
        <v/>
      </c>
    </row>
    <row r="8278">
      <c r="A8278">
        <f>HYPERLINK("https://www.youtube.com/watch?v=lkMV6SxilXc", "Video")</f>
        <v/>
      </c>
      <c r="B8278" t="inlineStr">
        <is>
          <t>43:14</t>
        </is>
      </c>
      <c r="C8278" t="inlineStr">
        <is>
          <t>feel like oh this is a little bit much</t>
        </is>
      </c>
      <c r="D8278">
        <f>HYPERLINK("https://www.youtube.com/watch?v=lkMV6SxilXc&amp;t=2594s", "Go to time")</f>
        <v/>
      </c>
    </row>
    <row r="8279">
      <c r="A8279">
        <f>HYPERLINK("https://www.youtube.com/watch?v=lkMV6SxilXc", "Video")</f>
        <v/>
      </c>
      <c r="B8279" t="inlineStr">
        <is>
          <t>49:41</t>
        </is>
      </c>
      <c r="C8279" t="inlineStr">
        <is>
          <t>automatically if that's a habit you want</t>
        </is>
      </c>
      <c r="D8279">
        <f>HYPERLINK("https://www.youtube.com/watch?v=lkMV6SxilXc&amp;t=2981s", "Go to time")</f>
        <v/>
      </c>
    </row>
    <row r="8280">
      <c r="A8280">
        <f>HYPERLINK("https://www.youtube.com/watch?v=lkMV6SxilXc", "Video")</f>
        <v/>
      </c>
      <c r="B8280" t="inlineStr">
        <is>
          <t>49:44</t>
        </is>
      </c>
      <c r="C8280" t="inlineStr">
        <is>
          <t>a gratitude habit um mindful meditation</t>
        </is>
      </c>
      <c r="D8280">
        <f>HYPERLINK("https://www.youtube.com/watch?v=lkMV6SxilXc&amp;t=2984s", "Go to time")</f>
        <v/>
      </c>
    </row>
    <row r="8281">
      <c r="A8281">
        <f>HYPERLINK("https://www.youtube.com/watch?v=lkMV6SxilXc", "Video")</f>
        <v/>
      </c>
      <c r="B8281" t="inlineStr">
        <is>
          <t>49:47</t>
        </is>
      </c>
      <c r="C8281" t="inlineStr">
        <is>
          <t>habit a kindness habit when know</t>
        </is>
      </c>
      <c r="D8281">
        <f>HYPERLINK("https://www.youtube.com/watch?v=lkMV6SxilXc&amp;t=2987s", "Go to time")</f>
        <v/>
      </c>
    </row>
    <row r="8282">
      <c r="A8282">
        <f>HYPERLINK("https://www.youtube.com/watch?v=lkMV6SxilXc", "Video")</f>
        <v/>
      </c>
      <c r="B8282" t="inlineStr">
        <is>
          <t>55:17</t>
        </is>
      </c>
      <c r="C8282" t="inlineStr">
        <is>
          <t>grind by being a bit smarter in the mind</t>
        </is>
      </c>
      <c r="D8282">
        <f>HYPERLINK("https://www.youtube.com/watch?v=lkMV6SxilXc&amp;t=3317s", "Go to time")</f>
        <v/>
      </c>
    </row>
    <row r="8283">
      <c r="A8283">
        <f>HYPERLINK("https://www.youtube.com/watch?v=eM2VWspRpfk", "Video")</f>
        <v/>
      </c>
      <c r="B8283" t="inlineStr">
        <is>
          <t>0:08</t>
        </is>
      </c>
      <c r="C8283" t="inlineStr">
        <is>
          <t>And by understanding a little bit more
about what sleep is,</t>
        </is>
      </c>
      <c r="D8283">
        <f>HYPERLINK("https://www.youtube.com/watch?v=eM2VWspRpfk&amp;t=8s", "Go to time")</f>
        <v/>
      </c>
    </row>
    <row r="8284">
      <c r="A8284">
        <f>HYPERLINK("https://www.youtube.com/watch?v=8HgUHW8IoMc", "Video")</f>
        <v/>
      </c>
      <c r="B8284" t="inlineStr">
        <is>
          <t>5:52</t>
        </is>
      </c>
      <c r="C8284" t="inlineStr">
        <is>
          <t>to regurgitate a little bit of the food
that they just hunted.</t>
        </is>
      </c>
      <c r="D8284">
        <f>HYPERLINK("https://www.youtube.com/watch?v=8HgUHW8IoMc&amp;t=352s", "Go to time")</f>
        <v/>
      </c>
    </row>
    <row r="8285">
      <c r="A8285">
        <f>HYPERLINK("https://www.youtube.com/watch?v=8HgUHW8IoMc", "Video")</f>
        <v/>
      </c>
      <c r="B8285" t="inlineStr">
        <is>
          <t>8:25</t>
        </is>
      </c>
      <c r="C8285" t="inlineStr">
        <is>
          <t>and we feel as though that should
come with them a little bit.</t>
        </is>
      </c>
      <c r="D8285">
        <f>HYPERLINK("https://www.youtube.com/watch?v=8HgUHW8IoMc&amp;t=505s", "Go to time")</f>
        <v/>
      </c>
    </row>
    <row r="8286">
      <c r="A8286">
        <f>HYPERLINK("https://www.youtube.com/watch?v=8HgUHW8IoMc", "Video")</f>
        <v/>
      </c>
      <c r="B8286" t="inlineStr">
        <is>
          <t>18:20</t>
        </is>
      </c>
      <c r="C8286" t="inlineStr">
        <is>
          <t>and important bit of knowledge for a dog</t>
        </is>
      </c>
      <c r="D8286">
        <f>HYPERLINK("https://www.youtube.com/watch?v=8HgUHW8IoMc&amp;t=1100s", "Go to time")</f>
        <v/>
      </c>
    </row>
    <row r="8287">
      <c r="A8287">
        <f>HYPERLINK("https://www.youtube.com/watch?v=8HgUHW8IoMc", "Video")</f>
        <v/>
      </c>
      <c r="B8287" t="inlineStr">
        <is>
          <t>19:11</t>
        </is>
      </c>
      <c r="C8287" t="inlineStr">
        <is>
          <t>But maybe, could you share
a little bit more</t>
        </is>
      </c>
      <c r="D8287">
        <f>HYPERLINK("https://www.youtube.com/watch?v=8HgUHW8IoMc&amp;t=1151s", "Go to time")</f>
        <v/>
      </c>
    </row>
    <row r="8288">
      <c r="A8288">
        <f>HYPERLINK("https://www.youtube.com/watch?v=8HgUHW8IoMc", "Video")</f>
        <v/>
      </c>
      <c r="B8288" t="inlineStr">
        <is>
          <t>19:34</t>
        </is>
      </c>
      <c r="C8288" t="inlineStr">
        <is>
          <t>maybe by about a year,
maybe will grow a little bit more.</t>
        </is>
      </c>
      <c r="D8288">
        <f>HYPERLINK("https://www.youtube.com/watch?v=8HgUHW8IoMc&amp;t=1174s", "Go to time")</f>
        <v/>
      </c>
    </row>
    <row r="8289">
      <c r="A8289">
        <f>HYPERLINK("https://www.youtube.com/watch?v=8HgUHW8IoMc", "Video")</f>
        <v/>
      </c>
      <c r="B8289" t="inlineStr">
        <is>
          <t>20:46</t>
        </is>
      </c>
      <c r="C8289" t="inlineStr">
        <is>
          <t>if they're a little bit fearful
or a little bit anxious,</t>
        </is>
      </c>
      <c r="D8289">
        <f>HYPERLINK("https://www.youtube.com/watch?v=8HgUHW8IoMc&amp;t=1246s", "Go to time")</f>
        <v/>
      </c>
    </row>
    <row r="8290">
      <c r="A8290">
        <f>HYPERLINK("https://www.youtube.com/watch?v=8HgUHW8IoMc", "Video")</f>
        <v/>
      </c>
      <c r="B8290" t="inlineStr">
        <is>
          <t>23:01</t>
        </is>
      </c>
      <c r="C8290" t="inlineStr">
        <is>
          <t>for a little bit of that cooperative
cohabitation to happen</t>
        </is>
      </c>
      <c r="D8290">
        <f>HYPERLINK("https://www.youtube.com/watch?v=8HgUHW8IoMc&amp;t=1381s", "Go to time")</f>
        <v/>
      </c>
    </row>
    <row r="8291">
      <c r="A8291">
        <f>HYPERLINK("https://www.youtube.com/watch?v=8HgUHW8IoMc", "Video")</f>
        <v/>
      </c>
      <c r="B8291" t="inlineStr">
        <is>
          <t>23:43</t>
        </is>
      </c>
      <c r="C8291" t="inlineStr">
        <is>
          <t>a little bit more of this going in, right?</t>
        </is>
      </c>
      <c r="D8291">
        <f>HYPERLINK("https://www.youtube.com/watch?v=8HgUHW8IoMc&amp;t=1423s", "Go to time")</f>
        <v/>
      </c>
    </row>
    <row r="8292">
      <c r="A8292">
        <f>HYPERLINK("https://www.youtube.com/watch?v=8HgUHW8IoMc", "Video")</f>
        <v/>
      </c>
      <c r="B8292" t="inlineStr">
        <is>
          <t>24:38</t>
        </is>
      </c>
      <c r="C8292" t="inlineStr">
        <is>
          <t>probably a little bit
like adjoining colors.</t>
        </is>
      </c>
      <c r="D8292">
        <f>HYPERLINK("https://www.youtube.com/watch?v=8HgUHW8IoMc&amp;t=1478s", "Go to time")</f>
        <v/>
      </c>
    </row>
    <row r="8293">
      <c r="A8293">
        <f>HYPERLINK("https://www.youtube.com/watch?v=8HgUHW8IoMc", "Video")</f>
        <v/>
      </c>
      <c r="B8293" t="inlineStr">
        <is>
          <t>24:46</t>
        </is>
      </c>
      <c r="C8293" t="inlineStr">
        <is>
          <t>and you notice that, like,
the colors seem muted a little bit,</t>
        </is>
      </c>
      <c r="D8293">
        <f>HYPERLINK("https://www.youtube.com/watch?v=8HgUHW8IoMc&amp;t=1486s", "Go to time")</f>
        <v/>
      </c>
    </row>
    <row r="8294">
      <c r="A8294">
        <f>HYPERLINK("https://www.youtube.com/watch?v=8HgUHW8IoMc", "Video")</f>
        <v/>
      </c>
      <c r="B8294" t="inlineStr">
        <is>
          <t>25:12</t>
        </is>
      </c>
      <c r="C8294" t="inlineStr">
        <is>
          <t>So their eyes are really adapted
to do something a little bit different</t>
        </is>
      </c>
      <c r="D8294">
        <f>HYPERLINK("https://www.youtube.com/watch?v=8HgUHW8IoMc&amp;t=1512s", "Go to time")</f>
        <v/>
      </c>
    </row>
    <row r="8295">
      <c r="A8295">
        <f>HYPERLINK("https://www.youtube.com/watch?v=8HgUHW8IoMc", "Video")</f>
        <v/>
      </c>
      <c r="B8295" t="inlineStr">
        <is>
          <t>29:32</t>
        </is>
      </c>
      <c r="C8295" t="inlineStr">
        <is>
          <t>who is allowed to live in that world
a little bit more,</t>
        </is>
      </c>
      <c r="D8295">
        <f>HYPERLINK("https://www.youtube.com/watch?v=8HgUHW8IoMc&amp;t=1772s", "Go to time")</f>
        <v/>
      </c>
    </row>
    <row r="8296">
      <c r="A8296">
        <f>HYPERLINK("https://www.youtube.com/watch?v=aooScY6qr20", "Video")</f>
        <v/>
      </c>
      <c r="B8296" t="inlineStr">
        <is>
          <t>3:31</t>
        </is>
      </c>
      <c r="C8296" t="inlineStr">
        <is>
          <t>something that would have been
prohibitively expensive to do</t>
        </is>
      </c>
      <c r="D8296">
        <f>HYPERLINK("https://www.youtube.com/watch?v=aooScY6qr20&amp;t=211s", "Go to time")</f>
        <v/>
      </c>
    </row>
    <row r="8297">
      <c r="A8297">
        <f>HYPERLINK("https://www.youtube.com/watch?v=3w6Ztmpm910", "Video")</f>
        <v/>
      </c>
      <c r="B8297" t="inlineStr">
        <is>
          <t>1:08</t>
        </is>
      </c>
      <c r="C8297" t="inlineStr">
        <is>
          <t>They're a bit gnarled and hollowed-out,</t>
        </is>
      </c>
      <c r="D8297">
        <f>HYPERLINK("https://www.youtube.com/watch?v=3w6Ztmpm910&amp;t=68s", "Go to time")</f>
        <v/>
      </c>
    </row>
    <row r="8298">
      <c r="A8298">
        <f>HYPERLINK("https://www.youtube.com/watch?v=3w6Ztmpm910", "Video")</f>
        <v/>
      </c>
      <c r="B8298" t="inlineStr">
        <is>
          <t>3:42</t>
        </is>
      </c>
      <c r="C8298" t="inlineStr">
        <is>
          <t>that this crazy ambition
wasn't so crazy after all.</t>
        </is>
      </c>
      <c r="D8298">
        <f>HYPERLINK("https://www.youtube.com/watch?v=3w6Ztmpm910&amp;t=222s", "Go to time")</f>
        <v/>
      </c>
    </row>
    <row r="8299">
      <c r="A8299">
        <f>HYPERLINK("https://www.youtube.com/watch?v=3w6Ztmpm910", "Video")</f>
        <v/>
      </c>
      <c r="B8299" t="inlineStr">
        <is>
          <t>5:35</t>
        </is>
      </c>
      <c r="C8299" t="inlineStr">
        <is>
          <t>deserves our full attention and ambition.</t>
        </is>
      </c>
      <c r="D8299">
        <f>HYPERLINK("https://www.youtube.com/watch?v=3w6Ztmpm910&amp;t=335s", "Go to time")</f>
        <v/>
      </c>
    </row>
    <row r="8300">
      <c r="A8300">
        <f>HYPERLINK("https://www.youtube.com/watch?v=3w6Ztmpm910", "Video")</f>
        <v/>
      </c>
      <c r="B8300" t="inlineStr">
        <is>
          <t>6:16</t>
        </is>
      </c>
      <c r="C8300" t="inlineStr">
        <is>
          <t>who do their bit to help achieve them.</t>
        </is>
      </c>
      <c r="D8300">
        <f>HYPERLINK("https://www.youtube.com/watch?v=3w6Ztmpm910&amp;t=376s", "Go to time")</f>
        <v/>
      </c>
    </row>
    <row r="8301">
      <c r="A8301">
        <f>HYPERLINK("https://www.youtube.com/watch?v=DZEzUC4QW54", "Video")</f>
        <v/>
      </c>
      <c r="B8301" t="inlineStr">
        <is>
          <t>7:03</t>
        </is>
      </c>
      <c r="C8301" t="inlineStr">
        <is>
          <t>"We all have a bit of Barangaroo in us."</t>
        </is>
      </c>
      <c r="D8301">
        <f>HYPERLINK("https://www.youtube.com/watch?v=DZEzUC4QW54&amp;t=423s", "Go to time")</f>
        <v/>
      </c>
    </row>
    <row r="8302">
      <c r="A8302">
        <f>HYPERLINK("https://www.youtube.com/watch?v=2ch5FJAqLMk", "Video")</f>
        <v/>
      </c>
      <c r="B8302" t="inlineStr">
        <is>
          <t>1:10</t>
        </is>
      </c>
      <c r="C8302" t="inlineStr">
        <is>
          <t>To make this magic
a bit closer to reality,</t>
        </is>
      </c>
      <c r="D8302">
        <f>HYPERLINK("https://www.youtube.com/watch?v=2ch5FJAqLMk&amp;t=70s", "Go to time")</f>
        <v/>
      </c>
    </row>
    <row r="8303">
      <c r="A8303">
        <f>HYPERLINK("https://www.youtube.com/watch?v=Ne-1bg2Ifn4", "Video")</f>
        <v/>
      </c>
      <c r="B8303" t="inlineStr">
        <is>
          <t>8:55</t>
        </is>
      </c>
      <c r="C8303" t="inlineStr">
        <is>
          <t>and their ambition to become more
than the hands that plant trees.</t>
        </is>
      </c>
      <c r="D8303">
        <f>HYPERLINK("https://www.youtube.com/watch?v=Ne-1bg2Ifn4&amp;t=535s", "Go to time")</f>
        <v/>
      </c>
    </row>
    <row r="8304">
      <c r="A8304">
        <f>HYPERLINK("https://www.youtube.com/watch?v=i2l9v_seHCc", "Video")</f>
        <v/>
      </c>
      <c r="B8304" t="inlineStr">
        <is>
          <t>1:11</t>
        </is>
      </c>
      <c r="C8304" t="inlineStr">
        <is>
          <t>Little bit too difficult,</t>
        </is>
      </c>
      <c r="D8304">
        <f>HYPERLINK("https://www.youtube.com/watch?v=i2l9v_seHCc&amp;t=71s", "Go to time")</f>
        <v/>
      </c>
    </row>
    <row r="8305">
      <c r="A8305">
        <f>HYPERLINK("https://www.youtube.com/watch?v=i2l9v_seHCc", "Video")</f>
        <v/>
      </c>
      <c r="B8305" t="inlineStr">
        <is>
          <t>6:50</t>
        </is>
      </c>
      <c r="C8305" t="inlineStr">
        <is>
          <t>the company prohibits
sex-buying during work,</t>
        </is>
      </c>
      <c r="D8305">
        <f>HYPERLINK("https://www.youtube.com/watch?v=i2l9v_seHCc&amp;t=410s", "Go to time")</f>
        <v/>
      </c>
    </row>
    <row r="8306">
      <c r="A8306">
        <f>HYPERLINK("https://www.youtube.com/watch?v=lDB_1iyJ1iQ", "Video")</f>
        <v/>
      </c>
      <c r="B8306" t="inlineStr">
        <is>
          <t>5:35</t>
        </is>
      </c>
      <c r="C8306" t="inlineStr">
        <is>
          <t>But sometimes it does get
a little bit serious,</t>
        </is>
      </c>
      <c r="D8306">
        <f>HYPERLINK("https://www.youtube.com/watch?v=lDB_1iyJ1iQ&amp;t=335s", "Go to time")</f>
        <v/>
      </c>
    </row>
    <row r="8307">
      <c r="A8307">
        <f>HYPERLINK("https://www.youtube.com/watch?v=WRS9Gek4V5Q", "Video")</f>
        <v/>
      </c>
      <c r="B8307" t="inlineStr">
        <is>
          <t>0:13</t>
        </is>
      </c>
      <c r="C8307" t="inlineStr">
        <is>
          <t>I was hoping today to talk
a little bit about creativity.</t>
        </is>
      </c>
      <c r="D8307">
        <f>HYPERLINK("https://www.youtube.com/watch?v=WRS9Gek4V5Q&amp;t=13s", "Go to time")</f>
        <v/>
      </c>
    </row>
    <row r="8308">
      <c r="A8308">
        <f>HYPERLINK("https://www.youtube.com/watch?v=WRS9Gek4V5Q", "Video")</f>
        <v/>
      </c>
      <c r="B8308" t="inlineStr">
        <is>
          <t>6:34</t>
        </is>
      </c>
      <c r="C8308" t="inlineStr">
        <is>
          <t>The pull of habit is so huge,</t>
        </is>
      </c>
      <c r="D8308">
        <f>HYPERLINK("https://www.youtube.com/watch?v=WRS9Gek4V5Q&amp;t=394s", "Go to time")</f>
        <v/>
      </c>
    </row>
    <row r="8309">
      <c r="A8309">
        <f>HYPERLINK("https://www.youtube.com/watch?v=WRS9Gek4V5Q", "Video")</f>
        <v/>
      </c>
      <c r="B8309" t="inlineStr">
        <is>
          <t>6:39</t>
        </is>
      </c>
      <c r="C8309" t="inlineStr">
        <is>
          <t>is that they don't have any habits,</t>
        </is>
      </c>
      <c r="D8309">
        <f>HYPERLINK("https://www.youtube.com/watch?v=WRS9Gek4V5Q&amp;t=399s", "Go to time")</f>
        <v/>
      </c>
    </row>
    <row r="8310">
      <c r="A8310">
        <f>HYPERLINK("https://www.youtube.com/watch?v=iqKYtA3pK1c", "Video")</f>
        <v/>
      </c>
      <c r="B8310" t="inlineStr">
        <is>
          <t>6:46</t>
        </is>
      </c>
      <c r="C8310" t="inlineStr">
        <is>
          <t>they are the aggregation
of your own habits and omissions.</t>
        </is>
      </c>
      <c r="D8310">
        <f>HYPERLINK("https://www.youtube.com/watch?v=iqKYtA3pK1c&amp;t=406s", "Go to time")</f>
        <v/>
      </c>
    </row>
    <row r="8311">
      <c r="A8311">
        <f>HYPERLINK("https://www.youtube.com/watch?v=iqKYtA3pK1c", "Video")</f>
        <v/>
      </c>
      <c r="B8311" t="inlineStr">
        <is>
          <t>12:06</t>
        </is>
      </c>
      <c r="C8311" t="inlineStr">
        <is>
          <t>Find your own ways to foster
civic habits of the heart.</t>
        </is>
      </c>
      <c r="D8311">
        <f>HYPERLINK("https://www.youtube.com/watch?v=iqKYtA3pK1c&amp;t=726s", "Go to time")</f>
        <v/>
      </c>
    </row>
    <row r="8312">
      <c r="A8312">
        <f>HYPERLINK("https://www.youtube.com/watch?v=HY71088saG4", "Video")</f>
        <v/>
      </c>
      <c r="B8312" t="inlineStr">
        <is>
          <t>0:44</t>
        </is>
      </c>
      <c r="C8312" t="inlineStr">
        <is>
          <t>and my last name sounds
a little bit too Jewish.</t>
        </is>
      </c>
      <c r="D8312">
        <f>HYPERLINK("https://www.youtube.com/watch?v=HY71088saG4&amp;t=44s", "Go to time")</f>
        <v/>
      </c>
    </row>
    <row r="8313">
      <c r="A8313">
        <f>HYPERLINK("https://www.youtube.com/watch?v=HY71088saG4", "Video")</f>
        <v/>
      </c>
      <c r="B8313" t="inlineStr">
        <is>
          <t>4:36</t>
        </is>
      </c>
      <c r="C8313" t="inlineStr">
        <is>
          <t>So I want to talk a little bit
about ISIS, Daesh,</t>
        </is>
      </c>
      <c r="D8313">
        <f>HYPERLINK("https://www.youtube.com/watch?v=HY71088saG4&amp;t=276s", "Go to time")</f>
        <v/>
      </c>
    </row>
    <row r="8314">
      <c r="A8314">
        <f>HYPERLINK("https://www.youtube.com/watch?v=DJMhz7JlPvA", "Video")</f>
        <v/>
      </c>
      <c r="B8314" t="inlineStr">
        <is>
          <t>1:23</t>
        </is>
      </c>
      <c r="C8314" t="inlineStr">
        <is>
          <t>is to make things
a little bit easier to use.</t>
        </is>
      </c>
      <c r="D8314">
        <f>HYPERLINK("https://www.youtube.com/watch?v=DJMhz7JlPvA&amp;t=83s", "Go to time")</f>
        <v/>
      </c>
    </row>
    <row r="8315">
      <c r="A8315">
        <f>HYPERLINK("https://www.youtube.com/watch?v=DJMhz7JlPvA", "Video")</f>
        <v/>
      </c>
      <c r="B8315" t="inlineStr">
        <is>
          <t>8:04</t>
        </is>
      </c>
      <c r="C8315" t="inlineStr">
        <is>
          <t>maybe, hopefully, a bit more social grace.</t>
        </is>
      </c>
      <c r="D8315">
        <f>HYPERLINK("https://www.youtube.com/watch?v=DJMhz7JlPvA&amp;t=484s", "Go to time")</f>
        <v/>
      </c>
    </row>
    <row r="8316">
      <c r="A8316">
        <f>HYPERLINK("https://www.youtube.com/watch?v=zgtD2Cerots", "Video")</f>
        <v/>
      </c>
      <c r="B8316" t="inlineStr">
        <is>
          <t>2:55</t>
        </is>
      </c>
      <c r="C8316" t="inlineStr">
        <is>
          <t>Tip three: Make it a little bit easier
for people to belong to something.</t>
        </is>
      </c>
      <c r="D8316">
        <f>HYPERLINK("https://www.youtube.com/watch?v=zgtD2Cerots&amp;t=175s", "Go to time")</f>
        <v/>
      </c>
    </row>
    <row r="8317">
      <c r="A8317">
        <f>HYPERLINK("https://www.youtube.com/watch?v=a63t8r70QN0", "Video")</f>
        <v/>
      </c>
      <c r="B8317" t="inlineStr">
        <is>
          <t>13:58</t>
        </is>
      </c>
      <c r="C8317" t="inlineStr">
        <is>
          <t>perhaps we should get out of the habit</t>
        </is>
      </c>
      <c r="D8317">
        <f>HYPERLINK("https://www.youtube.com/watch?v=a63t8r70QN0&amp;t=838s", "Go to time")</f>
        <v/>
      </c>
    </row>
    <row r="8318">
      <c r="A8318">
        <f>HYPERLINK("https://www.youtube.com/watch?v=a63t8r70QN0", "Video")</f>
        <v/>
      </c>
      <c r="B8318" t="inlineStr">
        <is>
          <t>14:04</t>
        </is>
      </c>
      <c r="C8318" t="inlineStr">
        <is>
          <t>and get into the habit of looking
at them with a critical eye,</t>
        </is>
      </c>
      <c r="D8318">
        <f>HYPERLINK("https://www.youtube.com/watch?v=a63t8r70QN0&amp;t=844s", "Go to time")</f>
        <v/>
      </c>
    </row>
    <row r="8319">
      <c r="A8319">
        <f>HYPERLINK("https://www.youtube.com/watch?v=0-FkPxSc_M4", "Video")</f>
        <v/>
      </c>
      <c r="B8319" t="inlineStr">
        <is>
          <t>5:23</t>
        </is>
      </c>
      <c r="C8319" t="inlineStr">
        <is>
          <t>were published at a large exhibition
in Milan by Vogue Magazine.</t>
        </is>
      </c>
      <c r="D8319">
        <f>HYPERLINK("https://www.youtube.com/watch?v=0-FkPxSc_M4&amp;t=323s", "Go to time")</f>
        <v/>
      </c>
    </row>
    <row r="8320">
      <c r="A8320">
        <f>HYPERLINK("https://www.youtube.com/watch?v=4lxyPcI7kn0", "Video")</f>
        <v/>
      </c>
      <c r="B8320" t="inlineStr">
        <is>
          <t>10:23</t>
        </is>
      </c>
      <c r="C8320" t="inlineStr">
        <is>
          <t>Scared as well, because
this is a bit huge, you know.</t>
        </is>
      </c>
      <c r="D8320">
        <f>HYPERLINK("https://www.youtube.com/watch?v=4lxyPcI7kn0&amp;t=623s", "Go to time")</f>
        <v/>
      </c>
    </row>
    <row r="8321">
      <c r="A8321">
        <f>HYPERLINK("https://www.youtube.com/watch?v=MeKJK4uetL8", "Video")</f>
        <v/>
      </c>
      <c r="B8321" t="inlineStr">
        <is>
          <t>3:04</t>
        </is>
      </c>
      <c r="C8321" t="inlineStr">
        <is>
          <t>and drawing a picture,
a bit like a family tree,</t>
        </is>
      </c>
      <c r="D8321">
        <f>HYPERLINK("https://www.youtube.com/watch?v=MeKJK4uetL8&amp;t=184s", "Go to time")</f>
        <v/>
      </c>
    </row>
    <row r="8322">
      <c r="A8322">
        <f>HYPERLINK("https://www.youtube.com/watch?v=MeKJK4uetL8", "Video")</f>
        <v/>
      </c>
      <c r="B8322" t="inlineStr">
        <is>
          <t>3:36</t>
        </is>
      </c>
      <c r="C8322" t="inlineStr">
        <is>
          <t>which is, I think, a bit more interesting</t>
        </is>
      </c>
      <c r="D8322">
        <f>HYPERLINK("https://www.youtube.com/watch?v=MeKJK4uetL8&amp;t=216s", "Go to time")</f>
        <v/>
      </c>
    </row>
    <row r="8323">
      <c r="A8323">
        <f>HYPERLINK("https://www.youtube.com/watch?v=AbpNlshqtJc", "Video")</f>
        <v/>
      </c>
      <c r="B8323" t="inlineStr">
        <is>
          <t>0:23</t>
        </is>
      </c>
      <c r="C8323" t="inlineStr">
        <is>
          <t>But it’s a little bit more
down to Earth, really.</t>
        </is>
      </c>
      <c r="D8323">
        <f>HYPERLINK("https://www.youtube.com/watch?v=AbpNlshqtJc&amp;t=23s", "Go to time")</f>
        <v/>
      </c>
    </row>
    <row r="8324">
      <c r="A8324">
        <f>HYPERLINK("https://www.youtube.com/watch?v=EjNV6JwlV2s", "Video")</f>
        <v/>
      </c>
      <c r="B8324" t="inlineStr">
        <is>
          <t>0:08</t>
        </is>
      </c>
      <c r="C8324" t="inlineStr">
        <is>
          <t>I want to ask you a bit about just
your style of speaking,</t>
        </is>
      </c>
      <c r="D8324">
        <f>HYPERLINK("https://www.youtube.com/watch?v=EjNV6JwlV2s&amp;t=8s", "Go to time")</f>
        <v/>
      </c>
    </row>
    <row r="8325">
      <c r="A8325">
        <f>HYPERLINK("https://www.youtube.com/watch?v=EjNV6JwlV2s", "Video")</f>
        <v/>
      </c>
      <c r="B8325" t="inlineStr">
        <is>
          <t>13:59</t>
        </is>
      </c>
      <c r="C8325" t="inlineStr">
        <is>
          <t>found your comment
about diabetes a bit smug.</t>
        </is>
      </c>
      <c r="D8325">
        <f>HYPERLINK("https://www.youtube.com/watch?v=EjNV6JwlV2s&amp;t=839s", "Go to time")</f>
        <v/>
      </c>
    </row>
    <row r="8326">
      <c r="A8326">
        <f>HYPERLINK("https://www.youtube.com/watch?v=EjNV6JwlV2s", "Video")</f>
        <v/>
      </c>
      <c r="B8326" t="inlineStr">
        <is>
          <t>19:19</t>
        </is>
      </c>
      <c r="C8326" t="inlineStr">
        <is>
          <t>and are more prone to go down
a rabbit hole of depression</t>
        </is>
      </c>
      <c r="D8326">
        <f>HYPERLINK("https://www.youtube.com/watch?v=EjNV6JwlV2s&amp;t=1159s", "Go to time")</f>
        <v/>
      </c>
    </row>
    <row r="8327">
      <c r="A8327">
        <f>HYPERLINK("https://www.youtube.com/watch?v=uH9r3lJmyaM", "Video")</f>
        <v/>
      </c>
      <c r="B8327" t="inlineStr">
        <is>
          <t>3:25</t>
        </is>
      </c>
      <c r="C8327" t="inlineStr">
        <is>
          <t>Frankly, I would be a little bit worried</t>
        </is>
      </c>
      <c r="D8327">
        <f>HYPERLINK("https://www.youtube.com/watch?v=uH9r3lJmyaM&amp;t=205s", "Go to time")</f>
        <v/>
      </c>
    </row>
    <row r="8328">
      <c r="A8328">
        <f>HYPERLINK("https://www.youtube.com/watch?v=uH9r3lJmyaM", "Video")</f>
        <v/>
      </c>
      <c r="B8328" t="inlineStr">
        <is>
          <t>7:30</t>
        </is>
      </c>
      <c r="C8328" t="inlineStr">
        <is>
          <t>but we may squirm a little bit
in our seat if we look too close.</t>
        </is>
      </c>
      <c r="D8328">
        <f>HYPERLINK("https://www.youtube.com/watch?v=uH9r3lJmyaM&amp;t=450s", "Go to time")</f>
        <v/>
      </c>
    </row>
    <row r="8329">
      <c r="A8329">
        <f>HYPERLINK("https://www.youtube.com/watch?v=VSUWNy_-pLI", "Video")</f>
        <v/>
      </c>
      <c r="B8329" t="inlineStr">
        <is>
          <t>1:24</t>
        </is>
      </c>
      <c r="C8329" t="inlineStr">
        <is>
          <t>The year we lost our inhibition
and moved with courageous abandon</t>
        </is>
      </c>
      <c r="D8329">
        <f>HYPERLINK("https://www.youtube.com/watch?v=VSUWNy_-pLI&amp;t=84s", "Go to time")</f>
        <v/>
      </c>
    </row>
    <row r="8330">
      <c r="A8330">
        <f>HYPERLINK("https://www.youtube.com/watch?v=XY_lzonfE3I", "Video")</f>
        <v/>
      </c>
      <c r="B8330" t="inlineStr">
        <is>
          <t>4:25</t>
        </is>
      </c>
      <c r="C8330" t="inlineStr">
        <is>
          <t>So I want to talk a little bit more
about that energy.</t>
        </is>
      </c>
      <c r="D8330">
        <f>HYPERLINK("https://www.youtube.com/watch?v=XY_lzonfE3I&amp;t=265s", "Go to time")</f>
        <v/>
      </c>
    </row>
    <row r="8331">
      <c r="A8331">
        <f>HYPERLINK("https://www.youtube.com/watch?v=XY_lzonfE3I", "Video")</f>
        <v/>
      </c>
      <c r="B8331" t="inlineStr">
        <is>
          <t>5:53</t>
        </is>
      </c>
      <c r="C8331" t="inlineStr">
        <is>
          <t>I'm going to talk to you a little bit</t>
        </is>
      </c>
      <c r="D8331">
        <f>HYPERLINK("https://www.youtube.com/watch?v=XY_lzonfE3I&amp;t=353s", "Go to time")</f>
        <v/>
      </c>
    </row>
    <row r="8332">
      <c r="A8332">
        <f>HYPERLINK("https://www.youtube.com/watch?v=XY_lzonfE3I", "Video")</f>
        <v/>
      </c>
      <c r="B8332" t="inlineStr">
        <is>
          <t>12:22</t>
        </is>
      </c>
      <c r="C8332" t="inlineStr">
        <is>
          <t>But I want us to reflect a little bit
again on negative emissions.</t>
        </is>
      </c>
      <c r="D8332">
        <f>HYPERLINK("https://www.youtube.com/watch?v=XY_lzonfE3I&amp;t=742s", "Go to time")</f>
        <v/>
      </c>
    </row>
    <row r="8333">
      <c r="A8333">
        <f>HYPERLINK("https://www.youtube.com/watch?v=XY_lzonfE3I", "Video")</f>
        <v/>
      </c>
      <c r="B8333" t="inlineStr">
        <is>
          <t>13:17</t>
        </is>
      </c>
      <c r="C8333" t="inlineStr">
        <is>
          <t>A little bit of self-reflection:</t>
        </is>
      </c>
      <c r="D8333">
        <f>HYPERLINK("https://www.youtube.com/watch?v=XY_lzonfE3I&amp;t=797s", "Go to time")</f>
        <v/>
      </c>
    </row>
    <row r="8334">
      <c r="A8334">
        <f>HYPERLINK("https://www.youtube.com/watch?v=lXYu8YRWOUo", "Video")</f>
        <v/>
      </c>
      <c r="B8334" t="inlineStr">
        <is>
          <t>3:22</t>
        </is>
      </c>
      <c r="C8334" t="inlineStr">
        <is>
          <t>but instead we can actually turn
and steer drill bits</t>
        </is>
      </c>
      <c r="D8334">
        <f>HYPERLINK("https://www.youtube.com/watch?v=lXYu8YRWOUo&amp;t=202s", "Go to time")</f>
        <v/>
      </c>
    </row>
    <row r="8335">
      <c r="A8335">
        <f>HYPERLINK("https://www.youtube.com/watch?v=lXYu8YRWOUo", "Video")</f>
        <v/>
      </c>
      <c r="B8335" t="inlineStr">
        <is>
          <t>5:00</t>
        </is>
      </c>
      <c r="C8335" t="inlineStr">
        <is>
          <t>and steer that drill bit right?</t>
        </is>
      </c>
      <c r="D8335">
        <f>HYPERLINK("https://www.youtube.com/watch?v=lXYu8YRWOUo&amp;t=300s", "Go to time")</f>
        <v/>
      </c>
    </row>
    <row r="8336">
      <c r="A8336">
        <f>HYPERLINK("https://www.youtube.com/watch?v=Uq6XgrYBugo", "Video")</f>
        <v/>
      </c>
      <c r="B8336" t="inlineStr">
        <is>
          <t>3:09</t>
        </is>
      </c>
      <c r="C8336" t="inlineStr">
        <is>
          <t>but it goes a little bit deeper than that.</t>
        </is>
      </c>
      <c r="D8336">
        <f>HYPERLINK("https://www.youtube.com/watch?v=Uq6XgrYBugo&amp;t=189s", "Go to time")</f>
        <v/>
      </c>
    </row>
    <row r="8337">
      <c r="A8337">
        <f>HYPERLINK("https://www.youtube.com/watch?v=6wCml0g2mRE", "Video")</f>
        <v/>
      </c>
      <c r="B8337" t="inlineStr">
        <is>
          <t>5:36</t>
        </is>
      </c>
      <c r="C8337" t="inlineStr">
        <is>
          <t>But we invented emojis
to make it a little bit better.</t>
        </is>
      </c>
      <c r="D8337">
        <f>HYPERLINK("https://www.youtube.com/watch?v=6wCml0g2mRE&amp;t=336s", "Go to time")</f>
        <v/>
      </c>
    </row>
    <row r="8338">
      <c r="A8338">
        <f>HYPERLINK("https://www.youtube.com/watch?v=CIlgTBmiov0", "Video")</f>
        <v/>
      </c>
      <c r="B8338" t="inlineStr">
        <is>
          <t>1:15</t>
        </is>
      </c>
      <c r="C8338" t="inlineStr">
        <is>
          <t>But when it comes to our goals,
identities and habits,</t>
        </is>
      </c>
      <c r="D8338">
        <f>HYPERLINK("https://www.youtube.com/watch?v=CIlgTBmiov0&amp;t=75s", "Go to time")</f>
        <v/>
      </c>
    </row>
    <row r="8339">
      <c r="A8339">
        <f>HYPERLINK("https://www.youtube.com/watch?v=CIlgTBmiov0", "Video")</f>
        <v/>
      </c>
      <c r="B8339" t="inlineStr">
        <is>
          <t>9:10</t>
        </is>
      </c>
      <c r="C8339" t="inlineStr">
        <is>
          <t>Those habits served me well.</t>
        </is>
      </c>
      <c r="D8339">
        <f>HYPERLINK("https://www.youtube.com/watch?v=CIlgTBmiov0&amp;t=550s", "Go to time")</f>
        <v/>
      </c>
    </row>
    <row r="8340">
      <c r="A8340">
        <f>HYPERLINK("https://www.youtube.com/watch?v=CIlgTBmiov0", "Video")</f>
        <v/>
      </c>
      <c r="B8340" t="inlineStr">
        <is>
          <t>9:47</t>
        </is>
      </c>
      <c r="C8340" t="inlineStr">
        <is>
          <t>Even good habits can stand
in the way of rethinking.</t>
        </is>
      </c>
      <c r="D8340">
        <f>HYPERLINK("https://www.youtube.com/watch?v=CIlgTBmiov0&amp;t=587s", "Go to time")</f>
        <v/>
      </c>
    </row>
    <row r="8341">
      <c r="A8341">
        <f>HYPERLINK("https://www.youtube.com/watch?v=CIlgTBmiov0", "Video")</f>
        <v/>
      </c>
      <c r="B8341" t="inlineStr">
        <is>
          <t>11:37</t>
        </is>
      </c>
      <c r="C8341" t="inlineStr">
        <is>
          <t>A relationship checkup
to re-examine your habits.</t>
        </is>
      </c>
      <c r="D8341">
        <f>HYPERLINK("https://www.youtube.com/watch?v=CIlgTBmiov0&amp;t=697s", "Go to time")</f>
        <v/>
      </c>
    </row>
    <row r="8342">
      <c r="A8342">
        <f>HYPERLINK("https://www.youtube.com/watch?v=CIlgTBmiov0", "Video")</f>
        <v/>
      </c>
      <c r="B8342" t="inlineStr">
        <is>
          <t>12:01</t>
        </is>
      </c>
      <c r="C8342" t="inlineStr">
        <is>
          <t>when to walk away from some old habits
and start scaling a new mountain.</t>
        </is>
      </c>
      <c r="D8342">
        <f>HYPERLINK("https://www.youtube.com/watch?v=CIlgTBmiov0&amp;t=721s", "Go to time")</f>
        <v/>
      </c>
    </row>
    <row r="8343">
      <c r="A8343">
        <f>HYPERLINK("https://www.youtube.com/watch?v=ZrdgSp-OVpM", "Video")</f>
        <v/>
      </c>
      <c r="B8343" t="inlineStr">
        <is>
          <t>3:51</t>
        </is>
      </c>
      <c r="C8343" t="inlineStr">
        <is>
          <t>we need to be super ambitious,</t>
        </is>
      </c>
      <c r="D8343">
        <f>HYPERLINK("https://www.youtube.com/watch?v=ZrdgSp-OVpM&amp;t=231s", "Go to time")</f>
        <v/>
      </c>
    </row>
    <row r="8344">
      <c r="A8344">
        <f>HYPERLINK("https://www.youtube.com/watch?v=BAswj8evFZk", "Video")</f>
        <v/>
      </c>
      <c r="B8344" t="inlineStr">
        <is>
          <t>6:23</t>
        </is>
      </c>
      <c r="C8344" t="inlineStr">
        <is>
          <t>but at the very least, it was pretty clear
that I was exhibiting an excess of anger</t>
        </is>
      </c>
      <c r="D8344">
        <f>HYPERLINK("https://www.youtube.com/watch?v=BAswj8evFZk&amp;t=383s", "Go to time")</f>
        <v/>
      </c>
    </row>
    <row r="8345">
      <c r="A8345">
        <f>HYPERLINK("https://www.youtube.com/watch?v=BAswj8evFZk", "Video")</f>
        <v/>
      </c>
      <c r="B8345" t="inlineStr">
        <is>
          <t>7:34</t>
        </is>
      </c>
      <c r="C8345" t="inlineStr">
        <is>
          <t>everyone in our society would become
a little bit bummed out and sad</t>
        </is>
      </c>
      <c r="D8345">
        <f>HYPERLINK("https://www.youtube.com/watch?v=BAswj8evFZk&amp;t=454s", "Go to time")</f>
        <v/>
      </c>
    </row>
    <row r="8346">
      <c r="A8346">
        <f>HYPERLINK("https://www.youtube.com/watch?v=rfmDJzBorE0", "Video")</f>
        <v/>
      </c>
      <c r="B8346" t="inlineStr">
        <is>
          <t>0:55</t>
        </is>
      </c>
      <c r="C8346" t="inlineStr">
        <is>
          <t>but just got a little bit too tight?</t>
        </is>
      </c>
      <c r="D8346">
        <f>HYPERLINK("https://www.youtube.com/watch?v=rfmDJzBorE0&amp;t=55s", "Go to time")</f>
        <v/>
      </c>
    </row>
    <row r="8347">
      <c r="A8347">
        <f>HYPERLINK("https://www.youtube.com/watch?v=rfmDJzBorE0", "Video")</f>
        <v/>
      </c>
      <c r="B8347" t="inlineStr">
        <is>
          <t>3:42</t>
        </is>
      </c>
      <c r="C8347" t="inlineStr">
        <is>
          <t>where the dinosaurs went extinct
and the poor little trilobites</t>
        </is>
      </c>
      <c r="D8347">
        <f>HYPERLINK("https://www.youtube.com/watch?v=rfmDJzBorE0&amp;t=222s", "Go to time")</f>
        <v/>
      </c>
    </row>
    <row r="8348">
      <c r="A8348">
        <f>HYPERLINK("https://www.youtube.com/watch?v=Z1R1z9ipFnM", "Video")</f>
        <v/>
      </c>
      <c r="B8348" t="inlineStr">
        <is>
          <t>4:41</t>
        </is>
      </c>
      <c r="C8348" t="inlineStr">
        <is>
          <t>that pushes the bits of particulate
around in the water.</t>
        </is>
      </c>
      <c r="D8348">
        <f>HYPERLINK("https://www.youtube.com/watch?v=Z1R1z9ipFnM&amp;t=281s", "Go to time")</f>
        <v/>
      </c>
    </row>
    <row r="8349">
      <c r="A8349">
        <f>HYPERLINK("https://www.youtube.com/watch?v=G7VxEqJp3NQ", "Video")</f>
        <v/>
      </c>
      <c r="B8349" t="inlineStr">
        <is>
          <t>0:11</t>
        </is>
      </c>
      <c r="C8349" t="inlineStr">
        <is>
          <t>They brought me in
for a bit of comic relief.</t>
        </is>
      </c>
      <c r="D8349">
        <f>HYPERLINK("https://www.youtube.com/watch?v=G7VxEqJp3NQ&amp;t=11s", "Go to time")</f>
        <v/>
      </c>
    </row>
    <row r="8350">
      <c r="A8350">
        <f>HYPERLINK("https://www.youtube.com/watch?v=G7VxEqJp3NQ", "Video")</f>
        <v/>
      </c>
      <c r="B8350" t="inlineStr">
        <is>
          <t>4:00</t>
        </is>
      </c>
      <c r="C8350" t="inlineStr">
        <is>
          <t>Like, "Not to be a bitch,
but you have cancer."</t>
        </is>
      </c>
      <c r="D8350">
        <f>HYPERLINK("https://www.youtube.com/watch?v=G7VxEqJp3NQ&amp;t=240s", "Go to time")</f>
        <v/>
      </c>
    </row>
    <row r="8351">
      <c r="A8351">
        <f>HYPERLINK("https://www.youtube.com/watch?v=G7VxEqJp3NQ", "Video")</f>
        <v/>
      </c>
      <c r="B8351" t="inlineStr">
        <is>
          <t>5:17</t>
        </is>
      </c>
      <c r="C8351" t="inlineStr">
        <is>
          <t>"You're a bitch, where's my food?"</t>
        </is>
      </c>
      <c r="D8351">
        <f>HYPERLINK("https://www.youtube.com/watch?v=G7VxEqJp3NQ&amp;t=317s", "Go to time")</f>
        <v/>
      </c>
    </row>
    <row r="8352">
      <c r="A8352">
        <f>HYPERLINK("https://www.youtube.com/watch?v=phgjouv0BUA", "Video")</f>
        <v/>
      </c>
      <c r="B8352" t="inlineStr">
        <is>
          <t>1:12</t>
        </is>
      </c>
      <c r="C8352" t="inlineStr">
        <is>
          <t>And to uncover it,
let me take you back a little bit.</t>
        </is>
      </c>
      <c r="D8352">
        <f>HYPERLINK("https://www.youtube.com/watch?v=phgjouv0BUA&amp;t=72s", "Go to time")</f>
        <v/>
      </c>
    </row>
    <row r="8353">
      <c r="A8353">
        <f>HYPERLINK("https://www.youtube.com/watch?v=phgjouv0BUA", "Video")</f>
        <v/>
      </c>
      <c r="B8353" t="inlineStr">
        <is>
          <t>5:52</t>
        </is>
      </c>
      <c r="C8353" t="inlineStr">
        <is>
          <t>And if we are to expand
that notion a little bit,</t>
        </is>
      </c>
      <c r="D8353">
        <f>HYPERLINK("https://www.youtube.com/watch?v=phgjouv0BUA&amp;t=352s", "Go to time")</f>
        <v/>
      </c>
    </row>
    <row r="8354">
      <c r="A8354">
        <f>HYPERLINK("https://www.youtube.com/watch?v=55yGmKc6WfE", "Video")</f>
        <v/>
      </c>
      <c r="B8354" t="inlineStr">
        <is>
          <t>7:34</t>
        </is>
      </c>
      <c r="C8354" t="inlineStr">
        <is>
          <t>and curated numerous exhibitions
on every continent,</t>
        </is>
      </c>
      <c r="D8354">
        <f>HYPERLINK("https://www.youtube.com/watch?v=55yGmKc6WfE&amp;t=454s", "Go to time")</f>
        <v/>
      </c>
    </row>
    <row r="8355">
      <c r="A8355">
        <f>HYPERLINK("https://www.youtube.com/watch?v=KIh2-S2jXls", "Video")</f>
        <v/>
      </c>
      <c r="B8355" t="inlineStr">
        <is>
          <t>1:18</t>
        </is>
      </c>
      <c r="C8355" t="inlineStr">
        <is>
          <t>Whitney Pennington Rodgers:
We're going to be looking a little bit</t>
        </is>
      </c>
      <c r="D8355">
        <f>HYPERLINK("https://www.youtube.com/watch?v=KIh2-S2jXls&amp;t=78s", "Go to time")</f>
        <v/>
      </c>
    </row>
    <row r="8356">
      <c r="A8356">
        <f>HYPERLINK("https://www.youtube.com/watch?v=KIh2-S2jXls", "Video")</f>
        <v/>
      </c>
      <c r="B8356" t="inlineStr">
        <is>
          <t>17:14</t>
        </is>
      </c>
      <c r="C8356" t="inlineStr">
        <is>
          <t>Which is one of the reasons
why it did spread a little bit</t>
        </is>
      </c>
      <c r="D8356">
        <f>HYPERLINK("https://www.youtube.com/watch?v=KIh2-S2jXls&amp;t=1034s", "Go to time")</f>
        <v/>
      </c>
    </row>
    <row r="8357">
      <c r="A8357">
        <f>HYPERLINK("https://www.youtube.com/watch?v=KIh2-S2jXls", "Video")</f>
        <v/>
      </c>
      <c r="B8357" t="inlineStr">
        <is>
          <t>17:30</t>
        </is>
      </c>
      <c r="C8357" t="inlineStr">
        <is>
          <t>I'm interested to talk with you
a little bit more about --</t>
        </is>
      </c>
      <c r="D8357">
        <f>HYPERLINK("https://www.youtube.com/watch?v=KIh2-S2jXls&amp;t=1050s", "Go to time")</f>
        <v/>
      </c>
    </row>
    <row r="8358">
      <c r="A8358">
        <f>HYPERLINK("https://www.youtube.com/watch?v=KIh2-S2jXls", "Video")</f>
        <v/>
      </c>
      <c r="B8358" t="inlineStr">
        <is>
          <t>21:30</t>
        </is>
      </c>
      <c r="C8358" t="inlineStr">
        <is>
          <t>Hong Kong is a little bit different.</t>
        </is>
      </c>
      <c r="D8358">
        <f>HYPERLINK("https://www.youtube.com/watch?v=KIh2-S2jXls&amp;t=1290s", "Go to time")</f>
        <v/>
      </c>
    </row>
    <row r="8359">
      <c r="A8359">
        <f>HYPERLINK("https://www.youtube.com/watch?v=KIh2-S2jXls", "Video")</f>
        <v/>
      </c>
      <c r="B8359" t="inlineStr">
        <is>
          <t>29:10</t>
        </is>
      </c>
      <c r="C8359" t="inlineStr">
        <is>
          <t>even though they flip-flopped a little bit</t>
        </is>
      </c>
      <c r="D8359">
        <f>HYPERLINK("https://www.youtube.com/watch?v=KIh2-S2jXls&amp;t=1750s", "Go to time")</f>
        <v/>
      </c>
    </row>
    <row r="8360">
      <c r="A8360">
        <f>HYPERLINK("https://www.youtube.com/watch?v=KIh2-S2jXls", "Video")</f>
        <v/>
      </c>
      <c r="B8360" t="inlineStr">
        <is>
          <t>29:24</t>
        </is>
      </c>
      <c r="C8360" t="inlineStr">
        <is>
          <t>and that habit actually stayed
with Hong Kongers,</t>
        </is>
      </c>
      <c r="D8360">
        <f>HYPERLINK("https://www.youtube.com/watch?v=KIh2-S2jXls&amp;t=1764s", "Go to time")</f>
        <v/>
      </c>
    </row>
    <row r="8361">
      <c r="A8361">
        <f>HYPERLINK("https://www.youtube.com/watch?v=KIh2-S2jXls", "Video")</f>
        <v/>
      </c>
      <c r="B8361" t="inlineStr">
        <is>
          <t>42:10</t>
        </is>
      </c>
      <c r="C8361" t="inlineStr">
        <is>
          <t>that has meant people
are a little bit more selfless,</t>
        </is>
      </c>
      <c r="D8361">
        <f>HYPERLINK("https://www.youtube.com/watch?v=KIh2-S2jXls&amp;t=2530s", "Go to time")</f>
        <v/>
      </c>
    </row>
    <row r="8362">
      <c r="A8362">
        <f>HYPERLINK("https://www.youtube.com/watch?v=KIh2-S2jXls", "Video")</f>
        <v/>
      </c>
      <c r="B8362" t="inlineStr">
        <is>
          <t>45:41</t>
        </is>
      </c>
      <c r="C8362" t="inlineStr">
        <is>
          <t>and again, this might feel
a little bit stereotypical,</t>
        </is>
      </c>
      <c r="D8362">
        <f>HYPERLINK("https://www.youtube.com/watch?v=KIh2-S2jXls&amp;t=2741s", "Go to time")</f>
        <v/>
      </c>
    </row>
    <row r="8363">
      <c r="A8363">
        <f>HYPERLINK("https://www.youtube.com/watch?v=KIh2-S2jXls", "Video")</f>
        <v/>
      </c>
      <c r="B8363" t="inlineStr">
        <is>
          <t>56:33</t>
        </is>
      </c>
      <c r="C8363" t="inlineStr">
        <is>
          <t>And just in case anyone out there
is feeling a little bit powerless,</t>
        </is>
      </c>
      <c r="D8363">
        <f>HYPERLINK("https://www.youtube.com/watch?v=KIh2-S2jXls&amp;t=3393s", "Go to time")</f>
        <v/>
      </c>
    </row>
    <row r="8364">
      <c r="A8364">
        <f>HYPERLINK("https://www.youtube.com/watch?v=KIh2-S2jXls", "Video")</f>
        <v/>
      </c>
      <c r="B8364" t="inlineStr">
        <is>
          <t>57:46</t>
        </is>
      </c>
      <c r="C8364" t="inlineStr">
        <is>
          <t>but I kind of think we need
that spirit right now a little bit.</t>
        </is>
      </c>
      <c r="D8364">
        <f>HYPERLINK("https://www.youtube.com/watch?v=KIh2-S2jXls&amp;t=3466s", "Go to time")</f>
        <v/>
      </c>
    </row>
    <row r="8365">
      <c r="A8365">
        <f>HYPERLINK("https://www.youtube.com/watch?v=KIh2-S2jXls", "Video")</f>
        <v/>
      </c>
      <c r="B8365" t="inlineStr">
        <is>
          <t>57:51</t>
        </is>
      </c>
      <c r="C8365" t="inlineStr">
        <is>
          <t>and TED is going to try
and play that role a bit.</t>
        </is>
      </c>
      <c r="D8365">
        <f>HYPERLINK("https://www.youtube.com/watch?v=KIh2-S2jXls&amp;t=3471s", "Go to time")</f>
        <v/>
      </c>
    </row>
    <row r="8366">
      <c r="A8366">
        <f>HYPERLINK("https://www.youtube.com/watch?v=KIh2-S2jXls", "Video")</f>
        <v/>
      </c>
      <c r="B8366" t="inlineStr">
        <is>
          <t>58:13</t>
        </is>
      </c>
      <c r="C8366" t="inlineStr">
        <is>
          <t>We're learning a bit each day, I hope.</t>
        </is>
      </c>
      <c r="D8366">
        <f>HYPERLINK("https://www.youtube.com/watch?v=KIh2-S2jXls&amp;t=3493s", "Go to time")</f>
        <v/>
      </c>
    </row>
    <row r="8367">
      <c r="A8367">
        <f>HYPERLINK("https://www.youtube.com/watch?v=m9bTgNjYTS0", "Video")</f>
        <v/>
      </c>
      <c r="B8367" t="inlineStr">
        <is>
          <t>8:27</t>
        </is>
      </c>
      <c r="C8367" t="inlineStr">
        <is>
          <t>which seems a little bit unlikely
in the context of disruptive innovation,</t>
        </is>
      </c>
      <c r="D8367">
        <f>HYPERLINK("https://www.youtube.com/watch?v=m9bTgNjYTS0&amp;t=507s", "Go to time")</f>
        <v/>
      </c>
    </row>
    <row r="8368">
      <c r="A8368">
        <f>HYPERLINK("https://www.youtube.com/watch?v=z1r1ugmDxjk", "Video")</f>
        <v/>
      </c>
      <c r="B8368" t="inlineStr">
        <is>
          <t>1:32</t>
        </is>
      </c>
      <c r="C8368" t="inlineStr">
        <is>
          <t>holding signs that said,
"Yankee go home. Son of a bitch,"</t>
        </is>
      </c>
      <c r="D8368">
        <f>HYPERLINK("https://www.youtube.com/watch?v=z1r1ugmDxjk&amp;t=92s", "Go to time")</f>
        <v/>
      </c>
    </row>
    <row r="8369">
      <c r="A8369">
        <f>HYPERLINK("https://www.youtube.com/watch?v=z1r1ugmDxjk", "Video")</f>
        <v/>
      </c>
      <c r="B8369" t="inlineStr">
        <is>
          <t>3:16</t>
        </is>
      </c>
      <c r="C8369" t="inlineStr">
        <is>
          <t>But let me back up a bit.</t>
        </is>
      </c>
      <c r="D8369">
        <f>HYPERLINK("https://www.youtube.com/watch?v=z1r1ugmDxjk&amp;t=196s", "Go to time")</f>
        <v/>
      </c>
    </row>
    <row r="8370">
      <c r="A8370">
        <f>HYPERLINK("https://www.youtube.com/watch?v=wXODvu8UfXc", "Video")</f>
        <v/>
      </c>
      <c r="B8370" t="inlineStr">
        <is>
          <t>5:02</t>
        </is>
      </c>
      <c r="C8370" t="inlineStr">
        <is>
          <t>saving American democracy
was not part of my professional ambitions.</t>
        </is>
      </c>
      <c r="D8370">
        <f>HYPERLINK("https://www.youtube.com/watch?v=wXODvu8UfXc&amp;t=302s", "Go to time")</f>
        <v/>
      </c>
    </row>
    <row r="8371">
      <c r="A8371">
        <f>HYPERLINK("https://www.youtube.com/watch?v=7O7BMa9XGXE", "Video")</f>
        <v/>
      </c>
      <c r="B8371" t="inlineStr">
        <is>
          <t>1:13</t>
        </is>
      </c>
      <c r="C8371" t="inlineStr">
        <is>
          <t>Wealth was never the primary
ambition in our house.</t>
        </is>
      </c>
      <c r="D8371">
        <f>HYPERLINK("https://www.youtube.com/watch?v=7O7BMa9XGXE&amp;t=73s", "Go to time")</f>
        <v/>
      </c>
    </row>
    <row r="8372">
      <c r="A8372">
        <f>HYPERLINK("https://www.youtube.com/watch?v=7O7BMa9XGXE", "Video")</f>
        <v/>
      </c>
      <c r="B8372" t="inlineStr">
        <is>
          <t>6:08</t>
        </is>
      </c>
      <c r="C8372" t="inlineStr">
        <is>
          <t>While African-Americans were enslaved
and prohibited from schooling,</t>
        </is>
      </c>
      <c r="D8372">
        <f>HYPERLINK("https://www.youtube.com/watch?v=7O7BMa9XGXE&amp;t=368s", "Go to time")</f>
        <v/>
      </c>
    </row>
    <row r="8373">
      <c r="A8373">
        <f>HYPERLINK("https://www.youtube.com/watch?v=K_RSZC0s8a4", "Video")</f>
        <v/>
      </c>
      <c r="B8373" t="inlineStr">
        <is>
          <t>1:06</t>
        </is>
      </c>
      <c r="C8373" t="inlineStr">
        <is>
          <t>I have to tell you a little bit
of a story about me and my wife.</t>
        </is>
      </c>
      <c r="D8373">
        <f>HYPERLINK("https://www.youtube.com/watch?v=K_RSZC0s8a4&amp;t=66s", "Go to time")</f>
        <v/>
      </c>
    </row>
    <row r="8374">
      <c r="A8374">
        <f>HYPERLINK("https://www.youtube.com/watch?v=K_RSZC0s8a4", "Video")</f>
        <v/>
      </c>
      <c r="B8374" t="inlineStr">
        <is>
          <t>1:28</t>
        </is>
      </c>
      <c r="C8374" t="inlineStr">
        <is>
          <t>and you guys can get to know
each other a little bit better?"</t>
        </is>
      </c>
      <c r="D8374">
        <f>HYPERLINK("https://www.youtube.com/watch?v=K_RSZC0s8a4&amp;t=88s", "Go to time")</f>
        <v/>
      </c>
    </row>
    <row r="8375">
      <c r="A8375">
        <f>HYPERLINK("https://www.youtube.com/watch?v=5uTDzBwwyho", "Video")</f>
        <v/>
      </c>
      <c r="B8375" t="inlineStr">
        <is>
          <t>1:38</t>
        </is>
      </c>
      <c r="C8375" t="inlineStr">
        <is>
          <t>laced with a little bit
of sternness when she said,</t>
        </is>
      </c>
      <c r="D8375">
        <f>HYPERLINK("https://www.youtube.com/watch?v=5uTDzBwwyho&amp;t=98s", "Go to time")</f>
        <v/>
      </c>
    </row>
    <row r="8376">
      <c r="A8376">
        <f>HYPERLINK("https://www.youtube.com/watch?v=8GAWPb92q3A", "Video")</f>
        <v/>
      </c>
      <c r="B8376" t="inlineStr">
        <is>
          <t>7:05</t>
        </is>
      </c>
      <c r="C8376" t="inlineStr">
        <is>
          <t>she was ambitious
and she wanted to go off to college.</t>
        </is>
      </c>
      <c r="D8376">
        <f>HYPERLINK("https://www.youtube.com/watch?v=8GAWPb92q3A&amp;t=425s", "Go to time")</f>
        <v/>
      </c>
    </row>
    <row r="8377">
      <c r="A8377">
        <f>HYPERLINK("https://www.youtube.com/watch?v=yRWf28j7yVQ", "Video")</f>
        <v/>
      </c>
      <c r="B8377" t="inlineStr">
        <is>
          <t>9:08</t>
        </is>
      </c>
      <c r="C8377" t="inlineStr">
        <is>
          <t>in the belly of a SpaceX
Falcon 9 rocket into orbit.</t>
        </is>
      </c>
      <c r="D8377">
        <f>HYPERLINK("https://www.youtube.com/watch?v=yRWf28j7yVQ&amp;t=548s", "Go to time")</f>
        <v/>
      </c>
    </row>
    <row r="8378">
      <c r="A8378">
        <f>HYPERLINK("https://www.youtube.com/watch?v=yRWf28j7yVQ", "Video")</f>
        <v/>
      </c>
      <c r="B8378" t="inlineStr">
        <is>
          <t>9:49</t>
        </is>
      </c>
      <c r="C8378" t="inlineStr">
        <is>
          <t>But in ways that match the ambitions
of the people that we speak for.</t>
        </is>
      </c>
      <c r="D8378">
        <f>HYPERLINK("https://www.youtube.com/watch?v=yRWf28j7yVQ&amp;t=589s", "Go to time")</f>
        <v/>
      </c>
    </row>
    <row r="8379">
      <c r="A8379">
        <f>HYPERLINK("https://www.youtube.com/watch?v=ZPz_-wAulMU", "Video")</f>
        <v/>
      </c>
      <c r="B8379" t="inlineStr">
        <is>
          <t>1:23</t>
        </is>
      </c>
      <c r="C8379" t="inlineStr">
        <is>
          <t>But if you don't fit in,
if you act up a little bit too much,</t>
        </is>
      </c>
      <c r="D8379">
        <f>HYPERLINK("https://www.youtube.com/watch?v=ZPz_-wAulMU&amp;t=83s", "Go to time")</f>
        <v/>
      </c>
    </row>
    <row r="8380">
      <c r="A8380">
        <f>HYPERLINK("https://www.youtube.com/watch?v=ZPz_-wAulMU", "Video")</f>
        <v/>
      </c>
      <c r="B8380" t="inlineStr">
        <is>
          <t>10:07</t>
        </is>
      </c>
      <c r="C8380" t="inlineStr">
        <is>
          <t>And then if we push just a little
bit harder in this very moment,</t>
        </is>
      </c>
      <c r="D8380">
        <f>HYPERLINK("https://www.youtube.com/watch?v=ZPz_-wAulMU&amp;t=607s", "Go to time")</f>
        <v/>
      </c>
    </row>
    <row r="8381">
      <c r="A8381">
        <f>HYPERLINK("https://www.youtube.com/watch?v=8NNazV_75B4", "Video")</f>
        <v/>
      </c>
      <c r="B8381" t="inlineStr">
        <is>
          <t>0:26</t>
        </is>
      </c>
      <c r="C8381" t="inlineStr">
        <is>
          <t>is that my older son
knows when to bite his tongue</t>
        </is>
      </c>
      <c r="D8381">
        <f>HYPERLINK("https://www.youtube.com/watch?v=8NNazV_75B4&amp;t=26s", "Go to time")</f>
        <v/>
      </c>
    </row>
    <row r="8382">
      <c r="A8382">
        <f>HYPERLINK("https://www.youtube.com/watch?v=8NNazV_75B4", "Video")</f>
        <v/>
      </c>
      <c r="B8382" t="inlineStr">
        <is>
          <t>7:13</t>
        </is>
      </c>
      <c r="C8382" t="inlineStr">
        <is>
          <t>So you call somebody into the room
that's a little bit closer to the work,</t>
        </is>
      </c>
      <c r="D8382">
        <f>HYPERLINK("https://www.youtube.com/watch?v=8NNazV_75B4&amp;t=433s", "Go to time")</f>
        <v/>
      </c>
    </row>
    <row r="8383">
      <c r="A8383">
        <f>HYPERLINK("https://www.youtube.com/watch?v=8NNazV_75B4", "Video")</f>
        <v/>
      </c>
      <c r="B8383" t="inlineStr">
        <is>
          <t>8:08</t>
        </is>
      </c>
      <c r="C8383" t="inlineStr">
        <is>
          <t>the conversation go
a little bit more like this:</t>
        </is>
      </c>
      <c r="D8383">
        <f>HYPERLINK("https://www.youtube.com/watch?v=8NNazV_75B4&amp;t=488s", "Go to time")</f>
        <v/>
      </c>
    </row>
    <row r="8384">
      <c r="A8384">
        <f>HYPERLINK("https://www.youtube.com/watch?v=_k-kxGCOI9U", "Video")</f>
        <v/>
      </c>
      <c r="B8384" t="inlineStr">
        <is>
          <t>0:18</t>
        </is>
      </c>
      <c r="C8384" t="inlineStr">
        <is>
          <t>do a bit of a first yeah I mean there's</t>
        </is>
      </c>
      <c r="D8384">
        <f>HYPERLINK("https://www.youtube.com/watch?v=_k-kxGCOI9U&amp;t=18s", "Go to time")</f>
        <v/>
      </c>
    </row>
    <row r="8385">
      <c r="A8385">
        <f>HYPERLINK("https://www.youtube.com/watch?v=2fY-iSzbls8", "Video")</f>
        <v/>
      </c>
      <c r="B8385" t="inlineStr">
        <is>
          <t>8:01</t>
        </is>
      </c>
      <c r="C8385" t="inlineStr">
        <is>
          <t>Because if not, it's going to look
a bit ugly from up there."</t>
        </is>
      </c>
      <c r="D8385">
        <f>HYPERLINK("https://www.youtube.com/watch?v=2fY-iSzbls8&amp;t=481s", "Go to time")</f>
        <v/>
      </c>
    </row>
    <row r="8386">
      <c r="A8386">
        <f>HYPERLINK("https://www.youtube.com/watch?v=tB5J9qgM2zI", "Video")</f>
        <v/>
      </c>
      <c r="B8386" t="inlineStr">
        <is>
          <t>5:00</t>
        </is>
      </c>
      <c r="C8386" t="inlineStr">
        <is>
          <t>So could you talk a little bit
about intrinsic motivation?</t>
        </is>
      </c>
      <c r="D8386">
        <f>HYPERLINK("https://www.youtube.com/watch?v=tB5J9qgM2zI&amp;t=300s", "Go to time")</f>
        <v/>
      </c>
    </row>
    <row r="8387">
      <c r="A8387">
        <f>HYPERLINK("https://www.youtube.com/watch?v=tB5J9qgM2zI", "Video")</f>
        <v/>
      </c>
      <c r="B8387" t="inlineStr">
        <is>
          <t>7:14</t>
        </is>
      </c>
      <c r="C8387" t="inlineStr">
        <is>
          <t>So could you talk a little bit more
about that and what sort of feedback,</t>
        </is>
      </c>
      <c r="D8387">
        <f>HYPERLINK("https://www.youtube.com/watch?v=tB5J9qgM2zI&amp;t=434s", "Go to time")</f>
        <v/>
      </c>
    </row>
    <row r="8388">
      <c r="A8388">
        <f>HYPERLINK("https://www.youtube.com/watch?v=4SCrXqbhmCY", "Video")</f>
        <v/>
      </c>
      <c r="B8388" t="inlineStr">
        <is>
          <t>4:53</t>
        </is>
      </c>
      <c r="C8388" t="inlineStr">
        <is>
          <t>You have to set in motion
those new habits</t>
        </is>
      </c>
      <c r="D8388">
        <f>HYPERLINK("https://www.youtube.com/watch?v=4SCrXqbhmCY&amp;t=293s", "Go to time")</f>
        <v/>
      </c>
    </row>
    <row r="8389">
      <c r="A8389">
        <f>HYPERLINK("https://www.youtube.com/watch?v=870tYRNh86o", "Video")</f>
        <v/>
      </c>
      <c r="B8389" t="inlineStr">
        <is>
          <t>1:58</t>
        </is>
      </c>
      <c r="C8389" t="inlineStr">
        <is>
          <t>Now in the digital world,
it's a bit different.</t>
        </is>
      </c>
      <c r="D8389">
        <f>HYPERLINK("https://www.youtube.com/watch?v=870tYRNh86o&amp;t=118s", "Go to time")</f>
        <v/>
      </c>
    </row>
    <row r="8390">
      <c r="A8390">
        <f>HYPERLINK("https://www.youtube.com/watch?v=peLzj80-7VY", "Video")</f>
        <v/>
      </c>
      <c r="B8390" t="inlineStr">
        <is>
          <t>11:30</t>
        </is>
      </c>
      <c r="C8390" t="inlineStr">
        <is>
          <t>After weeks of bitter
struggle at the inquest,</t>
        </is>
      </c>
      <c r="D8390">
        <f>HYPERLINK("https://www.youtube.com/watch?v=peLzj80-7VY&amp;t=690s", "Go to time")</f>
        <v/>
      </c>
    </row>
    <row r="8391">
      <c r="A8391">
        <f>HYPERLINK("https://www.youtube.com/watch?v=2aKYl_2KLI8", "Video")</f>
        <v/>
      </c>
      <c r="B8391" t="inlineStr">
        <is>
          <t>2:07</t>
        </is>
      </c>
      <c r="C8391" t="inlineStr">
        <is>
          <t>and I'm here to tell you
a little bit more.</t>
        </is>
      </c>
      <c r="D8391">
        <f>HYPERLINK("https://www.youtube.com/watch?v=2aKYl_2KLI8&amp;t=127s", "Go to time")</f>
        <v/>
      </c>
    </row>
    <row r="8392">
      <c r="A8392">
        <f>HYPERLINK("https://www.youtube.com/watch?v=2aKYl_2KLI8", "Video")</f>
        <v/>
      </c>
      <c r="B8392" t="inlineStr">
        <is>
          <t>5:13</t>
        </is>
      </c>
      <c r="C8392" t="inlineStr">
        <is>
          <t>you took a bite out of a large
social problem like unemployment</t>
        </is>
      </c>
      <c r="D8392">
        <f>HYPERLINK("https://www.youtube.com/watch?v=2aKYl_2KLI8&amp;t=313s", "Go to time")</f>
        <v/>
      </c>
    </row>
    <row r="8393">
      <c r="A8393">
        <f>HYPERLINK("https://www.youtube.com/watch?v=YIgv0KMzjvk", "Video")</f>
        <v/>
      </c>
      <c r="B8393" t="inlineStr">
        <is>
          <t>4:05</t>
        </is>
      </c>
      <c r="C8393" t="inlineStr">
        <is>
          <t>make a little bit more money</t>
        </is>
      </c>
      <c r="D8393">
        <f>HYPERLINK("https://www.youtube.com/watch?v=YIgv0KMzjvk&amp;t=245s", "Go to time")</f>
        <v/>
      </c>
    </row>
    <row r="8394">
      <c r="A8394">
        <f>HYPERLINK("https://www.youtube.com/watch?v=Cvl2tHwuvzk", "Video")</f>
        <v/>
      </c>
      <c r="B8394" t="inlineStr">
        <is>
          <t>4:09</t>
        </is>
      </c>
      <c r="C8394" t="inlineStr">
        <is>
          <t>I mounted my solo exhibition,
"Flint is Family,"</t>
        </is>
      </c>
      <c r="D8394">
        <f>HYPERLINK("https://www.youtube.com/watch?v=Cvl2tHwuvzk&amp;t=249s", "Go to time")</f>
        <v/>
      </c>
    </row>
    <row r="8395">
      <c r="A8395">
        <f>HYPERLINK("https://www.youtube.com/watch?v=Cvl2tHwuvzk", "Video")</f>
        <v/>
      </c>
      <c r="B8395" t="inlineStr">
        <is>
          <t>6:39</t>
        </is>
      </c>
      <c r="C8395" t="inlineStr">
        <is>
          <t>to take the proceeds from my
solo exhibition "Flint is Family,"</t>
        </is>
      </c>
      <c r="D8395">
        <f>HYPERLINK("https://www.youtube.com/watch?v=Cvl2tHwuvzk&amp;t=399s", "Go to time")</f>
        <v/>
      </c>
    </row>
    <row r="8396">
      <c r="A8396">
        <f>HYPERLINK("https://www.youtube.com/watch?v=bwcyXcOpWVs", "Video")</f>
        <v/>
      </c>
      <c r="B8396" t="inlineStr">
        <is>
          <t>12:05</t>
        </is>
      </c>
      <c r="C8396" t="inlineStr">
        <is>
          <t>It just requires caring a little bit more</t>
        </is>
      </c>
      <c r="D8396">
        <f>HYPERLINK("https://www.youtube.com/watch?v=bwcyXcOpWVs&amp;t=725s", "Go to time")</f>
        <v/>
      </c>
    </row>
    <row r="8397">
      <c r="A8397">
        <f>HYPERLINK("https://www.youtube.com/watch?v=bwcyXcOpWVs", "Video")</f>
        <v/>
      </c>
      <c r="B8397" t="inlineStr">
        <is>
          <t>12:08</t>
        </is>
      </c>
      <c r="C8397" t="inlineStr">
        <is>
          <t>and trying a little bit harder.</t>
        </is>
      </c>
      <c r="D8397">
        <f>HYPERLINK("https://www.youtube.com/watch?v=bwcyXcOpWVs&amp;t=728s", "Go to time")</f>
        <v/>
      </c>
    </row>
    <row r="8398">
      <c r="A8398">
        <f>HYPERLINK("https://www.youtube.com/watch?v=bwcyXcOpWVs", "Video")</f>
        <v/>
      </c>
      <c r="B8398" t="inlineStr">
        <is>
          <t>13:18</t>
        </is>
      </c>
      <c r="C8398" t="inlineStr">
        <is>
          <t>I'm just here to encourage you to try
being a little bit more unreasonable.</t>
        </is>
      </c>
      <c r="D8398">
        <f>HYPERLINK("https://www.youtube.com/watch?v=bwcyXcOpWVs&amp;t=798s", "Go to time")</f>
        <v/>
      </c>
    </row>
    <row r="8399">
      <c r="A8399">
        <f>HYPERLINK("https://www.youtube.com/watch?v=m7hdIIneypE", "Video")</f>
        <v/>
      </c>
      <c r="B8399" t="inlineStr">
        <is>
          <t>4:27</t>
        </is>
      </c>
      <c r="C8399" t="inlineStr">
        <is>
          <t>It's a little bit like threatening
to take your ball and go home</t>
        </is>
      </c>
      <c r="D8399">
        <f>HYPERLINK("https://www.youtube.com/watch?v=m7hdIIneypE&amp;t=267s", "Go to time")</f>
        <v/>
      </c>
    </row>
    <row r="8400">
      <c r="A8400">
        <f>HYPERLINK("https://www.youtube.com/watch?v=2yXSQ1BmZFM", "Video")</f>
        <v/>
      </c>
      <c r="B8400" t="inlineStr">
        <is>
          <t>0:29</t>
        </is>
      </c>
      <c r="C8400" t="inlineStr">
        <is>
          <t>I like to preface conversations
about my dietary habits with jokes</t>
        </is>
      </c>
      <c r="D8400">
        <f>HYPERLINK("https://www.youtube.com/watch?v=2yXSQ1BmZFM&amp;t=29s", "Go to time")</f>
        <v/>
      </c>
    </row>
    <row r="8401">
      <c r="A8401">
        <f>HYPERLINK("https://www.youtube.com/watch?v=2yXSQ1BmZFM", "Video")</f>
        <v/>
      </c>
      <c r="B8401" t="inlineStr">
        <is>
          <t>5:23</t>
        </is>
      </c>
      <c r="C8401" t="inlineStr">
        <is>
          <t>My love of this planet
and its inhabitants.</t>
        </is>
      </c>
      <c r="D8401">
        <f>HYPERLINK("https://www.youtube.com/watch?v=2yXSQ1BmZFM&amp;t=323s", "Go to time")</f>
        <v/>
      </c>
    </row>
    <row r="8402">
      <c r="A8402">
        <f>HYPERLINK("https://www.youtube.com/watch?v=2yXSQ1BmZFM", "Video")</f>
        <v/>
      </c>
      <c r="B8402" t="inlineStr">
        <is>
          <t>10:10</t>
        </is>
      </c>
      <c r="C8402" t="inlineStr">
        <is>
          <t>You just want them to be
a bit more thoughtful</t>
        </is>
      </c>
      <c r="D8402">
        <f>HYPERLINK("https://www.youtube.com/watch?v=2yXSQ1BmZFM&amp;t=610s", "Go to time")</f>
        <v/>
      </c>
    </row>
    <row r="8403">
      <c r="A8403">
        <f>HYPERLINK("https://www.youtube.com/watch?v=2yXSQ1BmZFM", "Video")</f>
        <v/>
      </c>
      <c r="B8403" t="inlineStr">
        <is>
          <t>11:46</t>
        </is>
      </c>
      <c r="C8403" t="inlineStr">
        <is>
          <t>and maybe you extending
that bit of compassion to them</t>
        </is>
      </c>
      <c r="D8403">
        <f>HYPERLINK("https://www.youtube.com/watch?v=2yXSQ1BmZFM&amp;t=706s", "Go to time")</f>
        <v/>
      </c>
    </row>
    <row r="8404">
      <c r="A8404">
        <f>HYPERLINK("https://www.youtube.com/watch?v=8ptow8qPeMk", "Video")</f>
        <v/>
      </c>
      <c r="B8404" t="inlineStr">
        <is>
          <t>2:53</t>
        </is>
      </c>
      <c r="C8404" t="inlineStr">
        <is>
          <t>Now we add a little bit of yum, yum.</t>
        </is>
      </c>
      <c r="D8404">
        <f>HYPERLINK("https://www.youtube.com/watch?v=8ptow8qPeMk&amp;t=173s", "Go to time")</f>
        <v/>
      </c>
    </row>
    <row r="8405">
      <c r="A8405">
        <f>HYPERLINK("https://www.youtube.com/watch?v=8ptow8qPeMk", "Video")</f>
        <v/>
      </c>
      <c r="B8405" t="inlineStr">
        <is>
          <t>3:35</t>
        </is>
      </c>
      <c r="C8405" t="inlineStr">
        <is>
          <t>without even having to take a bite.</t>
        </is>
      </c>
      <c r="D8405">
        <f>HYPERLINK("https://www.youtube.com/watch?v=8ptow8qPeMk&amp;t=215s", "Go to time")</f>
        <v/>
      </c>
    </row>
    <row r="8406">
      <c r="A8406">
        <f>HYPERLINK("https://www.youtube.com/watch?v=8ptow8qPeMk", "Video")</f>
        <v/>
      </c>
      <c r="B8406" t="inlineStr">
        <is>
          <t>5:06</t>
        </is>
      </c>
      <c r="C8406" t="inlineStr">
        <is>
          <t>But in a Chinese restaurant,
it's a little bit different.</t>
        </is>
      </c>
      <c r="D8406">
        <f>HYPERLINK("https://www.youtube.com/watch?v=8ptow8qPeMk&amp;t=306s", "Go to time")</f>
        <v/>
      </c>
    </row>
    <row r="8407">
      <c r="A8407">
        <f>HYPERLINK("https://www.youtube.com/watch?v=8ptow8qPeMk", "Video")</f>
        <v/>
      </c>
      <c r="B8407" t="inlineStr">
        <is>
          <t>6:06</t>
        </is>
      </c>
      <c r="C8407" t="inlineStr">
        <is>
          <t>because every bite is different,
and you never really get bored.</t>
        </is>
      </c>
      <c r="D8407">
        <f>HYPERLINK("https://www.youtube.com/watch?v=8ptow8qPeMk&amp;t=366s", "Go to time")</f>
        <v/>
      </c>
    </row>
    <row r="8408">
      <c r="A8408">
        <f>HYPERLINK("https://www.youtube.com/watch?v=8ptow8qPeMk", "Video")</f>
        <v/>
      </c>
      <c r="B8408" t="inlineStr">
        <is>
          <t>8:36</t>
        </is>
      </c>
      <c r="C8408" t="inlineStr">
        <is>
          <t>and a little bit of dark soy sauce.</t>
        </is>
      </c>
      <c r="D8408">
        <f>HYPERLINK("https://www.youtube.com/watch?v=8ptow8qPeMk&amp;t=516s", "Go to time")</f>
        <v/>
      </c>
    </row>
    <row r="8409">
      <c r="A8409">
        <f>HYPERLINK("https://www.youtube.com/watch?v=8ptow8qPeMk", "Video")</f>
        <v/>
      </c>
      <c r="B8409" t="inlineStr">
        <is>
          <t>8:39</t>
        </is>
      </c>
      <c r="C8409" t="inlineStr">
        <is>
          <t>It was a little bit salty,</t>
        </is>
      </c>
      <c r="D8409">
        <f>HYPERLINK("https://www.youtube.com/watch?v=8ptow8qPeMk&amp;t=519s", "Go to time")</f>
        <v/>
      </c>
    </row>
    <row r="8410">
      <c r="A8410">
        <f>HYPERLINK("https://www.youtube.com/watch?v=FVUkKKc3Vvk", "Video")</f>
        <v/>
      </c>
      <c r="B8410" t="inlineStr">
        <is>
          <t>2:44</t>
        </is>
      </c>
      <c r="C8410" t="inlineStr">
        <is>
          <t>The news nowadays has convoluted
that whole thing quite a bit.</t>
        </is>
      </c>
      <c r="D8410">
        <f>HYPERLINK("https://www.youtube.com/watch?v=FVUkKKc3Vvk&amp;t=164s", "Go to time")</f>
        <v/>
      </c>
    </row>
    <row r="8411">
      <c r="A8411">
        <f>HYPERLINK("https://www.youtube.com/watch?v=FVUkKKc3Vvk", "Video")</f>
        <v/>
      </c>
      <c r="B8411" t="inlineStr">
        <is>
          <t>3:11</t>
        </is>
      </c>
      <c r="C8411" t="inlineStr">
        <is>
          <t>this narrative has been driving me
a little bit crazy.</t>
        </is>
      </c>
      <c r="D8411">
        <f>HYPERLINK("https://www.youtube.com/watch?v=FVUkKKc3Vvk&amp;t=191s", "Go to time")</f>
        <v/>
      </c>
    </row>
    <row r="8412">
      <c r="A8412">
        <f>HYPERLINK("https://www.youtube.com/watch?v=FVUkKKc3Vvk", "Video")</f>
        <v/>
      </c>
      <c r="B8412" t="inlineStr">
        <is>
          <t>6:01</t>
        </is>
      </c>
      <c r="C8412" t="inlineStr">
        <is>
          <t>and so as a child, this made me
have these crazy, ambitious</t>
        </is>
      </c>
      <c r="D8412">
        <f>HYPERLINK("https://www.youtube.com/watch?v=FVUkKKc3Vvk&amp;t=361s", "Go to time")</f>
        <v/>
      </c>
    </row>
    <row r="8413">
      <c r="A8413">
        <f>HYPERLINK("https://www.youtube.com/watch?v=FVUkKKc3Vvk", "Video")</f>
        <v/>
      </c>
      <c r="B8413" t="inlineStr">
        <is>
          <t>8:46</t>
        </is>
      </c>
      <c r="C8413" t="inlineStr">
        <is>
          <t>while being responsible for a child
with dreams and ambitions of his own.</t>
        </is>
      </c>
      <c r="D8413">
        <f>HYPERLINK("https://www.youtube.com/watch?v=FVUkKKc3Vvk&amp;t=526s", "Go to time")</f>
        <v/>
      </c>
    </row>
    <row r="8414">
      <c r="A8414">
        <f>HYPERLINK("https://www.youtube.com/watch?v=urntcMUJR9M", "Video")</f>
        <v/>
      </c>
      <c r="B8414" t="inlineStr">
        <is>
          <t>9:11</t>
        </is>
      </c>
      <c r="C8414" t="inlineStr">
        <is>
          <t>he embarked on an ambitious
transformation journey</t>
        </is>
      </c>
      <c r="D8414">
        <f>HYPERLINK("https://www.youtube.com/watch?v=urntcMUJR9M&amp;t=551s", "Go to time")</f>
        <v/>
      </c>
    </row>
    <row r="8415">
      <c r="A8415">
        <f>HYPERLINK("https://www.youtube.com/watch?v=1Mwki3RIybU", "Video")</f>
        <v/>
      </c>
      <c r="B8415" t="inlineStr">
        <is>
          <t>2:32</t>
        </is>
      </c>
      <c r="C8415" t="inlineStr">
        <is>
          <t>a broad and flexible set of tools
that don't prohibit speech,</t>
        </is>
      </c>
      <c r="D8415">
        <f>HYPERLINK("https://www.youtube.com/watch?v=1Mwki3RIybU&amp;t=152s", "Go to time")</f>
        <v/>
      </c>
    </row>
    <row r="8416">
      <c r="A8416">
        <f>HYPERLINK("https://www.youtube.com/watch?v=Qhomjw2P-V0", "Video")</f>
        <v/>
      </c>
      <c r="B8416" t="inlineStr">
        <is>
          <t>8:10</t>
        </is>
      </c>
      <c r="C8416" t="inlineStr">
        <is>
          <t>We did it at the Manifesta art exhibition</t>
        </is>
      </c>
      <c r="D8416">
        <f>HYPERLINK("https://www.youtube.com/watch?v=Qhomjw2P-V0&amp;t=490s", "Go to time")</f>
        <v/>
      </c>
    </row>
    <row r="8417">
      <c r="A8417">
        <f>HYPERLINK("https://www.youtube.com/watch?v=Qhomjw2P-V0", "Video")</f>
        <v/>
      </c>
      <c r="B8417" t="inlineStr">
        <is>
          <t>9:28</t>
        </is>
      </c>
      <c r="C8417" t="inlineStr">
        <is>
          <t>or whether they also said a little bit
higher or lower than what they did</t>
        </is>
      </c>
      <c r="D8417">
        <f>HYPERLINK("https://www.youtube.com/watch?v=Qhomjw2P-V0&amp;t=568s", "Go to time")</f>
        <v/>
      </c>
    </row>
    <row r="8418">
      <c r="A8418">
        <f>HYPERLINK("https://www.youtube.com/watch?v=L-FTI14OVrg", "Video")</f>
        <v/>
      </c>
      <c r="B8418" t="inlineStr">
        <is>
          <t>2:51</t>
        </is>
      </c>
      <c r="C8418" t="inlineStr">
        <is>
          <t>and women who showed up
a little bit too late in pregnancy</t>
        </is>
      </c>
      <c r="D8418">
        <f>HYPERLINK("https://www.youtube.com/watch?v=L-FTI14OVrg&amp;t=171s", "Go to time")</f>
        <v/>
      </c>
    </row>
    <row r="8419">
      <c r="A8419">
        <f>HYPERLINK("https://www.youtube.com/watch?v=m19jit19v9w", "Video")</f>
        <v/>
      </c>
      <c r="B8419" t="inlineStr">
        <is>
          <t>3:27</t>
        </is>
      </c>
      <c r="C8419" t="inlineStr">
        <is>
          <t>They look a little bit more like a cross
between a Wookiee and a pig.</t>
        </is>
      </c>
      <c r="D8419">
        <f>HYPERLINK("https://www.youtube.com/watch?v=m19jit19v9w&amp;t=207s", "Go to time")</f>
        <v/>
      </c>
    </row>
    <row r="8420">
      <c r="A8420">
        <f>HYPERLINK("https://www.youtube.com/watch?v=m19jit19v9w", "Video")</f>
        <v/>
      </c>
      <c r="B8420" t="inlineStr">
        <is>
          <t>8:06</t>
        </is>
      </c>
      <c r="C8420" t="inlineStr">
        <is>
          <t>They have sticky bits on their ribs</t>
        </is>
      </c>
      <c r="D8420">
        <f>HYPERLINK("https://www.youtube.com/watch?v=m19jit19v9w&amp;t=486s", "Go to time")</f>
        <v/>
      </c>
    </row>
    <row r="8421">
      <c r="A8421">
        <f>HYPERLINK("https://www.youtube.com/watch?v=PLZV9Aj0e1Q", "Video")</f>
        <v/>
      </c>
      <c r="B8421" t="inlineStr">
        <is>
          <t>7:22</t>
        </is>
      </c>
      <c r="C8421" t="inlineStr">
        <is>
          <t>and let's go a little bit further with it.</t>
        </is>
      </c>
      <c r="D8421">
        <f>HYPERLINK("https://www.youtube.com/watch?v=PLZV9Aj0e1Q&amp;t=442s", "Go to time")</f>
        <v/>
      </c>
    </row>
    <row r="8422">
      <c r="A8422">
        <f>HYPERLINK("https://www.youtube.com/watch?v=uAXG0tb1Zxw", "Video")</f>
        <v/>
      </c>
      <c r="B8422" t="inlineStr">
        <is>
          <t>6:03</t>
        </is>
      </c>
      <c r="C8422" t="inlineStr">
        <is>
          <t>and I'm like, "OK, that's kind of weird.
Let me walk a little bit faster.</t>
        </is>
      </c>
      <c r="D8422">
        <f>HYPERLINK("https://www.youtube.com/watch?v=uAXG0tb1Zxw&amp;t=363s", "Go to time")</f>
        <v/>
      </c>
    </row>
    <row r="8423">
      <c r="A8423">
        <f>HYPERLINK("https://www.youtube.com/watch?v=uAXG0tb1Zxw", "Video")</f>
        <v/>
      </c>
      <c r="B8423" t="inlineStr">
        <is>
          <t>6:09</t>
        </is>
      </c>
      <c r="C8423" t="inlineStr">
        <is>
          <t>They walk a little bit faster,
and I hear them going back and forth:</t>
        </is>
      </c>
      <c r="D8423">
        <f>HYPERLINK("https://www.youtube.com/watch?v=uAXG0tb1Zxw&amp;t=369s", "Go to time")</f>
        <v/>
      </c>
    </row>
    <row r="8424">
      <c r="A8424">
        <f>HYPERLINK("https://www.youtube.com/watch?v=uAXG0tb1Zxw", "Video")</f>
        <v/>
      </c>
      <c r="B8424" t="inlineStr">
        <is>
          <t>11:57</t>
        </is>
      </c>
      <c r="C8424" t="inlineStr">
        <is>
          <t>And by doing that, maybe you'll take
a little bit of power back</t>
        </is>
      </c>
      <c r="D8424">
        <f>HYPERLINK("https://www.youtube.com/watch?v=uAXG0tb1Zxw&amp;t=717s", "Go to time")</f>
        <v/>
      </c>
    </row>
    <row r="8425">
      <c r="A8425">
        <f>HYPERLINK("https://www.youtube.com/watch?v=uAXG0tb1Zxw", "Video")</f>
        <v/>
      </c>
      <c r="B8425" t="inlineStr">
        <is>
          <t>12:40</t>
        </is>
      </c>
      <c r="C8425" t="inlineStr">
        <is>
          <t>I'm taking back a little bit of power
that was taken away from me.</t>
        </is>
      </c>
      <c r="D8425">
        <f>HYPERLINK("https://www.youtube.com/watch?v=uAXG0tb1Zxw&amp;t=760s", "Go to time")</f>
        <v/>
      </c>
    </row>
    <row r="8426">
      <c r="A8426">
        <f>HYPERLINK("https://www.youtube.com/watch?v=ptIecdCZ3dg", "Video")</f>
        <v/>
      </c>
      <c r="B8426" t="inlineStr">
        <is>
          <t>1:16</t>
        </is>
      </c>
      <c r="C8426" t="inlineStr">
        <is>
          <t>I decided to research the science
and the habits of the place,</t>
        </is>
      </c>
      <c r="D8426">
        <f>HYPERLINK("https://www.youtube.com/watch?v=ptIecdCZ3dg&amp;t=76s", "Go to time")</f>
        <v/>
      </c>
    </row>
    <row r="8427">
      <c r="A8427">
        <f>HYPERLINK("https://www.youtube.com/watch?v=ygxh6KR4BPk", "Video")</f>
        <v/>
      </c>
      <c r="B8427" t="inlineStr">
        <is>
          <t>3:00</t>
        </is>
      </c>
      <c r="C8427" t="inlineStr">
        <is>
          <t>Now, some of this is going to sound
a little bit like science fiction,</t>
        </is>
      </c>
      <c r="D8427">
        <f>HYPERLINK("https://www.youtube.com/watch?v=ygxh6KR4BPk&amp;t=180s", "Go to time")</f>
        <v/>
      </c>
    </row>
    <row r="8428">
      <c r="A8428">
        <f>HYPERLINK("https://www.youtube.com/watch?v=MSevAi_YarQ", "Video")</f>
        <v/>
      </c>
      <c r="B8428" t="inlineStr">
        <is>
          <t>1:29</t>
        </is>
      </c>
      <c r="C8428" t="inlineStr">
        <is>
          <t>And that's what I want to dive
into a little bit right now.</t>
        </is>
      </c>
      <c r="D8428">
        <f>HYPERLINK("https://www.youtube.com/watch?v=MSevAi_YarQ&amp;t=89s", "Go to time")</f>
        <v/>
      </c>
    </row>
    <row r="8429">
      <c r="A8429">
        <f>HYPERLINK("https://www.youtube.com/watch?v=MSevAi_YarQ", "Video")</f>
        <v/>
      </c>
      <c r="B8429" t="inlineStr">
        <is>
          <t>1:55</t>
        </is>
      </c>
      <c r="C8429" t="inlineStr">
        <is>
          <t>in other words, the suitability
for human habitation and survivability.</t>
        </is>
      </c>
      <c r="D8429">
        <f>HYPERLINK("https://www.youtube.com/watch?v=MSevAi_YarQ&amp;t=115s", "Go to time")</f>
        <v/>
      </c>
    </row>
    <row r="8430">
      <c r="A8430">
        <f>HYPERLINK("https://www.youtube.com/watch?v=MSevAi_YarQ", "Video")</f>
        <v/>
      </c>
      <c r="B8430" t="inlineStr">
        <is>
          <t>10:11</t>
        </is>
      </c>
      <c r="C8430" t="inlineStr">
        <is>
          <t>We have to pre-design
these habitats of the future,</t>
        </is>
      </c>
      <c r="D8430">
        <f>HYPERLINK("https://www.youtube.com/watch?v=MSevAi_YarQ&amp;t=611s", "Go to time")</f>
        <v/>
      </c>
    </row>
    <row r="8431">
      <c r="A8431">
        <f>HYPERLINK("https://www.youtube.com/watch?v=3CFyHtObLXk", "Video")</f>
        <v/>
      </c>
      <c r="B8431" t="inlineStr">
        <is>
          <t>0:33</t>
        </is>
      </c>
      <c r="C8431" t="inlineStr">
        <is>
          <t>And it's prohibitively expensive</t>
        </is>
      </c>
      <c r="D8431">
        <f>HYPERLINK("https://www.youtube.com/watch?v=3CFyHtObLXk&amp;t=33s", "Go to time")</f>
        <v/>
      </c>
    </row>
    <row r="8432">
      <c r="A8432">
        <f>HYPERLINK("https://www.youtube.com/watch?v=3CFyHtObLXk", "Video")</f>
        <v/>
      </c>
      <c r="B8432" t="inlineStr">
        <is>
          <t>0:41</t>
        </is>
      </c>
      <c r="C8432" t="inlineStr">
        <is>
          <t>So to realize a pioneering habitat</t>
        </is>
      </c>
      <c r="D8432">
        <f>HYPERLINK("https://www.youtube.com/watch?v=3CFyHtObLXk&amp;t=41s", "Go to time")</f>
        <v/>
      </c>
    </row>
    <row r="8433">
      <c r="A8433">
        <f>HYPERLINK("https://www.youtube.com/watch?v=3CFyHtObLXk", "Video")</f>
        <v/>
      </c>
      <c r="B8433" t="inlineStr">
        <is>
          <t>0:59</t>
        </is>
      </c>
      <c r="C8433" t="inlineStr">
        <is>
          <t>These habitats
and the robots that build them</t>
        </is>
      </c>
      <c r="D8433">
        <f>HYPERLINK("https://www.youtube.com/watch?v=3CFyHtObLXk&amp;t=59s", "Go to time")</f>
        <v/>
      </c>
    </row>
    <row r="8434">
      <c r="A8434">
        <f>HYPERLINK("https://www.youtube.com/watch?v=3CFyHtObLXk", "Video")</f>
        <v/>
      </c>
      <c r="B8434" t="inlineStr">
        <is>
          <t>1:11</t>
        </is>
      </c>
      <c r="C8434" t="inlineStr">
        <is>
          <t>I design and conceive habitats supporting
human exploration in deep space,</t>
        </is>
      </c>
      <c r="D8434">
        <f>HYPERLINK("https://www.youtube.com/watch?v=3CFyHtObLXk&amp;t=71s", "Go to time")</f>
        <v/>
      </c>
    </row>
    <row r="8435">
      <c r="A8435">
        <f>HYPERLINK("https://www.youtube.com/watch?v=3CFyHtObLXk", "Video")</f>
        <v/>
      </c>
      <c r="B8435" t="inlineStr">
        <is>
          <t>1:25</t>
        </is>
      </c>
      <c r="C8435" t="inlineStr">
        <is>
          <t>but I also investigate
what these habitats are</t>
        </is>
      </c>
      <c r="D8435">
        <f>HYPERLINK("https://www.youtube.com/watch?v=3CFyHtObLXk&amp;t=85s", "Go to time")</f>
        <v/>
      </c>
    </row>
    <row r="8436">
      <c r="A8436">
        <f>HYPERLINK("https://www.youtube.com/watch?v=3CFyHtObLXk", "Video")</f>
        <v/>
      </c>
      <c r="B8436" t="inlineStr">
        <is>
          <t>2:07</t>
        </is>
      </c>
      <c r="C8436" t="inlineStr">
        <is>
          <t>to build protective habitats and shelters</t>
        </is>
      </c>
      <c r="D8436">
        <f>HYPERLINK("https://www.youtube.com/watch?v=3CFyHtObLXk&amp;t=127s", "Go to time")</f>
        <v/>
      </c>
    </row>
    <row r="8437">
      <c r="A8437">
        <f>HYPERLINK("https://www.youtube.com/watch?v=3CFyHtObLXk", "Video")</f>
        <v/>
      </c>
      <c r="B8437" t="inlineStr">
        <is>
          <t>2:16</t>
        </is>
      </c>
      <c r="C8437" t="inlineStr">
        <is>
          <t>So how exactly would 3D printers
build a habitat on Mars?</t>
        </is>
      </c>
      <c r="D8437">
        <f>HYPERLINK("https://www.youtube.com/watch?v=3CFyHtObLXk&amp;t=136s", "Go to time")</f>
        <v/>
      </c>
    </row>
    <row r="8438">
      <c r="A8438">
        <f>HYPERLINK("https://www.youtube.com/watch?v=3CFyHtObLXk", "Video")</f>
        <v/>
      </c>
      <c r="B8438" t="inlineStr">
        <is>
          <t>2:50</t>
        </is>
      </c>
      <c r="C8438" t="inlineStr">
        <is>
          <t>Our goal when we're designing
these habitats</t>
        </is>
      </c>
      <c r="D8438">
        <f>HYPERLINK("https://www.youtube.com/watch?v=3CFyHtObLXk&amp;t=170s", "Go to time")</f>
        <v/>
      </c>
    </row>
    <row r="8439">
      <c r="A8439">
        <f>HYPERLINK("https://www.youtube.com/watch?v=3CFyHtObLXk", "Video")</f>
        <v/>
      </c>
      <c r="B8439" t="inlineStr">
        <is>
          <t>5:01</t>
        </is>
      </c>
      <c r="C8439" t="inlineStr">
        <is>
          <t>There are other ways of approaching
habitat construction on Mars.</t>
        </is>
      </c>
      <c r="D8439">
        <f>HYPERLINK("https://www.youtube.com/watch?v=3CFyHtObLXk&amp;t=301s", "Go to time")</f>
        <v/>
      </c>
    </row>
    <row r="8440">
      <c r="A8440">
        <f>HYPERLINK("https://www.youtube.com/watch?v=3CFyHtObLXk", "Video")</f>
        <v/>
      </c>
      <c r="B8440" t="inlineStr">
        <is>
          <t>5:27</t>
        </is>
      </c>
      <c r="C8440" t="inlineStr">
        <is>
          <t>and the habitats that we create
will need to be the most durable</t>
        </is>
      </c>
      <c r="D8440">
        <f>HYPERLINK("https://www.youtube.com/watch?v=3CFyHtObLXk&amp;t=327s", "Go to time")</f>
        <v/>
      </c>
    </row>
    <row r="8441">
      <c r="A8441">
        <f>HYPERLINK("https://www.youtube.com/watch?v=3CFyHtObLXk", "Video")</f>
        <v/>
      </c>
      <c r="B8441" t="inlineStr">
        <is>
          <t>5:35</t>
        </is>
      </c>
      <c r="C8441" t="inlineStr">
        <is>
          <t>Future off-world surface habitats</t>
        </is>
      </c>
      <c r="D8441">
        <f>HYPERLINK("https://www.youtube.com/watch?v=3CFyHtObLXk&amp;t=335s", "Go to time")</f>
        <v/>
      </c>
    </row>
    <row r="8442">
      <c r="A8442">
        <f>HYPERLINK("https://www.youtube.com/watch?v=3CFyHtObLXk", "Video")</f>
        <v/>
      </c>
      <c r="B8442" t="inlineStr">
        <is>
          <t>6:13</t>
        </is>
      </c>
      <c r="C8442" t="inlineStr">
        <is>
          <t>like landing pads, roadways
and eventually habitats</t>
        </is>
      </c>
      <c r="D8442">
        <f>HYPERLINK("https://www.youtube.com/watch?v=3CFyHtObLXk&amp;t=373s", "Go to time")</f>
        <v/>
      </c>
    </row>
    <row r="8443">
      <c r="A8443">
        <f>HYPERLINK("https://www.youtube.com/watch?v=3CFyHtObLXk", "Video")</f>
        <v/>
      </c>
      <c r="B8443" t="inlineStr">
        <is>
          <t>7:09</t>
        </is>
      </c>
      <c r="C8443" t="inlineStr">
        <is>
          <t>a 3D-printed analog habitat
at the Johnson Space Center in Houston,</t>
        </is>
      </c>
      <c r="D8443">
        <f>HYPERLINK("https://www.youtube.com/watch?v=3CFyHtObLXk&amp;t=429s", "Go to time")</f>
        <v/>
      </c>
    </row>
    <row r="8444">
      <c r="A8444">
        <f>HYPERLINK("https://www.youtube.com/watch?v=3CFyHtObLXk", "Video")</f>
        <v/>
      </c>
      <c r="B8444" t="inlineStr">
        <is>
          <t>7:32</t>
        </is>
      </c>
      <c r="C8444" t="inlineStr">
        <is>
          <t>but you could actually apply
to be a crew member in this habitat</t>
        </is>
      </c>
      <c r="D8444">
        <f>HYPERLINK("https://www.youtube.com/watch?v=3CFyHtObLXk&amp;t=452s", "Go to time")</f>
        <v/>
      </c>
    </row>
    <row r="8445">
      <c r="A8445">
        <f>HYPERLINK("https://www.youtube.com/watch?v=3CFyHtObLXk", "Video")</f>
        <v/>
      </c>
      <c r="B8445" t="inlineStr">
        <is>
          <t>9:21</t>
        </is>
      </c>
      <c r="C8445" t="inlineStr">
        <is>
          <t>The fact of the matter is
that the most habitable planet</t>
        </is>
      </c>
      <c r="D8445">
        <f>HYPERLINK("https://www.youtube.com/watch?v=3CFyHtObLXk&amp;t=561s", "Go to time")</f>
        <v/>
      </c>
    </row>
    <row r="8446">
      <c r="A8446">
        <f>HYPERLINK("https://www.youtube.com/watch?v=3CFyHtObLXk", "Video")</f>
        <v/>
      </c>
      <c r="B8446" t="inlineStr">
        <is>
          <t>10:06</t>
        </is>
      </c>
      <c r="C8446" t="inlineStr">
        <is>
          <t>since any human has traveled
outside of Earth's orbit.</t>
        </is>
      </c>
      <c r="D8446">
        <f>HYPERLINK("https://www.youtube.com/watch?v=3CFyHtObLXk&amp;t=606s", "Go to time")</f>
        <v/>
      </c>
    </row>
    <row r="8447">
      <c r="A8447">
        <f>HYPERLINK("https://www.youtube.com/watch?v=TkpyR9VBwTs", "Video")</f>
        <v/>
      </c>
      <c r="B8447" t="inlineStr">
        <is>
          <t>3:01</t>
        </is>
      </c>
      <c r="C8447" t="inlineStr">
        <is>
          <t>So let's rephrase this a bit.</t>
        </is>
      </c>
      <c r="D8447">
        <f>HYPERLINK("https://www.youtube.com/watch?v=TkpyR9VBwTs&amp;t=181s", "Go to time")</f>
        <v/>
      </c>
    </row>
    <row r="8448">
      <c r="A8448">
        <f>HYPERLINK("https://www.youtube.com/watch?v=ajZtcG2OlhI", "Video")</f>
        <v/>
      </c>
      <c r="B8448" t="inlineStr">
        <is>
          <t>1:47</t>
        </is>
      </c>
      <c r="C8448" t="inlineStr">
        <is>
          <t>you get to inhabit for as long as you</t>
        </is>
      </c>
      <c r="D8448">
        <f>HYPERLINK("https://www.youtube.com/watch?v=ajZtcG2OlhI&amp;t=107s", "Go to time")</f>
        <v/>
      </c>
    </row>
    <row r="8449">
      <c r="A8449">
        <f>HYPERLINK("https://www.youtube.com/watch?v=GRKIRE45JO0", "Video")</f>
        <v/>
      </c>
      <c r="B8449" t="inlineStr">
        <is>
          <t>0:23</t>
        </is>
      </c>
      <c r="C8449" t="inlineStr">
        <is>
          <t>about our planet and its other
non-human inhabitants.</t>
        </is>
      </c>
      <c r="D8449">
        <f>HYPERLINK("https://www.youtube.com/watch?v=GRKIRE45JO0&amp;t=23s", "Go to time")</f>
        <v/>
      </c>
    </row>
    <row r="8450">
      <c r="A8450">
        <f>HYPERLINK("https://www.youtube.com/watch?v=GRKIRE45JO0", "Video")</f>
        <v/>
      </c>
      <c r="B8450" t="inlineStr">
        <is>
          <t>3:29</t>
        </is>
      </c>
      <c r="C8450" t="inlineStr">
        <is>
          <t>to help finance further science
and habitat protection.</t>
        </is>
      </c>
      <c r="D8450">
        <f>HYPERLINK("https://www.youtube.com/watch?v=GRKIRE45JO0&amp;t=209s", "Go to time")</f>
        <v/>
      </c>
    </row>
    <row r="8451">
      <c r="A8451">
        <f>HYPERLINK("https://www.youtube.com/watch?v=EBQO5GegfPA", "Video")</f>
        <v/>
      </c>
      <c r="B8451" t="inlineStr">
        <is>
          <t>4:41</t>
        </is>
      </c>
      <c r="C8451" t="inlineStr">
        <is>
          <t>It was a bit like the map
wasn't loading properly,</t>
        </is>
      </c>
      <c r="D8451">
        <f>HYPERLINK("https://www.youtube.com/watch?v=EBQO5GegfPA&amp;t=281s", "Go to time")</f>
        <v/>
      </c>
    </row>
    <row r="8452">
      <c r="A8452">
        <f>HYPERLINK("https://www.youtube.com/watch?v=NUFEBioLPf8", "Video")</f>
        <v/>
      </c>
      <c r="B8452" t="inlineStr">
        <is>
          <t>0:23</t>
        </is>
      </c>
      <c r="C8452" t="inlineStr">
        <is>
          <t>We need more ambition from all:</t>
        </is>
      </c>
      <c r="D8452">
        <f>HYPERLINK("https://www.youtube.com/watch?v=NUFEBioLPf8&amp;t=23s", "Go to time")</f>
        <v/>
      </c>
    </row>
    <row r="8453">
      <c r="A8453">
        <f>HYPERLINK("https://www.youtube.com/watch?v=NUFEBioLPf8", "Video")</f>
        <v/>
      </c>
      <c r="B8453" t="inlineStr">
        <is>
          <t>29:01</t>
        </is>
      </c>
      <c r="C8453" t="inlineStr">
        <is>
          <t>I mean, the TED platform
can help a bit, maybe,</t>
        </is>
      </c>
      <c r="D8453">
        <f>HYPERLINK("https://www.youtube.com/watch?v=NUFEBioLPf8&amp;t=1741s", "Go to time")</f>
        <v/>
      </c>
    </row>
    <row r="8454">
      <c r="A8454">
        <f>HYPERLINK("https://www.youtube.com/watch?v=NUFEBioLPf8", "Video")</f>
        <v/>
      </c>
      <c r="B8454" t="inlineStr">
        <is>
          <t>35:04</t>
        </is>
      </c>
      <c r="C8454" t="inlineStr">
        <is>
          <t>What kind of planet do we want to inhabit,</t>
        </is>
      </c>
      <c r="D8454">
        <f>HYPERLINK("https://www.youtube.com/watch?v=NUFEBioLPf8&amp;t=2104s", "Go to time")</f>
        <v/>
      </c>
    </row>
    <row r="8455">
      <c r="A8455">
        <f>HYPERLINK("https://www.youtube.com/watch?v=NUFEBioLPf8", "Video")</f>
        <v/>
      </c>
      <c r="B8455" t="inlineStr">
        <is>
          <t>44:38</t>
        </is>
      </c>
      <c r="C8455" t="inlineStr">
        <is>
          <t>that collectively take a huge bite
out of those issues.</t>
        </is>
      </c>
      <c r="D8455">
        <f>HYPERLINK("https://www.youtube.com/watch?v=NUFEBioLPf8&amp;t=2678s", "Go to time")</f>
        <v/>
      </c>
    </row>
    <row r="8456">
      <c r="A8456">
        <f>HYPERLINK("https://www.youtube.com/watch?v=NUFEBioLPf8", "Video")</f>
        <v/>
      </c>
      <c r="B8456" t="inlineStr">
        <is>
          <t>45:54</t>
        </is>
      </c>
      <c r="C8456" t="inlineStr">
        <is>
          <t>And so it's mutually raising
everyone's ambition level.</t>
        </is>
      </c>
      <c r="D8456">
        <f>HYPERLINK("https://www.youtube.com/watch?v=NUFEBioLPf8&amp;t=2754s", "Go to time")</f>
        <v/>
      </c>
    </row>
    <row r="8457">
      <c r="A8457">
        <f>HYPERLINK("https://www.youtube.com/watch?v=NUFEBioLPf8", "Video")</f>
        <v/>
      </c>
      <c r="B8457" t="inlineStr">
        <is>
          <t>47:24</t>
        </is>
      </c>
      <c r="C8457" t="inlineStr">
        <is>
          <t>Because all of those things
will come back to bite us.</t>
        </is>
      </c>
      <c r="D8457">
        <f>HYPERLINK("https://www.youtube.com/watch?v=NUFEBioLPf8&amp;t=2844s", "Go to time")</f>
        <v/>
      </c>
    </row>
    <row r="8458">
      <c r="A8458">
        <f>HYPERLINK("https://www.youtube.com/watch?v=NUFEBioLPf8", "Video")</f>
        <v/>
      </c>
      <c r="B8458" t="inlineStr">
        <is>
          <t>58:39</t>
        </is>
      </c>
      <c r="C8458" t="inlineStr">
        <is>
          <t>And so if an idea, powered
by a little bit of electricity,</t>
        </is>
      </c>
      <c r="D8458">
        <f>HYPERLINK("https://www.youtube.com/watch?v=NUFEBioLPf8&amp;t=3519s", "Go to time")</f>
        <v/>
      </c>
    </row>
    <row r="8459">
      <c r="A8459">
        <f>HYPERLINK("https://www.youtube.com/watch?v=Hf_zXx09IB8", "Video")</f>
        <v/>
      </c>
      <c r="B8459" t="inlineStr">
        <is>
          <t>4:46</t>
        </is>
      </c>
      <c r="C8459" t="inlineStr">
        <is>
          <t>a typical neighborhood store
with a little bit of everything.</t>
        </is>
      </c>
      <c r="D8459">
        <f>HYPERLINK("https://www.youtube.com/watch?v=Hf_zXx09IB8&amp;t=286s", "Go to time")</f>
        <v/>
      </c>
    </row>
    <row r="8460">
      <c r="A8460">
        <f>HYPERLINK("https://www.youtube.com/watch?v=TsQZOTSteK8", "Video")</f>
        <v/>
      </c>
      <c r="B8460" t="inlineStr">
        <is>
          <t>13:32</t>
        </is>
      </c>
      <c r="C8460" t="inlineStr">
        <is>
          <t>but just says it a little bit better.</t>
        </is>
      </c>
      <c r="D8460">
        <f>HYPERLINK("https://www.youtube.com/watch?v=TsQZOTSteK8&amp;t=812s", "Go to time")</f>
        <v/>
      </c>
    </row>
    <row r="8461">
      <c r="A8461">
        <f>HYPERLINK("https://www.youtube.com/watch?v=TsQZOTSteK8", "Video")</f>
        <v/>
      </c>
      <c r="B8461" t="inlineStr">
        <is>
          <t>14:59</t>
        </is>
      </c>
      <c r="C8461" t="inlineStr">
        <is>
          <t>is every bit as vital
to the health of democracy,</t>
        </is>
      </c>
      <c r="D8461">
        <f>HYPERLINK("https://www.youtube.com/watch?v=TsQZOTSteK8&amp;t=899s", "Go to time")</f>
        <v/>
      </c>
    </row>
    <row r="8462">
      <c r="A8462">
        <f>HYPERLINK("https://www.youtube.com/watch?v=2JMuljrVrSI", "Video")</f>
        <v/>
      </c>
      <c r="B8462" t="inlineStr">
        <is>
          <t>9:30</t>
        </is>
      </c>
      <c r="C8462" t="inlineStr">
        <is>
          <t>Well, it's a bit difficult to say,</t>
        </is>
      </c>
      <c r="D8462">
        <f>HYPERLINK("https://www.youtube.com/watch?v=2JMuljrVrSI&amp;t=570s", "Go to time")</f>
        <v/>
      </c>
    </row>
    <row r="8463">
      <c r="A8463">
        <f>HYPERLINK("https://www.youtube.com/watch?v=wRa3sycERxA", "Video")</f>
        <v/>
      </c>
      <c r="B8463" t="inlineStr">
        <is>
          <t>2:17</t>
        </is>
      </c>
      <c r="C8463" t="inlineStr">
        <is>
          <t>My friend has this habit
of grabbing my hand to hold,</t>
        </is>
      </c>
      <c r="D8463">
        <f>HYPERLINK("https://www.youtube.com/watch?v=wRa3sycERxA&amp;t=137s", "Go to time")</f>
        <v/>
      </c>
    </row>
    <row r="8464">
      <c r="A8464">
        <f>HYPERLINK("https://www.youtube.com/watch?v=gmG5ADvPN98", "Video")</f>
        <v/>
      </c>
      <c r="B8464" t="inlineStr">
        <is>
          <t>0:34</t>
        </is>
      </c>
      <c r="C8464" t="inlineStr">
        <is>
          <t>So let's look a little bit
at that evidence.</t>
        </is>
      </c>
      <c r="D8464">
        <f>HYPERLINK("https://www.youtube.com/watch?v=gmG5ADvPN98&amp;t=34s", "Go to time")</f>
        <v/>
      </c>
    </row>
    <row r="8465">
      <c r="A8465">
        <f>HYPERLINK("https://www.youtube.com/watch?v=MeSJjSJB8hs", "Video")</f>
        <v/>
      </c>
      <c r="B8465" t="inlineStr">
        <is>
          <t>0:44</t>
        </is>
      </c>
      <c r="C8465" t="inlineStr">
        <is>
          <t>And I think some find that
almost ridiculously ambitious. (Laughs)</t>
        </is>
      </c>
      <c r="D8465">
        <f>HYPERLINK("https://www.youtube.com/watch?v=MeSJjSJB8hs&amp;t=44s", "Go to time")</f>
        <v/>
      </c>
    </row>
    <row r="8466">
      <c r="A8466">
        <f>HYPERLINK("https://www.youtube.com/watch?v=MeSJjSJB8hs", "Video")</f>
        <v/>
      </c>
      <c r="B8466" t="inlineStr">
        <is>
          <t>4:32</t>
        </is>
      </c>
      <c r="C8466" t="inlineStr">
        <is>
          <t>Just to put that,
a bit, into perspective --</t>
        </is>
      </c>
      <c r="D8466">
        <f>HYPERLINK("https://www.youtube.com/watch?v=MeSJjSJB8hs&amp;t=272s", "Go to time")</f>
        <v/>
      </c>
    </row>
    <row r="8467">
      <c r="A8467">
        <f>HYPERLINK("https://www.youtube.com/watch?v=MeSJjSJB8hs", "Video")</f>
        <v/>
      </c>
      <c r="B8467" t="inlineStr">
        <is>
          <t>6:18</t>
        </is>
      </c>
      <c r="C8467" t="inlineStr">
        <is>
          <t>Talk to us a little bit
about the price issues.</t>
        </is>
      </c>
      <c r="D8467">
        <f>HYPERLINK("https://www.youtube.com/watch?v=MeSJjSJB8hs&amp;t=378s", "Go to time")</f>
        <v/>
      </c>
    </row>
    <row r="8468">
      <c r="A8468">
        <f>HYPERLINK("https://www.youtube.com/watch?v=MeSJjSJB8hs", "Video")</f>
        <v/>
      </c>
      <c r="B8468" t="inlineStr">
        <is>
          <t>6:34</t>
        </is>
      </c>
      <c r="C8468" t="inlineStr">
        <is>
          <t>So that's of course quite a bit.</t>
        </is>
      </c>
      <c r="D8468">
        <f>HYPERLINK("https://www.youtube.com/watch?v=MeSJjSJB8hs&amp;t=394s", "Go to time")</f>
        <v/>
      </c>
    </row>
    <row r="8469">
      <c r="A8469">
        <f>HYPERLINK("https://www.youtube.com/watch?v=Erm4vP1vTn8", "Video")</f>
        <v/>
      </c>
      <c r="B8469" t="inlineStr">
        <is>
          <t>5:04</t>
        </is>
      </c>
      <c r="C8469" t="inlineStr">
        <is>
          <t>It looks a bit like a plastic foil</t>
        </is>
      </c>
      <c r="D8469">
        <f>HYPERLINK("https://www.youtube.com/watch?v=Erm4vP1vTn8&amp;t=304s", "Go to time")</f>
        <v/>
      </c>
    </row>
    <row r="8470">
      <c r="A8470">
        <f>HYPERLINK("https://www.youtube.com/watch?v=WCmeOccXRq8", "Video")</f>
        <v/>
      </c>
      <c r="B8470" t="inlineStr">
        <is>
          <t>1:15</t>
        </is>
      </c>
      <c r="C8470" t="inlineStr">
        <is>
          <t>that everything was at least
a little bit interesting.</t>
        </is>
      </c>
      <c r="D8470">
        <f>HYPERLINK("https://www.youtube.com/watch?v=WCmeOccXRq8&amp;t=75s", "Go to time")</f>
        <v/>
      </c>
    </row>
    <row r="8471">
      <c r="A8471">
        <f>HYPERLINK("https://www.youtube.com/watch?v=WCmeOccXRq8", "Video")</f>
        <v/>
      </c>
      <c r="B8471" t="inlineStr">
        <is>
          <t>1:34</t>
        </is>
      </c>
      <c r="C8471" t="inlineStr">
        <is>
          <t>I journaled about my Wikipedia
reading habits when I was in fifth grade.</t>
        </is>
      </c>
      <c r="D8471">
        <f>HYPERLINK("https://www.youtube.com/watch?v=WCmeOccXRq8&amp;t=94s", "Go to time")</f>
        <v/>
      </c>
    </row>
    <row r="8472">
      <c r="A8472">
        <f>HYPERLINK("https://www.youtube.com/watch?v=WCmeOccXRq8", "Video")</f>
        <v/>
      </c>
      <c r="B8472" t="inlineStr">
        <is>
          <t>3:38</t>
        </is>
      </c>
      <c r="C8472" t="inlineStr">
        <is>
          <t>I think has quite a bit of personality.</t>
        </is>
      </c>
      <c r="D8472">
        <f>HYPERLINK("https://www.youtube.com/watch?v=WCmeOccXRq8&amp;t=218s", "Go to time")</f>
        <v/>
      </c>
    </row>
    <row r="8473">
      <c r="A8473">
        <f>HYPERLINK("https://www.youtube.com/watch?v=Efv5IeMlo4Y", "Video")</f>
        <v/>
      </c>
      <c r="B8473" t="inlineStr">
        <is>
          <t>1:27</t>
        </is>
      </c>
      <c r="C8473" t="inlineStr">
        <is>
          <t>which is strong enough to bite coral,</t>
        </is>
      </c>
      <c r="D8473">
        <f>HYPERLINK("https://www.youtube.com/watch?v=Efv5IeMlo4Y&amp;t=87s", "Go to time")</f>
        <v/>
      </c>
    </row>
    <row r="8474">
      <c r="A8474">
        <f>HYPERLINK("https://www.youtube.com/watch?v=Efv5IeMlo4Y", "Video")</f>
        <v/>
      </c>
      <c r="B8474" t="inlineStr">
        <is>
          <t>4:44</t>
        </is>
      </c>
      <c r="C8474" t="inlineStr">
        <is>
          <t>A little bit of good news</t>
        </is>
      </c>
      <c r="D8474">
        <f>HYPERLINK("https://www.youtube.com/watch?v=Efv5IeMlo4Y&amp;t=284s", "Go to time")</f>
        <v/>
      </c>
    </row>
    <row r="8475">
      <c r="A8475">
        <f>HYPERLINK("https://www.youtube.com/watch?v=Efv5IeMlo4Y", "Video")</f>
        <v/>
      </c>
      <c r="B8475" t="inlineStr">
        <is>
          <t>6:13</t>
        </is>
      </c>
      <c r="C8475" t="inlineStr">
        <is>
          <t>Every bit of habitat we preserve,</t>
        </is>
      </c>
      <c r="D8475">
        <f>HYPERLINK("https://www.youtube.com/watch?v=Efv5IeMlo4Y&amp;t=373s", "Go to time")</f>
        <v/>
      </c>
    </row>
    <row r="8476">
      <c r="A8476">
        <f>HYPERLINK("https://www.youtube.com/watch?v=rfi3w9Bzwik", "Video")</f>
        <v/>
      </c>
      <c r="B8476" t="inlineStr">
        <is>
          <t>1:35</t>
        </is>
      </c>
      <c r="C8476" t="inlineStr">
        <is>
          <t>passing inside the orbit of Mercury.</t>
        </is>
      </c>
      <c r="D8476">
        <f>HYPERLINK("https://www.youtube.com/watch?v=rfi3w9Bzwik&amp;t=95s", "Go to time")</f>
        <v/>
      </c>
    </row>
    <row r="8477">
      <c r="A8477">
        <f>HYPERLINK("https://www.youtube.com/watch?v=rfi3w9Bzwik", "Video")</f>
        <v/>
      </c>
      <c r="B8477" t="inlineStr">
        <is>
          <t>9:09</t>
        </is>
      </c>
      <c r="C8477" t="inlineStr">
        <is>
          <t>In fact, minerals that have
tiny little bits of iron in the surface</t>
        </is>
      </c>
      <c r="D8477">
        <f>HYPERLINK("https://www.youtube.com/watch?v=rfi3w9Bzwik&amp;t=549s", "Go to time")</f>
        <v/>
      </c>
    </row>
    <row r="8478">
      <c r="A8478">
        <f>HYPERLINK("https://www.youtube.com/watch?v=rfi3w9Bzwik", "Video")</f>
        <v/>
      </c>
      <c r="B8478" t="inlineStr">
        <is>
          <t>10:12</t>
        </is>
      </c>
      <c r="C8478" t="inlineStr">
        <is>
          <t>meaning we get more positions
along the orbit,</t>
        </is>
      </c>
      <c r="D8478">
        <f>HYPERLINK("https://www.youtube.com/watch?v=rfi3w9Bzwik&amp;t=612s", "Go to time")</f>
        <v/>
      </c>
    </row>
    <row r="8479">
      <c r="A8479">
        <f>HYPERLINK("https://www.youtube.com/watch?v=LUn8IjZKBPg", "Video")</f>
        <v/>
      </c>
      <c r="B8479" t="inlineStr">
        <is>
          <t>4:54</t>
        </is>
      </c>
      <c r="C8479" t="inlineStr">
        <is>
          <t>There's a little bit more to it
than that, but not a lot.</t>
        </is>
      </c>
      <c r="D8479">
        <f>HYPERLINK("https://www.youtube.com/watch?v=LUn8IjZKBPg&amp;t=294s", "Go to time")</f>
        <v/>
      </c>
    </row>
    <row r="8480">
      <c r="A8480">
        <f>HYPERLINK("https://www.youtube.com/watch?v=POHYyP4EbzE", "Video")</f>
        <v/>
      </c>
      <c r="B8480" t="inlineStr">
        <is>
          <t>1:22</t>
        </is>
      </c>
      <c r="C8480" t="inlineStr">
        <is>
          <t>As far as I know, it was just
measuring our sleeping habits.</t>
        </is>
      </c>
      <c r="D8480">
        <f>HYPERLINK("https://www.youtube.com/watch?v=POHYyP4EbzE&amp;t=82s", "Go to time")</f>
        <v/>
      </c>
    </row>
    <row r="8481">
      <c r="A8481">
        <f>HYPERLINK("https://www.youtube.com/watch?v=POHYyP4EbzE", "Video")</f>
        <v/>
      </c>
      <c r="B8481" t="inlineStr">
        <is>
          <t>2:42</t>
        </is>
      </c>
      <c r="C8481" t="inlineStr">
        <is>
          <t>I'm not going to out your brushing habits,</t>
        </is>
      </c>
      <c r="D8481">
        <f>HYPERLINK("https://www.youtube.com/watch?v=POHYyP4EbzE&amp;t=162s", "Go to time")</f>
        <v/>
      </c>
    </row>
    <row r="8482">
      <c r="A8482">
        <f>HYPERLINK("https://www.youtube.com/watch?v=ultonpeO0ZA", "Video")</f>
        <v/>
      </c>
      <c r="B8482" t="inlineStr">
        <is>
          <t>9:53</t>
        </is>
      </c>
      <c r="C8482" t="inlineStr">
        <is>
          <t>A little bit powerful?</t>
        </is>
      </c>
      <c r="D8482">
        <f>HYPERLINK("https://www.youtube.com/watch?v=ultonpeO0ZA&amp;t=593s", "Go to time")</f>
        <v/>
      </c>
    </row>
    <row r="8483">
      <c r="A8483">
        <f>HYPERLINK("https://www.youtube.com/watch?v=ESAaz9v4mSU", "Video")</f>
        <v/>
      </c>
      <c r="B8483" t="inlineStr">
        <is>
          <t>5:59</t>
        </is>
      </c>
      <c r="C8483" t="inlineStr">
        <is>
          <t>So I do things a little bit differently.</t>
        </is>
      </c>
      <c r="D8483">
        <f>HYPERLINK("https://www.youtube.com/watch?v=ESAaz9v4mSU&amp;t=359s", "Go to time")</f>
        <v/>
      </c>
    </row>
    <row r="8484">
      <c r="A8484">
        <f>HYPERLINK("https://www.youtube.com/watch?v=xEut3UavWfk", "Video")</f>
        <v/>
      </c>
      <c r="B8484" t="inlineStr">
        <is>
          <t>4:07</t>
        </is>
      </c>
      <c r="C8484" t="inlineStr">
        <is>
          <t>And he grew bitter, and he grew angry.</t>
        </is>
      </c>
      <c r="D8484">
        <f>HYPERLINK("https://www.youtube.com/watch?v=xEut3UavWfk&amp;t=247s", "Go to time")</f>
        <v/>
      </c>
    </row>
    <row r="8485">
      <c r="A8485">
        <f>HYPERLINK("https://www.youtube.com/watch?v=xEut3UavWfk", "Video")</f>
        <v/>
      </c>
      <c r="B8485" t="inlineStr">
        <is>
          <t>10:10</t>
        </is>
      </c>
      <c r="C8485" t="inlineStr">
        <is>
          <t>Buffalo has had a bit
of a streak of bad luck.</t>
        </is>
      </c>
      <c r="D8485">
        <f>HYPERLINK("https://www.youtube.com/watch?v=xEut3UavWfk&amp;t=610s", "Go to time")</f>
        <v/>
      </c>
    </row>
    <row r="8486">
      <c r="A8486">
        <f>HYPERLINK("https://www.youtube.com/watch?v=xnPaaxytfGs", "Video")</f>
        <v/>
      </c>
      <c r="B8486" t="inlineStr">
        <is>
          <t>9:18</t>
        </is>
      </c>
      <c r="C8486" t="inlineStr">
        <is>
          <t>delve a little bit deeper.</t>
        </is>
      </c>
      <c r="D8486">
        <f>HYPERLINK("https://www.youtube.com/watch?v=xnPaaxytfGs&amp;t=558s", "Go to time")</f>
        <v/>
      </c>
    </row>
    <row r="8487">
      <c r="A8487">
        <f>HYPERLINK("https://www.youtube.com/watch?v=VP_fpvI3Y1k", "Video")</f>
        <v/>
      </c>
      <c r="B8487" t="inlineStr">
        <is>
          <t>2:14</t>
        </is>
      </c>
      <c r="C8487" t="inlineStr">
        <is>
          <t>its inhabitants</t>
        </is>
      </c>
      <c r="D8487">
        <f>HYPERLINK("https://www.youtube.com/watch?v=VP_fpvI3Y1k&amp;t=134s", "Go to time")</f>
        <v/>
      </c>
    </row>
    <row r="8488">
      <c r="A8488">
        <f>HYPERLINK("https://www.youtube.com/watch?v=VP_fpvI3Y1k", "Video")</f>
        <v/>
      </c>
      <c r="B8488" t="inlineStr">
        <is>
          <t>2:30</t>
        </is>
      </c>
      <c r="C8488" t="inlineStr">
        <is>
          <t>could you talk a little bit more about</t>
        </is>
      </c>
      <c r="D8488">
        <f>HYPERLINK("https://www.youtube.com/watch?v=VP_fpvI3Y1k&amp;t=150s", "Go to time")</f>
        <v/>
      </c>
    </row>
    <row r="8489">
      <c r="A8489">
        <f>HYPERLINK("https://www.youtube.com/watch?v=VP_fpvI3Y1k", "Video")</f>
        <v/>
      </c>
      <c r="B8489" t="inlineStr">
        <is>
          <t>4:24</t>
        </is>
      </c>
      <c r="C8489" t="inlineStr">
        <is>
          <t>little bit and thinking about your work</t>
        </is>
      </c>
      <c r="D8489">
        <f>HYPERLINK("https://www.youtube.com/watch?v=VP_fpvI3Y1k&amp;t=264s", "Go to time")</f>
        <v/>
      </c>
    </row>
    <row r="8490">
      <c r="A8490">
        <f>HYPERLINK("https://www.youtube.com/watch?v=VP_fpvI3Y1k", "Video")</f>
        <v/>
      </c>
      <c r="B8490" t="inlineStr">
        <is>
          <t>14:45</t>
        </is>
      </c>
      <c r="C8490" t="inlineStr">
        <is>
          <t>well let's talk a little bit also about</t>
        </is>
      </c>
      <c r="D8490">
        <f>HYPERLINK("https://www.youtube.com/watch?v=VP_fpvI3Y1k&amp;t=885s", "Go to time")</f>
        <v/>
      </c>
    </row>
    <row r="8491">
      <c r="A8491">
        <f>HYPERLINK("https://www.youtube.com/watch?v=VP_fpvI3Y1k", "Video")</f>
        <v/>
      </c>
      <c r="B8491" t="inlineStr">
        <is>
          <t>15:16</t>
        </is>
      </c>
      <c r="C8491" t="inlineStr">
        <is>
          <t>tell us a little bit about</t>
        </is>
      </c>
      <c r="D8491">
        <f>HYPERLINK("https://www.youtube.com/watch?v=VP_fpvI3Y1k&amp;t=916s", "Go to time")</f>
        <v/>
      </c>
    </row>
    <row r="8492">
      <c r="A8492">
        <f>HYPERLINK("https://www.youtube.com/watch?v=VP_fpvI3Y1k", "Video")</f>
        <v/>
      </c>
      <c r="B8492" t="inlineStr">
        <is>
          <t>18:23</t>
        </is>
      </c>
      <c r="C8492" t="inlineStr">
        <is>
          <t>little bit further</t>
        </is>
      </c>
      <c r="D8492">
        <f>HYPERLINK("https://www.youtube.com/watch?v=VP_fpvI3Y1k&amp;t=1103s", "Go to time")</f>
        <v/>
      </c>
    </row>
    <row r="8493">
      <c r="A8493">
        <f>HYPERLINK("https://www.youtube.com/watch?v=hv88_R-XDDw", "Video")</f>
        <v/>
      </c>
      <c r="B8493" t="inlineStr">
        <is>
          <t>1:46</t>
        </is>
      </c>
      <c r="C8493" t="inlineStr">
        <is>
          <t>grew a bit older that this was an</t>
        </is>
      </c>
      <c r="D8493">
        <f>HYPERLINK("https://www.youtube.com/watch?v=hv88_R-XDDw&amp;t=106s", "Go to time")</f>
        <v/>
      </c>
    </row>
    <row r="8494">
      <c r="A8494">
        <f>HYPERLINK("https://www.youtube.com/watch?v=hv88_R-XDDw", "Video")</f>
        <v/>
      </c>
      <c r="B8494" t="inlineStr">
        <is>
          <t>11:34</t>
        </is>
      </c>
      <c r="C8494" t="inlineStr">
        <is>
          <t>a little bit and also talking to this</t>
        </is>
      </c>
      <c r="D8494">
        <f>HYPERLINK("https://www.youtube.com/watch?v=hv88_R-XDDw&amp;t=694s", "Go to time")</f>
        <v/>
      </c>
    </row>
    <row r="8495">
      <c r="A8495">
        <f>HYPERLINK("https://www.youtube.com/watch?v=hv88_R-XDDw", "Video")</f>
        <v/>
      </c>
      <c r="B8495" t="inlineStr">
        <is>
          <t>26:26</t>
        </is>
      </c>
      <c r="C8495" t="inlineStr">
        <is>
          <t>land let's talk a little bit of I think</t>
        </is>
      </c>
      <c r="D8495">
        <f>HYPERLINK("https://www.youtube.com/watch?v=hv88_R-XDDw&amp;t=1586s", "Go to time")</f>
        <v/>
      </c>
    </row>
    <row r="8496">
      <c r="A8496">
        <f>HYPERLINK("https://www.youtube.com/watch?v=L4N1q4RNi9I", "Video")</f>
        <v/>
      </c>
      <c r="B8496" t="inlineStr">
        <is>
          <t>3:13</t>
        </is>
      </c>
      <c r="C8496" t="inlineStr">
        <is>
          <t>combine their ambitions
to their passion and to their purpose,</t>
        </is>
      </c>
      <c r="D8496">
        <f>HYPERLINK("https://www.youtube.com/watch?v=L4N1q4RNi9I&amp;t=193s", "Go to time")</f>
        <v/>
      </c>
    </row>
    <row r="8497">
      <c r="A8497">
        <f>HYPERLINK("https://www.youtube.com/watch?v=L4N1q4RNi9I", "Video")</f>
        <v/>
      </c>
      <c r="B8497" t="inlineStr">
        <is>
          <t>9:47</t>
        </is>
      </c>
      <c r="C8497" t="inlineStr">
        <is>
          <t>that are made from the whats
and hows of our ambitions.</t>
        </is>
      </c>
      <c r="D8497">
        <f>HYPERLINK("https://www.youtube.com/watch?v=L4N1q4RNi9I&amp;t=587s", "Go to time")</f>
        <v/>
      </c>
    </row>
    <row r="8498">
      <c r="A8498">
        <f>HYPERLINK("https://www.youtube.com/watch?v=cYW8ntaw_v8", "Video")</f>
        <v/>
      </c>
      <c r="B8498" t="inlineStr">
        <is>
          <t>4:53</t>
        </is>
      </c>
      <c r="C8498" t="inlineStr">
        <is>
          <t>it actually takes a little bit of design</t>
        </is>
      </c>
      <c r="D8498">
        <f>HYPERLINK("https://www.youtube.com/watch?v=cYW8ntaw_v8&amp;t=293s", "Go to time")</f>
        <v/>
      </c>
    </row>
    <row r="8499">
      <c r="A8499">
        <f>HYPERLINK("https://www.youtube.com/watch?v=cYW8ntaw_v8", "Video")</f>
        <v/>
      </c>
      <c r="B8499" t="inlineStr">
        <is>
          <t>23:53</t>
        </is>
      </c>
      <c r="C8499" t="inlineStr">
        <is>
          <t>kind of talked about this a little bit</t>
        </is>
      </c>
      <c r="D8499">
        <f>HYPERLINK("https://www.youtube.com/watch?v=cYW8ntaw_v8&amp;t=1433s", "Go to time")</f>
        <v/>
      </c>
    </row>
    <row r="8500">
      <c r="A8500">
        <f>HYPERLINK("https://www.youtube.com/watch?v=cYW8ntaw_v8", "Video")</f>
        <v/>
      </c>
      <c r="B8500" t="inlineStr">
        <is>
          <t>25:36</t>
        </is>
      </c>
      <c r="C8500" t="inlineStr">
        <is>
          <t>so uh pivoting a little bit into the</t>
        </is>
      </c>
      <c r="D8500">
        <f>HYPERLINK("https://www.youtube.com/watch?v=cYW8ntaw_v8&amp;t=1536s", "Go to time")</f>
        <v/>
      </c>
    </row>
    <row r="8501">
      <c r="A8501">
        <f>HYPERLINK("https://www.youtube.com/watch?v=cYW8ntaw_v8", "Video")</f>
        <v/>
      </c>
      <c r="B8501" t="inlineStr">
        <is>
          <t>32:02</t>
        </is>
      </c>
      <c r="C8501" t="inlineStr">
        <is>
          <t>kind of were tuned a bit more to the</t>
        </is>
      </c>
      <c r="D8501">
        <f>HYPERLINK("https://www.youtube.com/watch?v=cYW8ntaw_v8&amp;t=1922s", "Go to time")</f>
        <v/>
      </c>
    </row>
    <row r="8502">
      <c r="A8502">
        <f>HYPERLINK("https://www.youtube.com/watch?v=cYW8ntaw_v8", "Video")</f>
        <v/>
      </c>
      <c r="B8502" t="inlineStr">
        <is>
          <t>32:05</t>
        </is>
      </c>
      <c r="C8502" t="inlineStr">
        <is>
          <t>piano right and ATT tune a bit more and</t>
        </is>
      </c>
      <c r="D8502">
        <f>HYPERLINK("https://www.youtube.com/watch?v=cYW8ntaw_v8&amp;t=1925s", "Go to time")</f>
        <v/>
      </c>
    </row>
    <row r="8503">
      <c r="A8503">
        <f>HYPERLINK("https://www.youtube.com/watch?v=zeBLHx-OzLE", "Video")</f>
        <v/>
      </c>
      <c r="B8503" t="inlineStr">
        <is>
          <t>4:39</t>
        </is>
      </c>
      <c r="C8503" t="inlineStr">
        <is>
          <t>comes and the sense is a little bit</t>
        </is>
      </c>
      <c r="D8503">
        <f>HYPERLINK("https://www.youtube.com/watch?v=zeBLHx-OzLE&amp;t=279s", "Go to time")</f>
        <v/>
      </c>
    </row>
    <row r="8504">
      <c r="A8504">
        <f>HYPERLINK("https://www.youtube.com/watch?v=zeBLHx-OzLE", "Video")</f>
        <v/>
      </c>
      <c r="B8504" t="inlineStr">
        <is>
          <t>7:29</t>
        </is>
      </c>
      <c r="C8504" t="inlineStr">
        <is>
          <t>and that's a little bit of a human</t>
        </is>
      </c>
      <c r="D8504">
        <f>HYPERLINK("https://www.youtube.com/watch?v=zeBLHx-OzLE&amp;t=449s", "Go to time")</f>
        <v/>
      </c>
    </row>
    <row r="8505">
      <c r="A8505">
        <f>HYPERLINK("https://www.youtube.com/watch?v=zeBLHx-OzLE", "Video")</f>
        <v/>
      </c>
      <c r="B8505" t="inlineStr">
        <is>
          <t>14:39</t>
        </is>
      </c>
      <c r="C8505" t="inlineStr">
        <is>
          <t>doubt that UVA and UVB kill a little bit</t>
        </is>
      </c>
      <c r="D8505">
        <f>HYPERLINK("https://www.youtube.com/watch?v=zeBLHx-OzLE&amp;t=879s", "Go to time")</f>
        <v/>
      </c>
    </row>
    <row r="8506">
      <c r="A8506">
        <f>HYPERLINK("https://www.youtube.com/watch?v=zeBLHx-OzLE", "Video")</f>
        <v/>
      </c>
      <c r="B8506" t="inlineStr">
        <is>
          <t>20:38</t>
        </is>
      </c>
      <c r="C8506" t="inlineStr">
        <is>
          <t>little bit different from a drug</t>
        </is>
      </c>
      <c r="D8506">
        <f>HYPERLINK("https://www.youtube.com/watch?v=zeBLHx-OzLE&amp;t=1238s", "Go to time")</f>
        <v/>
      </c>
    </row>
    <row r="8507">
      <c r="A8507">
        <f>HYPERLINK("https://www.youtube.com/watch?v=zeBLHx-OzLE", "Video")</f>
        <v/>
      </c>
      <c r="B8507" t="inlineStr">
        <is>
          <t>21:58</t>
        </is>
      </c>
      <c r="C8507" t="inlineStr">
        <is>
          <t>produce a little bit of purple light at</t>
        </is>
      </c>
      <c r="D8507">
        <f>HYPERLINK("https://www.youtube.com/watch?v=zeBLHx-OzLE&amp;t=1318s", "Go to time")</f>
        <v/>
      </c>
    </row>
    <row r="8508">
      <c r="A8508">
        <f>HYPERLINK("https://www.youtube.com/watch?v=jFl9kFms7nA", "Video")</f>
        <v/>
      </c>
      <c r="B8508" t="inlineStr">
        <is>
          <t>8:29</t>
        </is>
      </c>
      <c r="C8508" t="inlineStr">
        <is>
          <t>dropping this built habit
of monitoring my body so closely,</t>
        </is>
      </c>
      <c r="D8508">
        <f>HYPERLINK("https://www.youtube.com/watch?v=jFl9kFms7nA&amp;t=509s", "Go to time")</f>
        <v/>
      </c>
    </row>
    <row r="8509">
      <c r="A8509">
        <f>HYPERLINK("https://www.youtube.com/watch?v=jFl9kFms7nA", "Video")</f>
        <v/>
      </c>
      <c r="B8509" t="inlineStr">
        <is>
          <t>10:14</t>
        </is>
      </c>
      <c r="C8509" t="inlineStr">
        <is>
          <t>The snowboarding part
is still a bit out there,</t>
        </is>
      </c>
      <c r="D8509">
        <f>HYPERLINK("https://www.youtube.com/watch?v=jFl9kFms7nA&amp;t=614s", "Go to time")</f>
        <v/>
      </c>
    </row>
    <row r="8510">
      <c r="A8510">
        <f>HYPERLINK("https://www.youtube.com/watch?v=nBN9zG1JNPg", "Video")</f>
        <v/>
      </c>
      <c r="B8510" t="inlineStr">
        <is>
          <t>10:43</t>
        </is>
      </c>
      <c r="C8510" t="inlineStr">
        <is>
          <t>So he went over the top a little bit,</t>
        </is>
      </c>
      <c r="D8510">
        <f>HYPERLINK("https://www.youtube.com/watch?v=nBN9zG1JNPg&amp;t=643s", "Go to time")</f>
        <v/>
      </c>
    </row>
    <row r="8511">
      <c r="A8511">
        <f>HYPERLINK("https://www.youtube.com/watch?v=nBN9zG1JNPg", "Video")</f>
        <v/>
      </c>
      <c r="B8511" t="inlineStr">
        <is>
          <t>13:50</t>
        </is>
      </c>
      <c r="C8511" t="inlineStr">
        <is>
          <t>I got chased and bitten
by just about every dog</t>
        </is>
      </c>
      <c r="D8511">
        <f>HYPERLINK("https://www.youtube.com/watch?v=nBN9zG1JNPg&amp;t=830s", "Go to time")</f>
        <v/>
      </c>
    </row>
    <row r="8512">
      <c r="A8512">
        <f>HYPERLINK("https://www.youtube.com/watch?v=2ix8JEqCJ1s", "Video")</f>
        <v/>
      </c>
      <c r="B8512" t="inlineStr">
        <is>
          <t>5:26</t>
        </is>
      </c>
      <c r="C8512" t="inlineStr">
        <is>
          <t>A lot of them, before they went
down some internet rabbit hole,</t>
        </is>
      </c>
      <c r="D8512">
        <f>HYPERLINK("https://www.youtube.com/watch?v=2ix8JEqCJ1s&amp;t=326s", "Go to time")</f>
        <v/>
      </c>
    </row>
    <row r="8513">
      <c r="A8513">
        <f>HYPERLINK("https://www.youtube.com/watch?v=2ix8JEqCJ1s", "Video")</f>
        <v/>
      </c>
      <c r="B8513" t="inlineStr">
        <is>
          <t>8:50</t>
        </is>
      </c>
      <c r="C8513" t="inlineStr">
        <is>
          <t>might be able to do to make things
a little bit less toxic.</t>
        </is>
      </c>
      <c r="D8513">
        <f>HYPERLINK("https://www.youtube.com/watch?v=2ix8JEqCJ1s&amp;t=530s", "Go to time")</f>
        <v/>
      </c>
    </row>
    <row r="8514">
      <c r="A8514">
        <f>HYPERLINK("https://www.youtube.com/watch?v=EZKDkSY1GBM", "Video")</f>
        <v/>
      </c>
      <c r="B8514" t="inlineStr">
        <is>
          <t>6:38</t>
        </is>
      </c>
      <c r="C8514" t="inlineStr">
        <is>
          <t>and it is ridiculously ambitious,</t>
        </is>
      </c>
      <c r="D8514">
        <f>HYPERLINK("https://www.youtube.com/watch?v=EZKDkSY1GBM&amp;t=398s", "Go to time")</f>
        <v/>
      </c>
    </row>
    <row r="8515">
      <c r="A8515">
        <f>HYPERLINK("https://www.youtube.com/watch?v=EZKDkSY1GBM", "Video")</f>
        <v/>
      </c>
      <c r="B8515" t="inlineStr">
        <is>
          <t>7:58</t>
        </is>
      </c>
      <c r="C8515" t="inlineStr">
        <is>
          <t>trying to find technology
that will help me deliver on my ambition.</t>
        </is>
      </c>
      <c r="D8515">
        <f>HYPERLINK("https://www.youtube.com/watch?v=EZKDkSY1GBM&amp;t=478s", "Go to time")</f>
        <v/>
      </c>
    </row>
    <row r="8516">
      <c r="A8516">
        <f>HYPERLINK("https://www.youtube.com/watch?v=j-6zwv31qjg", "Video")</f>
        <v/>
      </c>
      <c r="B8516" t="inlineStr">
        <is>
          <t>5:58</t>
        </is>
      </c>
      <c r="C8516" t="inlineStr">
        <is>
          <t>but that story tells you a bit
about how we get to this 10x gap</t>
        </is>
      </c>
      <c r="D8516">
        <f>HYPERLINK("https://www.youtube.com/watch?v=j-6zwv31qjg&amp;t=358s", "Go to time")</f>
        <v/>
      </c>
    </row>
    <row r="8517">
      <c r="A8517">
        <f>HYPERLINK("https://www.youtube.com/watch?v=0jBhEPtC0fk", "Video")</f>
        <v/>
      </c>
      <c r="B8517" t="inlineStr">
        <is>
          <t>3:12</t>
        </is>
      </c>
      <c r="C8517" t="inlineStr">
        <is>
          <t>"What's your unforgettable bite?</t>
        </is>
      </c>
      <c r="D8517">
        <f>HYPERLINK("https://www.youtube.com/watch?v=0jBhEPtC0fk&amp;t=192s", "Go to time")</f>
        <v/>
      </c>
    </row>
    <row r="8518">
      <c r="A8518">
        <f>HYPERLINK("https://www.youtube.com/watch?v=kioUmpJQbKM", "Video")</f>
        <v/>
      </c>
      <c r="B8518" t="inlineStr">
        <is>
          <t>2:06</t>
        </is>
      </c>
      <c r="C8518" t="inlineStr">
        <is>
          <t>The ambition we need to see,
reducing emissions,</t>
        </is>
      </c>
      <c r="D8518">
        <f>HYPERLINK("https://www.youtube.com/watch?v=kioUmpJQbKM&amp;t=126s", "Go to time")</f>
        <v/>
      </c>
    </row>
    <row r="8519">
      <c r="A8519">
        <f>HYPERLINK("https://www.youtube.com/watch?v=xFHIAwdI72Y", "Video")</f>
        <v/>
      </c>
      <c r="B8519" t="inlineStr">
        <is>
          <t>2:09</t>
        </is>
      </c>
      <c r="C8519" t="inlineStr">
        <is>
          <t>Whether it was going down
a somewhat sketchy YouTube rabbit hole</t>
        </is>
      </c>
      <c r="D8519">
        <f>HYPERLINK("https://www.youtube.com/watch?v=xFHIAwdI72Y&amp;t=129s", "Go to time")</f>
        <v/>
      </c>
    </row>
    <row r="8520">
      <c r="A8520">
        <f>HYPERLINK("https://www.youtube.com/watch?v=6Wl0yjC459k", "Video")</f>
        <v/>
      </c>
      <c r="B8520" t="inlineStr">
        <is>
          <t>4:45</t>
        </is>
      </c>
      <c r="C8520" t="inlineStr">
        <is>
          <t>but turning it into a habit
in today's world still is.</t>
        </is>
      </c>
      <c r="D8520">
        <f>HYPERLINK("https://www.youtube.com/watch?v=6Wl0yjC459k&amp;t=285s", "Go to time")</f>
        <v/>
      </c>
    </row>
    <row r="8521">
      <c r="A8521">
        <f>HYPERLINK("https://www.youtube.com/watch?v=CVPl8jRaAqM", "Video")</f>
        <v/>
      </c>
      <c r="B8521" t="inlineStr">
        <is>
          <t>3:33</t>
        </is>
      </c>
      <c r="C8521" t="inlineStr">
        <is>
          <t>Could throw you off a little bit,</t>
        </is>
      </c>
      <c r="D8521">
        <f>HYPERLINK("https://www.youtube.com/watch?v=CVPl8jRaAqM&amp;t=213s", "Go to time")</f>
        <v/>
      </c>
    </row>
    <row r="8522">
      <c r="A8522">
        <f>HYPERLINK("https://www.youtube.com/watch?v=CVPl8jRaAqM", "Video")</f>
        <v/>
      </c>
      <c r="B8522" t="inlineStr">
        <is>
          <t>8:42</t>
        </is>
      </c>
      <c r="C8522" t="inlineStr">
        <is>
          <t>So I bought into this a little bit too,</t>
        </is>
      </c>
      <c r="D8522">
        <f>HYPERLINK("https://www.youtube.com/watch?v=CVPl8jRaAqM&amp;t=522s", "Go to time")</f>
        <v/>
      </c>
    </row>
    <row r="8523">
      <c r="A8523">
        <f>HYPERLINK("https://www.youtube.com/watch?v=UQbkSDbm4sw", "Video")</f>
        <v/>
      </c>
      <c r="B8523" t="inlineStr">
        <is>
          <t>6:12</t>
        </is>
      </c>
      <c r="C8523" t="inlineStr">
        <is>
          <t>to increase their ambition over time.</t>
        </is>
      </c>
      <c r="D8523">
        <f>HYPERLINK("https://www.youtube.com/watch?v=UQbkSDbm4sw&amp;t=372s", "Go to time")</f>
        <v/>
      </c>
    </row>
    <row r="8524">
      <c r="A8524">
        <f>HYPERLINK("https://www.youtube.com/watch?v=I5g9-4fx60A", "Video")</f>
        <v/>
      </c>
      <c r="B8524" t="inlineStr">
        <is>
          <t>0:35</t>
        </is>
      </c>
      <c r="C8524" t="inlineStr">
        <is>
          <t>At its extreme, it looks a bit like this.</t>
        </is>
      </c>
      <c r="D8524">
        <f>HYPERLINK("https://www.youtube.com/watch?v=I5g9-4fx60A&amp;t=35s", "Go to time")</f>
        <v/>
      </c>
    </row>
    <row r="8525">
      <c r="A8525">
        <f>HYPERLINK("https://www.youtube.com/watch?v=I5g9-4fx60A", "Video")</f>
        <v/>
      </c>
      <c r="B8525" t="inlineStr">
        <is>
          <t>6:35</t>
        </is>
      </c>
      <c r="C8525" t="inlineStr">
        <is>
          <t>and bits of copper lying
all round the villages,</t>
        </is>
      </c>
      <c r="D8525">
        <f>HYPERLINK("https://www.youtube.com/watch?v=I5g9-4fx60A&amp;t=395s", "Go to time")</f>
        <v/>
      </c>
    </row>
    <row r="8526">
      <c r="A8526">
        <f>HYPERLINK("https://www.youtube.com/watch?v=I5g9-4fx60A", "Video")</f>
        <v/>
      </c>
      <c r="B8526" t="inlineStr">
        <is>
          <t>7:15</t>
        </is>
      </c>
      <c r="C8526" t="inlineStr">
        <is>
          <t>even if you're kind of a bit of a zoo
animal species they'd like to check out,</t>
        </is>
      </c>
      <c r="D8526">
        <f>HYPERLINK("https://www.youtube.com/watch?v=I5g9-4fx60A&amp;t=435s", "Go to time")</f>
        <v/>
      </c>
    </row>
    <row r="8527">
      <c r="A8527">
        <f>HYPERLINK("https://www.youtube.com/watch?v=I5g9-4fx60A", "Video")</f>
        <v/>
      </c>
      <c r="B8527" t="inlineStr">
        <is>
          <t>8:49</t>
        </is>
      </c>
      <c r="C8527" t="inlineStr">
        <is>
          <t>it makes every bit of plastic
all over the world an article of value.</t>
        </is>
      </c>
      <c r="D8527">
        <f>HYPERLINK("https://www.youtube.com/watch?v=I5g9-4fx60A&amp;t=529s", "Go to time")</f>
        <v/>
      </c>
    </row>
    <row r="8528">
      <c r="A8528">
        <f>HYPERLINK("https://www.youtube.com/watch?v=-wJo5aKBwq0", "Video")</f>
        <v/>
      </c>
      <c r="B8528" t="inlineStr">
        <is>
          <t>2:40</t>
        </is>
      </c>
      <c r="C8528" t="inlineStr">
        <is>
          <t>Additional increases in ambition</t>
        </is>
      </c>
      <c r="D8528">
        <f>HYPERLINK("https://www.youtube.com/watch?v=-wJo5aKBwq0&amp;t=160s", "Go to time")</f>
        <v/>
      </c>
    </row>
    <row r="8529">
      <c r="A8529">
        <f>HYPERLINK("https://www.youtube.com/watch?v=YDvbDiJZpy0", "Video")</f>
        <v/>
      </c>
      <c r="B8529" t="inlineStr">
        <is>
          <t>3:57</t>
        </is>
      </c>
      <c r="C8529" t="inlineStr">
        <is>
          <t>They often have exhibits,
and exhibits often have words and numbers</t>
        </is>
      </c>
      <c r="D8529">
        <f>HYPERLINK("https://www.youtube.com/watch?v=YDvbDiJZpy0&amp;t=237s", "Go to time")</f>
        <v/>
      </c>
    </row>
    <row r="8530">
      <c r="A8530">
        <f>HYPERLINK("https://www.youtube.com/watch?v=w7n1oYtMdEY", "Video")</f>
        <v/>
      </c>
      <c r="B8530" t="inlineStr">
        <is>
          <t>3:39</t>
        </is>
      </c>
      <c r="C8530" t="inlineStr">
        <is>
          <t>Let me just back up a little bit
and tell you how I got that.</t>
        </is>
      </c>
      <c r="D8530">
        <f>HYPERLINK("https://www.youtube.com/watch?v=w7n1oYtMdEY&amp;t=219s", "Go to time")</f>
        <v/>
      </c>
    </row>
    <row r="8531">
      <c r="A8531">
        <f>HYPERLINK("https://www.youtube.com/watch?v=szt7f5NmE9E", "Video")</f>
        <v/>
      </c>
      <c r="B8531" t="inlineStr">
        <is>
          <t>26:11</t>
        </is>
      </c>
      <c r="C8531" t="inlineStr">
        <is>
          <t>it's a vast sea of red with little bits
of yellow here and there</t>
        </is>
      </c>
      <c r="D8531">
        <f>HYPERLINK("https://www.youtube.com/watch?v=szt7f5NmE9E&amp;t=1571s", "Go to time")</f>
        <v/>
      </c>
    </row>
    <row r="8532">
      <c r="A8532">
        <f>HYPERLINK("https://www.youtube.com/watch?v=slbfAfEvnQ0", "Video")</f>
        <v/>
      </c>
      <c r="B8532" t="inlineStr">
        <is>
          <t>6:40</t>
        </is>
      </c>
      <c r="C8532" t="inlineStr">
        <is>
          <t>Species loss, habitat loss, climate change</t>
        </is>
      </c>
      <c r="D8532">
        <f>HYPERLINK("https://www.youtube.com/watch?v=slbfAfEvnQ0&amp;t=400s", "Go to time")</f>
        <v/>
      </c>
    </row>
    <row r="8533">
      <c r="A8533">
        <f>HYPERLINK("https://www.youtube.com/watch?v=slbfAfEvnQ0", "Video")</f>
        <v/>
      </c>
      <c r="B8533" t="inlineStr">
        <is>
          <t>7:14</t>
        </is>
      </c>
      <c r="C8533" t="inlineStr">
        <is>
          <t>I get a bit closer.</t>
        </is>
      </c>
      <c r="D8533">
        <f>HYPERLINK("https://www.youtube.com/watch?v=slbfAfEvnQ0&amp;t=434s", "Go to time")</f>
        <v/>
      </c>
    </row>
    <row r="8534">
      <c r="A8534">
        <f>HYPERLINK("https://www.youtube.com/watch?v=f-mQIWnO3Ag", "Video")</f>
        <v/>
      </c>
      <c r="B8534" t="inlineStr">
        <is>
          <t>0:27</t>
        </is>
      </c>
      <c r="C8534" t="inlineStr">
        <is>
          <t>Actually, I just needed
to have a bit of help</t>
        </is>
      </c>
      <c r="D8534">
        <f>HYPERLINK("https://www.youtube.com/watch?v=f-mQIWnO3Ag&amp;t=27s", "Go to time")</f>
        <v/>
      </c>
    </row>
    <row r="8535">
      <c r="A8535">
        <f>HYPERLINK("https://www.youtube.com/watch?v=MyD0m7JXgjA", "Video")</f>
        <v/>
      </c>
      <c r="B8535" t="inlineStr">
        <is>
          <t>4:33</t>
        </is>
      </c>
      <c r="C8535" t="inlineStr">
        <is>
          <t>that writing about immigration
has become a bit of a cliche</t>
        </is>
      </c>
      <c r="D8535">
        <f>HYPERLINK("https://www.youtube.com/watch?v=MyD0m7JXgjA&amp;t=273s", "Go to time")</f>
        <v/>
      </c>
    </row>
    <row r="8536">
      <c r="A8536">
        <f>HYPERLINK("https://www.youtube.com/watch?v=MyD0m7JXgjA", "Video")</f>
        <v/>
      </c>
      <c r="B8536" t="inlineStr">
        <is>
          <t>11:30</t>
        </is>
      </c>
      <c r="C8536" t="inlineStr">
        <is>
          <t>that nail-bitingly stressful
time of my life ever again,</t>
        </is>
      </c>
      <c r="D8536">
        <f>HYPERLINK("https://www.youtube.com/watch?v=MyD0m7JXgjA&amp;t=690s", "Go to time")</f>
        <v/>
      </c>
    </row>
    <row r="8537">
      <c r="A8537">
        <f>HYPERLINK("https://www.youtube.com/watch?v=1pky-86YSrI", "Video")</f>
        <v/>
      </c>
      <c r="B8537" t="inlineStr">
        <is>
          <t>6:03</t>
        </is>
      </c>
      <c r="C8537" t="inlineStr">
        <is>
          <t>"body policing prohibited,"</t>
        </is>
      </c>
      <c r="D8537">
        <f>HYPERLINK("https://www.youtube.com/watch?v=1pky-86YSrI&amp;t=363s", "Go to time")</f>
        <v/>
      </c>
    </row>
    <row r="8538">
      <c r="A8538">
        <f>HYPERLINK("https://www.youtube.com/watch?v=nh4N5GBB390", "Video")</f>
        <v/>
      </c>
      <c r="B8538" t="inlineStr">
        <is>
          <t>0:13</t>
        </is>
      </c>
      <c r="C8538" t="inlineStr">
        <is>
          <t>and film these dramatic stories
with my little bitty toys.</t>
        </is>
      </c>
      <c r="D8538">
        <f>HYPERLINK("https://www.youtube.com/watch?v=nh4N5GBB390&amp;t=13s", "Go to time")</f>
        <v/>
      </c>
    </row>
    <row r="8539">
      <c r="A8539">
        <f>HYPERLINK("https://www.youtube.com/watch?v=HsmOJ4Xbfp4", "Video")</f>
        <v/>
      </c>
      <c r="B8539" t="inlineStr">
        <is>
          <t>8:35</t>
        </is>
      </c>
      <c r="C8539" t="inlineStr">
        <is>
          <t>India has an ambitious renewables goal,
but it's falling behind.</t>
        </is>
      </c>
      <c r="D8539">
        <f>HYPERLINK("https://www.youtube.com/watch?v=HsmOJ4Xbfp4&amp;t=515s", "Go to time")</f>
        <v/>
      </c>
    </row>
    <row r="8540">
      <c r="A8540">
        <f>HYPERLINK("https://www.youtube.com/watch?v=fCllxq6NZbk", "Video")</f>
        <v/>
      </c>
      <c r="B8540" t="inlineStr">
        <is>
          <t>8:31</t>
        </is>
      </c>
      <c r="C8540" t="inlineStr">
        <is>
          <t>have a responsibility
or should have a prohibition</t>
        </is>
      </c>
      <c r="D8540">
        <f>HYPERLINK("https://www.youtube.com/watch?v=fCllxq6NZbk&amp;t=511s", "Go to time")</f>
        <v/>
      </c>
    </row>
    <row r="8541">
      <c r="A8541">
        <f>HYPERLINK("https://www.youtube.com/watch?v=87qLWFZManA", "Video")</f>
        <v/>
      </c>
      <c r="B8541" t="inlineStr">
        <is>
          <t>0:31</t>
        </is>
      </c>
      <c r="C8541" t="inlineStr">
        <is>
          <t>It's a bit of a tradition.</t>
        </is>
      </c>
      <c r="D8541">
        <f>HYPERLINK("https://www.youtube.com/watch?v=87qLWFZManA&amp;t=31s", "Go to time")</f>
        <v/>
      </c>
    </row>
    <row r="8542">
      <c r="A8542">
        <f>HYPERLINK("https://www.youtube.com/watch?v=87qLWFZManA", "Video")</f>
        <v/>
      </c>
      <c r="B8542" t="inlineStr">
        <is>
          <t>0:48</t>
        </is>
      </c>
      <c r="C8542" t="inlineStr">
        <is>
          <t>That's just a bit a joke, there.</t>
        </is>
      </c>
      <c r="D8542">
        <f>HYPERLINK("https://www.youtube.com/watch?v=87qLWFZManA&amp;t=48s", "Go to time")</f>
        <v/>
      </c>
    </row>
    <row r="8543">
      <c r="A8543">
        <f>HYPERLINK("https://www.youtube.com/watch?v=87qLWFZManA", "Video")</f>
        <v/>
      </c>
      <c r="B8543" t="inlineStr">
        <is>
          <t>1:17</t>
        </is>
      </c>
      <c r="C8543" t="inlineStr">
        <is>
          <t>So it seems a bit
of a contradiction, then,</t>
        </is>
      </c>
      <c r="D8543">
        <f>HYPERLINK("https://www.youtube.com/watch?v=87qLWFZManA&amp;t=77s", "Go to time")</f>
        <v/>
      </c>
    </row>
    <row r="8544">
      <c r="A8544">
        <f>HYPERLINK("https://www.youtube.com/watch?v=87qLWFZManA", "Video")</f>
        <v/>
      </c>
      <c r="B8544" t="inlineStr">
        <is>
          <t>10:54</t>
        </is>
      </c>
      <c r="C8544" t="inlineStr">
        <is>
          <t>Every day is a bit of a struggle,</t>
        </is>
      </c>
      <c r="D8544">
        <f>HYPERLINK("https://www.youtube.com/watch?v=87qLWFZManA&amp;t=654s", "Go to time")</f>
        <v/>
      </c>
    </row>
    <row r="8545">
      <c r="A8545">
        <f>HYPERLINK("https://www.youtube.com/watch?v=87qLWFZManA", "Video")</f>
        <v/>
      </c>
      <c r="B8545" t="inlineStr">
        <is>
          <t>11:43</t>
        </is>
      </c>
      <c r="C8545" t="inlineStr">
        <is>
          <t>Diagnosis gave me a framework
on which to hang bits of me</t>
        </is>
      </c>
      <c r="D8545">
        <f>HYPERLINK("https://www.youtube.com/watch?v=87qLWFZManA&amp;t=703s", "Go to time")</f>
        <v/>
      </c>
    </row>
    <row r="8546">
      <c r="A8546">
        <f>HYPERLINK("https://www.youtube.com/watch?v=87qLWFZManA", "Video")</f>
        <v/>
      </c>
      <c r="B8546" t="inlineStr">
        <is>
          <t>15:22</t>
        </is>
      </c>
      <c r="C8546" t="inlineStr">
        <is>
          <t>It's a bit vague."</t>
        </is>
      </c>
      <c r="D8546">
        <f>HYPERLINK("https://www.youtube.com/watch?v=87qLWFZManA&amp;t=922s", "Go to time")</f>
        <v/>
      </c>
    </row>
    <row r="8547">
      <c r="A8547">
        <f>HYPERLINK("https://www.youtube.com/watch?v=XNNuwvbR6aA", "Video")</f>
        <v/>
      </c>
      <c r="B8547" t="inlineStr">
        <is>
          <t>4:22</t>
        </is>
      </c>
      <c r="C8547" t="inlineStr">
        <is>
          <t>and for the first time signed up
on the shared ambition</t>
        </is>
      </c>
      <c r="D8547">
        <f>HYPERLINK("https://www.youtube.com/watch?v=XNNuwvbR6aA&amp;t=262s", "Go to time")</f>
        <v/>
      </c>
    </row>
    <row r="8548">
      <c r="A8548">
        <f>HYPERLINK("https://www.youtube.com/watch?v=XNNuwvbR6aA", "Video")</f>
        <v/>
      </c>
      <c r="B8548" t="inlineStr">
        <is>
          <t>4:55</t>
        </is>
      </c>
      <c r="C8548" t="inlineStr">
        <is>
          <t>In a bit longer, distant future,</t>
        </is>
      </c>
      <c r="D8548">
        <f>HYPERLINK("https://www.youtube.com/watch?v=XNNuwvbR6aA&amp;t=295s", "Go to time")</f>
        <v/>
      </c>
    </row>
    <row r="8549">
      <c r="A8549">
        <f>HYPERLINK("https://www.youtube.com/watch?v=XNNuwvbR6aA", "Video")</f>
        <v/>
      </c>
      <c r="B8549" t="inlineStr">
        <is>
          <t>5:10</t>
        </is>
      </c>
      <c r="C8549" t="inlineStr">
        <is>
          <t>of fulfilling their net-zero ambition.</t>
        </is>
      </c>
      <c r="D8549">
        <f>HYPERLINK("https://www.youtube.com/watch?v=XNNuwvbR6aA&amp;t=310s", "Go to time")</f>
        <v/>
      </c>
    </row>
    <row r="8550">
      <c r="A8550">
        <f>HYPERLINK("https://www.youtube.com/watch?v=XNNuwvbR6aA", "Video")</f>
        <v/>
      </c>
      <c r="B8550" t="inlineStr">
        <is>
          <t>6:58</t>
        </is>
      </c>
      <c r="C8550" t="inlineStr">
        <is>
          <t>by helping to set ambitions,
setting targets,</t>
        </is>
      </c>
      <c r="D8550">
        <f>HYPERLINK("https://www.youtube.com/watch?v=XNNuwvbR6aA&amp;t=418s", "Go to time")</f>
        <v/>
      </c>
    </row>
    <row r="8551">
      <c r="A8551">
        <f>HYPERLINK("https://www.youtube.com/watch?v=XNNuwvbR6aA", "Video")</f>
        <v/>
      </c>
      <c r="B8551" t="inlineStr">
        <is>
          <t>11:53</t>
        </is>
      </c>
      <c r="C8551" t="inlineStr">
        <is>
          <t>that if we're going to meet the ambitions
of the Paris Agreement</t>
        </is>
      </c>
      <c r="D8551">
        <f>HYPERLINK("https://www.youtube.com/watch?v=XNNuwvbR6aA&amp;t=713s", "Go to time")</f>
        <v/>
      </c>
    </row>
    <row r="8552">
      <c r="A8552">
        <f>HYPERLINK("https://www.youtube.com/watch?v=XNNuwvbR6aA", "Video")</f>
        <v/>
      </c>
      <c r="B8552" t="inlineStr">
        <is>
          <t>11:57</t>
        </is>
      </c>
      <c r="C8552" t="inlineStr">
        <is>
          <t>or to, you know, have a habitable climate,</t>
        </is>
      </c>
      <c r="D8552">
        <f>HYPERLINK("https://www.youtube.com/watch?v=XNNuwvbR6aA&amp;t=717s", "Go to time")</f>
        <v/>
      </c>
    </row>
    <row r="8553">
      <c r="A8553">
        <f>HYPERLINK("https://www.youtube.com/watch?v=XNNuwvbR6aA", "Video")</f>
        <v/>
      </c>
      <c r="B8553" t="inlineStr">
        <is>
          <t>12:40</t>
        </is>
      </c>
      <c r="C8553" t="inlineStr">
        <is>
          <t>could you just speak to us
a little bit about transparency?</t>
        </is>
      </c>
      <c r="D8553">
        <f>HYPERLINK("https://www.youtube.com/watch?v=XNNuwvbR6aA&amp;t=760s", "Go to time")</f>
        <v/>
      </c>
    </row>
    <row r="8554">
      <c r="A8554">
        <f>HYPERLINK("https://www.youtube.com/watch?v=2j00U6lUC-c", "Video")</f>
        <v/>
      </c>
      <c r="B8554" t="inlineStr">
        <is>
          <t>2:45</t>
        </is>
      </c>
      <c r="C8554" t="inlineStr">
        <is>
          <t>And once again, people displaced
from tasks in the old bit of pie</t>
        </is>
      </c>
      <c r="D8554">
        <f>HYPERLINK("https://www.youtube.com/watch?v=2j00U6lUC-c&amp;t=165s", "Go to time")</f>
        <v/>
      </c>
    </row>
    <row r="8555">
      <c r="A8555">
        <f>HYPERLINK("https://www.youtube.com/watch?v=2j00U6lUC-c", "Video")</f>
        <v/>
      </c>
      <c r="B8555" t="inlineStr">
        <is>
          <t>2:49</t>
        </is>
      </c>
      <c r="C8555" t="inlineStr">
        <is>
          <t>could tumble into tasks
in the new bit of pie instead.</t>
        </is>
      </c>
      <c r="D8555">
        <f>HYPERLINK("https://www.youtube.com/watch?v=2j00U6lUC-c&amp;t=169s", "Go to time")</f>
        <v/>
      </c>
    </row>
    <row r="8556">
      <c r="A8556">
        <f>HYPERLINK("https://www.youtube.com/watch?v=8v_GrrQs8ow", "Video")</f>
        <v/>
      </c>
      <c r="B8556" t="inlineStr">
        <is>
          <t>1:01</t>
        </is>
      </c>
      <c r="C8556" t="inlineStr">
        <is>
          <t>I actually want to drill down
on this a little bit.</t>
        </is>
      </c>
      <c r="D8556">
        <f>HYPERLINK("https://www.youtube.com/watch?v=8v_GrrQs8ow&amp;t=61s", "Go to time")</f>
        <v/>
      </c>
    </row>
    <row r="8557">
      <c r="A8557">
        <f>HYPERLINK("https://www.youtube.com/watch?v=2GhJ6CTDEoM", "Video")</f>
        <v/>
      </c>
      <c r="B8557" t="inlineStr">
        <is>
          <t>0:58</t>
        </is>
      </c>
      <c r="C8557" t="inlineStr">
        <is>
          <t>I felt every single bit of the controlled
fury of those rocket engines</t>
        </is>
      </c>
      <c r="D8557">
        <f>HYPERLINK("https://www.youtube.com/watch?v=2GhJ6CTDEoM&amp;t=58s", "Go to time")</f>
        <v/>
      </c>
    </row>
    <row r="8558">
      <c r="A8558">
        <f>HYPERLINK("https://www.youtube.com/watch?v=Dfe7gLe3pW0", "Video")</f>
        <v/>
      </c>
      <c r="B8558" t="inlineStr">
        <is>
          <t>0:24</t>
        </is>
      </c>
      <c r="C8558" t="inlineStr">
        <is>
          <t>tiny bit of what Mark the Olympics and</t>
        </is>
      </c>
      <c r="D8558">
        <f>HYPERLINK("https://www.youtube.com/watch?v=Dfe7gLe3pW0&amp;t=24s", "Go to time")</f>
        <v/>
      </c>
    </row>
    <row r="8559">
      <c r="A8559">
        <f>HYPERLINK("https://www.youtube.com/watch?v=Dfe7gLe3pW0", "Video")</f>
        <v/>
      </c>
      <c r="B8559" t="inlineStr">
        <is>
          <t>1:52</t>
        </is>
      </c>
      <c r="C8559" t="inlineStr">
        <is>
          <t>little bit odd being at the games and</t>
        </is>
      </c>
      <c r="D8559">
        <f>HYPERLINK("https://www.youtube.com/watch?v=Dfe7gLe3pW0&amp;t=112s", "Go to time")</f>
        <v/>
      </c>
    </row>
    <row r="8560">
      <c r="A8560">
        <f>HYPERLINK("https://www.youtube.com/watch?v=Dfe7gLe3pW0", "Video")</f>
        <v/>
      </c>
      <c r="B8560" t="inlineStr">
        <is>
          <t>2:11</t>
        </is>
      </c>
      <c r="C8560" t="inlineStr">
        <is>
          <t>of course there's a a bit of a loss</t>
        </is>
      </c>
      <c r="D8560">
        <f>HYPERLINK("https://www.youtube.com/watch?v=Dfe7gLe3pW0&amp;t=131s", "Go to time")</f>
        <v/>
      </c>
    </row>
    <row r="8561">
      <c r="A8561">
        <f>HYPERLINK("https://www.youtube.com/watch?v=Dfe7gLe3pW0", "Video")</f>
        <v/>
      </c>
      <c r="B8561" t="inlineStr">
        <is>
          <t>18:01</t>
        </is>
      </c>
      <c r="C8561" t="inlineStr">
        <is>
          <t>little bit about this when you when you</t>
        </is>
      </c>
      <c r="D8561">
        <f>HYPERLINK("https://www.youtube.com/watch?v=Dfe7gLe3pW0&amp;t=1081s", "Go to time")</f>
        <v/>
      </c>
    </row>
    <row r="8562">
      <c r="A8562">
        <f>HYPERLINK("https://www.youtube.com/watch?v=Dfe7gLe3pW0", "Video")</f>
        <v/>
      </c>
      <c r="B8562" t="inlineStr">
        <is>
          <t>29:32</t>
        </is>
      </c>
      <c r="C8562" t="inlineStr">
        <is>
          <t>next level sort of hearing a little bit</t>
        </is>
      </c>
      <c r="D8562">
        <f>HYPERLINK("https://www.youtube.com/watch?v=Dfe7gLe3pW0&amp;t=1772s", "Go to time")</f>
        <v/>
      </c>
    </row>
    <row r="8563">
      <c r="A8563">
        <f>HYPERLINK("https://www.youtube.com/watch?v=Dfe7gLe3pW0", "Video")</f>
        <v/>
      </c>
      <c r="B8563" t="inlineStr">
        <is>
          <t>29:49</t>
        </is>
      </c>
      <c r="C8563" t="inlineStr">
        <is>
          <t>feel very ambitious to have like this</t>
        </is>
      </c>
      <c r="D8563">
        <f>HYPERLINK("https://www.youtube.com/watch?v=Dfe7gLe3pW0&amp;t=1789s", "Go to time")</f>
        <v/>
      </c>
    </row>
    <row r="8564">
      <c r="A8564">
        <f>HYPERLINK("https://www.youtube.com/watch?v=Dfe7gLe3pW0", "Video")</f>
        <v/>
      </c>
      <c r="B8564" t="inlineStr">
        <is>
          <t>30:16</t>
        </is>
      </c>
      <c r="C8564" t="inlineStr">
        <is>
          <t>it into manageable bite-sized pieces and</t>
        </is>
      </c>
      <c r="D8564">
        <f>HYPERLINK("https://www.youtube.com/watch?v=Dfe7gLe3pW0&amp;t=1816s", "Go to time")</f>
        <v/>
      </c>
    </row>
    <row r="8565">
      <c r="A8565">
        <f>HYPERLINK("https://www.youtube.com/watch?v=Dfe7gLe3pW0", "Video")</f>
        <v/>
      </c>
      <c r="B8565" t="inlineStr">
        <is>
          <t>30:25</t>
        </is>
      </c>
      <c r="C8565" t="inlineStr">
        <is>
          <t>ambitious goal so that's the same way</t>
        </is>
      </c>
      <c r="D8565">
        <f>HYPERLINK("https://www.youtube.com/watch?v=Dfe7gLe3pW0&amp;t=1825s", "Go to time")</f>
        <v/>
      </c>
    </row>
    <row r="8566">
      <c r="A8566">
        <f>HYPERLINK("https://www.youtube.com/watch?v=Dfe7gLe3pW0", "Video")</f>
        <v/>
      </c>
      <c r="B8566" t="inlineStr">
        <is>
          <t>32:26</t>
        </is>
      </c>
      <c r="C8566" t="inlineStr">
        <is>
          <t>um a little bit more of a weight because</t>
        </is>
      </c>
      <c r="D8566">
        <f>HYPERLINK("https://www.youtube.com/watch?v=Dfe7gLe3pW0&amp;t=1946s", "Go to time")</f>
        <v/>
      </c>
    </row>
    <row r="8567">
      <c r="A8567">
        <f>HYPERLINK("https://www.youtube.com/watch?v=Dfe7gLe3pW0", "Video")</f>
        <v/>
      </c>
      <c r="B8567" t="inlineStr">
        <is>
          <t>33:02</t>
        </is>
      </c>
      <c r="C8567" t="inlineStr">
        <is>
          <t>through that but there is that that bit</t>
        </is>
      </c>
      <c r="D8567">
        <f>HYPERLINK("https://www.youtube.com/watch?v=Dfe7gLe3pW0&amp;t=1982s", "Go to time")</f>
        <v/>
      </c>
    </row>
    <row r="8568">
      <c r="A8568">
        <f>HYPERLINK("https://www.youtube.com/watch?v=FJspeMI5ICc", "Video")</f>
        <v/>
      </c>
      <c r="B8568" t="inlineStr">
        <is>
          <t>3:11</t>
        </is>
      </c>
      <c r="C8568" t="inlineStr">
        <is>
          <t>prolonging our carbon habit</t>
        </is>
      </c>
      <c r="D8568">
        <f>HYPERLINK("https://www.youtube.com/watch?v=FJspeMI5ICc&amp;t=191s", "Go to time")</f>
        <v/>
      </c>
    </row>
    <row r="8569">
      <c r="A8569">
        <f>HYPERLINK("https://www.youtube.com/watch?v=PnBMdJ5KeHk", "Video")</f>
        <v/>
      </c>
      <c r="B8569" t="inlineStr">
        <is>
          <t>5:56</t>
        </is>
      </c>
      <c r="C8569" t="inlineStr">
        <is>
          <t>all the monarchs need
is their habitat back.</t>
        </is>
      </c>
      <c r="D8569">
        <f>HYPERLINK("https://www.youtube.com/watch?v=PnBMdJ5KeHk&amp;t=356s", "Go to time")</f>
        <v/>
      </c>
    </row>
    <row r="8570">
      <c r="A8570">
        <f>HYPERLINK("https://www.youtube.com/watch?v=PnBMdJ5KeHk", "Video")</f>
        <v/>
      </c>
      <c r="B8570" t="inlineStr">
        <is>
          <t>6:09</t>
        </is>
      </c>
      <c r="C8570" t="inlineStr">
        <is>
          <t>are turning their backyards
into habitat for the monarchs.</t>
        </is>
      </c>
      <c r="D8570">
        <f>HYPERLINK("https://www.youtube.com/watch?v=PnBMdJ5KeHk&amp;t=369s", "Go to time")</f>
        <v/>
      </c>
    </row>
    <row r="8571">
      <c r="A8571">
        <f>HYPERLINK("https://www.youtube.com/watch?v=uTL9tm7S1Io", "Video")</f>
        <v/>
      </c>
      <c r="B8571" t="inlineStr">
        <is>
          <t>3:46</t>
        </is>
      </c>
      <c r="C8571" t="inlineStr">
        <is>
          <t>a bit like we do with dictionaries.</t>
        </is>
      </c>
      <c r="D8571">
        <f>HYPERLINK("https://www.youtube.com/watch?v=uTL9tm7S1Io&amp;t=226s", "Go to time")</f>
        <v/>
      </c>
    </row>
    <row r="8572">
      <c r="A8572">
        <f>HYPERLINK("https://www.youtube.com/watch?v=uTL9tm7S1Io", "Video")</f>
        <v/>
      </c>
      <c r="B8572" t="inlineStr">
        <is>
          <t>4:49</t>
        </is>
      </c>
      <c r="C8572" t="inlineStr">
        <is>
          <t>which seems a bit bizarre where it is,</t>
        </is>
      </c>
      <c r="D8572">
        <f>HYPERLINK("https://www.youtube.com/watch?v=uTL9tm7S1Io&amp;t=289s", "Go to time")</f>
        <v/>
      </c>
    </row>
    <row r="8573">
      <c r="A8573">
        <f>HYPERLINK("https://www.youtube.com/watch?v=uTL9tm7S1Io", "Video")</f>
        <v/>
      </c>
      <c r="B8573" t="inlineStr">
        <is>
          <t>5:06</t>
        </is>
      </c>
      <c r="C8573" t="inlineStr">
        <is>
          <t>you will see that it actually feels
a bit like doing poetry.</t>
        </is>
      </c>
      <c r="D8573">
        <f>HYPERLINK("https://www.youtube.com/watch?v=uTL9tm7S1Io&amp;t=306s", "Go to time")</f>
        <v/>
      </c>
    </row>
    <row r="8574">
      <c r="A8574">
        <f>HYPERLINK("https://www.youtube.com/watch?v=uTL9tm7S1Io", "Video")</f>
        <v/>
      </c>
      <c r="B8574" t="inlineStr">
        <is>
          <t>9:54</t>
        </is>
      </c>
      <c r="C8574" t="inlineStr">
        <is>
          <t>a bit like we had done
for the ancient texts,</t>
        </is>
      </c>
      <c r="D8574">
        <f>HYPERLINK("https://www.youtube.com/watch?v=uTL9tm7S1Io&amp;t=594s", "Go to time")</f>
        <v/>
      </c>
    </row>
    <row r="8575">
      <c r="A8575">
        <f>HYPERLINK("https://www.youtube.com/watch?v=I-B_Oa6_eNU", "Video")</f>
        <v/>
      </c>
      <c r="B8575" t="inlineStr">
        <is>
          <t>9:05</t>
        </is>
      </c>
      <c r="C8575" t="inlineStr">
        <is>
          <t>independent and fair Arbiters and that</t>
        </is>
      </c>
      <c r="D8575">
        <f>HYPERLINK("https://www.youtube.com/watch?v=I-B_Oa6_eNU&amp;t=545s", "Go to time")</f>
        <v/>
      </c>
    </row>
    <row r="8576">
      <c r="A8576">
        <f>HYPERLINK("https://www.youtube.com/watch?v=I-B_Oa6_eNU", "Video")</f>
        <v/>
      </c>
      <c r="B8576" t="inlineStr">
        <is>
          <t>9:55</t>
        </is>
      </c>
      <c r="C8576" t="inlineStr">
        <is>
          <t>the world of bits so to speak and the</t>
        </is>
      </c>
      <c r="D8576">
        <f>HYPERLINK("https://www.youtube.com/watch?v=I-B_Oa6_eNU&amp;t=595s", "Go to time")</f>
        <v/>
      </c>
    </row>
    <row r="8577">
      <c r="A8577">
        <f>HYPERLINK("https://www.youtube.com/watch?v=I-B_Oa6_eNU", "Video")</f>
        <v/>
      </c>
      <c r="B8577" t="inlineStr">
        <is>
          <t>39:52</t>
        </is>
      </c>
      <c r="C8577" t="inlineStr">
        <is>
          <t>there's this ambitious vision for Global</t>
        </is>
      </c>
      <c r="D8577">
        <f>HYPERLINK("https://www.youtube.com/watch?v=I-B_Oa6_eNU&amp;t=2392s", "Go to time")</f>
        <v/>
      </c>
    </row>
    <row r="8578">
      <c r="A8578">
        <f>HYPERLINK("https://www.youtube.com/watch?v=24wBKuU2rfE", "Video")</f>
        <v/>
      </c>
      <c r="B8578" t="inlineStr">
        <is>
          <t>1:11</t>
        </is>
      </c>
      <c r="C8578" t="inlineStr">
        <is>
          <t>you need to know a bit about her,</t>
        </is>
      </c>
      <c r="D8578">
        <f>HYPERLINK("https://www.youtube.com/watch?v=24wBKuU2rfE&amp;t=71s", "Go to time")</f>
        <v/>
      </c>
    </row>
    <row r="8579">
      <c r="A8579">
        <f>HYPERLINK("https://www.youtube.com/watch?v=hH-RcJjt-YI", "Video")</f>
        <v/>
      </c>
      <c r="B8579" t="inlineStr">
        <is>
          <t>1:07</t>
        </is>
      </c>
      <c r="C8579" t="inlineStr">
        <is>
          <t>But these bite-sized videos
are more than just fun and entertainment.</t>
        </is>
      </c>
      <c r="D8579">
        <f>HYPERLINK("https://www.youtube.com/watch?v=hH-RcJjt-YI&amp;t=67s", "Go to time")</f>
        <v/>
      </c>
    </row>
    <row r="8580">
      <c r="A8580">
        <f>HYPERLINK("https://www.youtube.com/watch?v=hH-RcJjt-YI", "Video")</f>
        <v/>
      </c>
      <c r="B8580" t="inlineStr">
        <is>
          <t>1:44</t>
        </is>
      </c>
      <c r="C8580" t="inlineStr">
        <is>
          <t>to assess the economic and social
impact of this bite-sized economy.</t>
        </is>
      </c>
      <c r="D8580">
        <f>HYPERLINK("https://www.youtube.com/watch?v=hH-RcJjt-YI&amp;t=104s", "Go to time")</f>
        <v/>
      </c>
    </row>
    <row r="8581">
      <c r="A8581">
        <f>HYPERLINK("https://www.youtube.com/watch?v=hH-RcJjt-YI", "Video")</f>
        <v/>
      </c>
      <c r="B8581" t="inlineStr">
        <is>
          <t>2:47</t>
        </is>
      </c>
      <c r="C8581" t="inlineStr">
        <is>
          <t>By matching exhibits with emojis,
music lyrics or funny quotes,</t>
        </is>
      </c>
      <c r="D8581">
        <f>HYPERLINK("https://www.youtube.com/watch?v=hH-RcJjt-YI&amp;t=167s", "Go to time")</f>
        <v/>
      </c>
    </row>
    <row r="8582">
      <c r="A8582">
        <f>HYPERLINK("https://www.youtube.com/watch?v=hH-RcJjt-YI", "Video")</f>
        <v/>
      </c>
      <c r="B8582" t="inlineStr">
        <is>
          <t>6:24</t>
        </is>
      </c>
      <c r="C8582" t="inlineStr">
        <is>
          <t>but in tiny, bit-sized doses.</t>
        </is>
      </c>
      <c r="D8582">
        <f>HYPERLINK("https://www.youtube.com/watch?v=hH-RcJjt-YI&amp;t=384s", "Go to time")</f>
        <v/>
      </c>
    </row>
    <row r="8583">
      <c r="A8583">
        <f>HYPERLINK("https://www.youtube.com/watch?v=EzSdf3VK9qc", "Video")</f>
        <v/>
      </c>
      <c r="B8583" t="inlineStr">
        <is>
          <t>0:21</t>
        </is>
      </c>
      <c r="C8583" t="inlineStr">
        <is>
          <t>which makes it a near miracle
to many of the world’s inhabitants.”</t>
        </is>
      </c>
      <c r="D8583">
        <f>HYPERLINK("https://www.youtube.com/watch?v=EzSdf3VK9qc&amp;t=21s", "Go to time")</f>
        <v/>
      </c>
    </row>
    <row r="8584">
      <c r="A8584">
        <f>HYPERLINK("https://www.youtube.com/watch?v=kaU7IPlg9PA", "Video")</f>
        <v/>
      </c>
      <c r="B8584" t="inlineStr">
        <is>
          <t>0:42</t>
        </is>
      </c>
      <c r="C8584" t="inlineStr">
        <is>
          <t>but also a bit of luck involved,</t>
        </is>
      </c>
      <c r="D8584">
        <f>HYPERLINK("https://www.youtube.com/watch?v=kaU7IPlg9PA&amp;t=42s", "Go to time")</f>
        <v/>
      </c>
    </row>
    <row r="8585">
      <c r="A8585">
        <f>HYPERLINK("https://www.youtube.com/watch?v=q5gfclBZ2xY", "Video")</f>
        <v/>
      </c>
      <c r="B8585" t="inlineStr">
        <is>
          <t>4:37</t>
        </is>
      </c>
      <c r="C8585" t="inlineStr">
        <is>
          <t>Now, I was back a little bit.</t>
        </is>
      </c>
      <c r="D8585">
        <f>HYPERLINK("https://www.youtube.com/watch?v=q5gfclBZ2xY&amp;t=277s", "Go to time")</f>
        <v/>
      </c>
    </row>
    <row r="8586">
      <c r="A8586">
        <f>HYPERLINK("https://www.youtube.com/watch?v=qEJ4hkpQW8E", "Video")</f>
        <v/>
      </c>
      <c r="B8586" t="inlineStr">
        <is>
          <t>3:48</t>
        </is>
      </c>
      <c r="C8586" t="inlineStr">
        <is>
          <t>I know your first thought is
I haven't changed a bit.</t>
        </is>
      </c>
      <c r="D8586">
        <f>HYPERLINK("https://www.youtube.com/watch?v=qEJ4hkpQW8E&amp;t=228s", "Go to time")</f>
        <v/>
      </c>
    </row>
    <row r="8587">
      <c r="A8587">
        <f>HYPERLINK("https://www.youtube.com/watch?v=P0uu6_Dm2CI", "Video")</f>
        <v/>
      </c>
      <c r="B8587" t="inlineStr">
        <is>
          <t>12:45</t>
        </is>
      </c>
      <c r="C8587" t="inlineStr">
        <is>
          <t>You don't have to stay deep
in the dark bitterness of loss</t>
        </is>
      </c>
      <c r="D8587">
        <f>HYPERLINK("https://www.youtube.com/watch?v=P0uu6_Dm2CI&amp;t=765s", "Go to time")</f>
        <v/>
      </c>
    </row>
    <row r="8588">
      <c r="A8588">
        <f>HYPERLINK("https://www.youtube.com/watch?v=lZTBIO3OtYc", "Video")</f>
        <v/>
      </c>
      <c r="B8588" t="inlineStr">
        <is>
          <t>6:05</t>
        </is>
      </c>
      <c r="C8588" t="inlineStr">
        <is>
          <t>JM: And that creates
a little bit of jeopardy.</t>
        </is>
      </c>
      <c r="D8588">
        <f>HYPERLINK("https://www.youtube.com/watch?v=lZTBIO3OtYc&amp;t=365s", "Go to time")</f>
        <v/>
      </c>
    </row>
    <row r="8589">
      <c r="A8589">
        <f>HYPERLINK("https://www.youtube.com/watch?v=lZTBIO3OtYc", "Video")</f>
        <v/>
      </c>
      <c r="B8589" t="inlineStr">
        <is>
          <t>8:38</t>
        </is>
      </c>
      <c r="C8589" t="inlineStr">
        <is>
          <t>YT: My rehearsal was a little bit scary
because Chris was there,</t>
        </is>
      </c>
      <c r="D8589">
        <f>HYPERLINK("https://www.youtube.com/watch?v=lZTBIO3OtYc&amp;t=518s", "Go to time")</f>
        <v/>
      </c>
    </row>
    <row r="8590">
      <c r="A8590">
        <f>HYPERLINK("https://www.youtube.com/watch?v=lZTBIO3OtYc", "Video")</f>
        <v/>
      </c>
      <c r="B8590" t="inlineStr">
        <is>
          <t>9:29</t>
        </is>
      </c>
      <c r="C8590" t="inlineStr">
        <is>
          <t>to understand myself a bit more,
why this idea came to me.</t>
        </is>
      </c>
      <c r="D8590">
        <f>HYPERLINK("https://www.youtube.com/watch?v=lZTBIO3OtYc&amp;t=569s", "Go to time")</f>
        <v/>
      </c>
    </row>
    <row r="8591">
      <c r="A8591">
        <f>HYPERLINK("https://www.youtube.com/watch?v=e9hocuNjMqU", "Video")</f>
        <v/>
      </c>
      <c r="B8591" t="inlineStr">
        <is>
          <t>0:57</t>
        </is>
      </c>
      <c r="C8591" t="inlineStr">
        <is>
          <t>And then just a bit further north
from there, in the Pentland Firth,</t>
        </is>
      </c>
      <c r="D8591">
        <f>HYPERLINK("https://www.youtube.com/watch?v=e9hocuNjMqU&amp;t=57s", "Go to time")</f>
        <v/>
      </c>
    </row>
    <row r="8592">
      <c r="A8592">
        <f>HYPERLINK("https://www.youtube.com/watch?v=e9hocuNjMqU", "Video")</f>
        <v/>
      </c>
      <c r="B8592" t="inlineStr">
        <is>
          <t>1:44</t>
        </is>
      </c>
      <c r="C8592" t="inlineStr">
        <is>
          <t>that the ambition, the leadership
and the action of small countries</t>
        </is>
      </c>
      <c r="D8592">
        <f>HYPERLINK("https://www.youtube.com/watch?v=e9hocuNjMqU&amp;t=104s", "Go to time")</f>
        <v/>
      </c>
    </row>
    <row r="8593">
      <c r="A8593">
        <f>HYPERLINK("https://www.youtube.com/watch?v=e9hocuNjMqU", "Video")</f>
        <v/>
      </c>
      <c r="B8593" t="inlineStr">
        <is>
          <t>4:46</t>
        </is>
      </c>
      <c r="C8593" t="inlineStr">
        <is>
          <t>And if we raise our ambition
and if we follow that through with action,</t>
        </is>
      </c>
      <c r="D8593">
        <f>HYPERLINK("https://www.youtube.com/watch?v=e9hocuNjMqU&amp;t=286s", "Go to time")</f>
        <v/>
      </c>
    </row>
    <row r="8594">
      <c r="A8594">
        <f>HYPERLINK("https://www.youtube.com/watch?v=e9hocuNjMqU", "Video")</f>
        <v/>
      </c>
      <c r="B8594" t="inlineStr">
        <is>
          <t>6:00</t>
        </is>
      </c>
      <c r="C8594" t="inlineStr">
        <is>
          <t>We must think big in our ambition.</t>
        </is>
      </c>
      <c r="D8594">
        <f>HYPERLINK("https://www.youtube.com/watch?v=e9hocuNjMqU&amp;t=360s", "Go to time")</f>
        <v/>
      </c>
    </row>
    <row r="8595">
      <c r="A8595">
        <f>HYPERLINK("https://www.youtube.com/watch?v=Ubbmje44gLg", "Video")</f>
        <v/>
      </c>
      <c r="B8595" t="inlineStr">
        <is>
          <t>6:53</t>
        </is>
      </c>
      <c r="C8595" t="inlineStr">
        <is>
          <t>this can be uncomfortable, upsetting,
sometimes all just a bit too much.</t>
        </is>
      </c>
      <c r="D8595">
        <f>HYPERLINK("https://www.youtube.com/watch?v=Ubbmje44gLg&amp;t=413s", "Go to time")</f>
        <v/>
      </c>
    </row>
    <row r="8596">
      <c r="A8596">
        <f>HYPERLINK("https://www.youtube.com/watch?v=Ubbmje44gLg", "Video")</f>
        <v/>
      </c>
      <c r="B8596" t="inlineStr">
        <is>
          <t>10:18</t>
        </is>
      </c>
      <c r="C8596" t="inlineStr">
        <is>
          <t>Charlie: I figure they'd probably look
a bit like that snowman's belly.</t>
        </is>
      </c>
      <c r="D8596">
        <f>HYPERLINK("https://www.youtube.com/watch?v=Ubbmje44gLg&amp;t=618s", "Go to time")</f>
        <v/>
      </c>
    </row>
    <row r="8597">
      <c r="A8597">
        <f>HYPERLINK("https://www.youtube.com/watch?v=BBHnLH98bNg", "Video")</f>
        <v/>
      </c>
      <c r="B8597" t="inlineStr">
        <is>
          <t>7:52</t>
        </is>
      </c>
      <c r="C8597" t="inlineStr">
        <is>
          <t>have there'll be bits you probably have</t>
        </is>
      </c>
      <c r="D8597">
        <f>HYPERLINK("https://www.youtube.com/watch?v=BBHnLH98bNg&amp;t=472s", "Go to time")</f>
        <v/>
      </c>
    </row>
    <row r="8598">
      <c r="A8598">
        <f>HYPERLINK("https://www.youtube.com/watch?v=BBHnLH98bNg", "Video")</f>
        <v/>
      </c>
      <c r="B8598" t="inlineStr">
        <is>
          <t>7:54</t>
        </is>
      </c>
      <c r="C8598" t="inlineStr">
        <is>
          <t>bits where if you added one extra word</t>
        </is>
      </c>
      <c r="D8598">
        <f>HYPERLINK("https://www.youtube.com/watch?v=BBHnLH98bNg&amp;t=474s", "Go to time")</f>
        <v/>
      </c>
    </row>
    <row r="8599">
      <c r="A8599">
        <f>HYPERLINK("https://www.youtube.com/watch?v=McxUiTl61nY", "Video")</f>
        <v/>
      </c>
      <c r="B8599" t="inlineStr">
        <is>
          <t>0:28</t>
        </is>
      </c>
      <c r="C8599" t="inlineStr">
        <is>
          <t>moving the rabbit ears
for my dad, and my sister and my mom.</t>
        </is>
      </c>
      <c r="D8599">
        <f>HYPERLINK("https://www.youtube.com/watch?v=McxUiTl61nY&amp;t=28s", "Go to time")</f>
        <v/>
      </c>
    </row>
    <row r="8600">
      <c r="A8600">
        <f>HYPERLINK("https://www.youtube.com/watch?v=McxUiTl61nY", "Video")</f>
        <v/>
      </c>
      <c r="B8600" t="inlineStr">
        <is>
          <t>3:31</t>
        </is>
      </c>
      <c r="C8600" t="inlineStr">
        <is>
          <t>And a little bit later, my mother gave me
an age-inappropriate,</t>
        </is>
      </c>
      <c r="D8600">
        <f>HYPERLINK("https://www.youtube.com/watch?v=McxUiTl61nY&amp;t=211s", "Go to time")</f>
        <v/>
      </c>
    </row>
    <row r="8601">
      <c r="A8601">
        <f>HYPERLINK("https://www.youtube.com/watch?v=McxUiTl61nY", "Video")</f>
        <v/>
      </c>
      <c r="B8601" t="inlineStr">
        <is>
          <t>10:22</t>
        </is>
      </c>
      <c r="C8601" t="inlineStr">
        <is>
          <t>they actually wrote an obituary,
NASA wrote an obituary for him.</t>
        </is>
      </c>
      <c r="D8601">
        <f>HYPERLINK("https://www.youtube.com/watch?v=McxUiTl61nY&amp;t=622s", "Go to time")</f>
        <v/>
      </c>
    </row>
    <row r="8602">
      <c r="A8602">
        <f>HYPERLINK("https://www.youtube.com/watch?v=McxUiTl61nY", "Video")</f>
        <v/>
      </c>
      <c r="B8602" t="inlineStr">
        <is>
          <t>10:38</t>
        </is>
      </c>
      <c r="C8602" t="inlineStr">
        <is>
          <t>So, I don't remember anyone
writing my obituary,</t>
        </is>
      </c>
      <c r="D8602">
        <f>HYPERLINK("https://www.youtube.com/watch?v=McxUiTl61nY&amp;t=638s", "Go to time")</f>
        <v/>
      </c>
    </row>
    <row r="8603">
      <c r="A8603">
        <f>HYPERLINK("https://www.youtube.com/watch?v=McxUiTl61nY", "Video")</f>
        <v/>
      </c>
      <c r="B8603" t="inlineStr">
        <is>
          <t>11:29</t>
        </is>
      </c>
      <c r="C8603" t="inlineStr">
        <is>
          <t>CP: That’s a bit of a debate in our house.</t>
        </is>
      </c>
      <c r="D8603">
        <f>HYPERLINK("https://www.youtube.com/watch?v=McxUiTl61nY&amp;t=689s", "Go to time")</f>
        <v/>
      </c>
    </row>
    <row r="8604">
      <c r="A8604">
        <f>HYPERLINK("https://www.youtube.com/watch?v=ktD119xbBtY", "Video")</f>
        <v/>
      </c>
      <c r="B8604" t="inlineStr">
        <is>
          <t>0:21</t>
        </is>
      </c>
      <c r="C8604" t="inlineStr">
        <is>
          <t>I'm a little bit lost,</t>
        </is>
      </c>
      <c r="D8604">
        <f>HYPERLINK("https://www.youtube.com/watch?v=ktD119xbBtY&amp;t=21s", "Go to time")</f>
        <v/>
      </c>
    </row>
    <row r="8605">
      <c r="A8605">
        <f>HYPERLINK("https://www.youtube.com/watch?v=iF5-aDJOr6U", "Video")</f>
        <v/>
      </c>
      <c r="B8605" t="inlineStr">
        <is>
          <t>1:31</t>
        </is>
      </c>
      <c r="C8605" t="inlineStr">
        <is>
          <t>only the students we were teaching
looked a little bit more like this here.</t>
        </is>
      </c>
      <c r="D8605">
        <f>HYPERLINK("https://www.youtube.com/watch?v=iF5-aDJOr6U&amp;t=91s", "Go to time")</f>
        <v/>
      </c>
    </row>
    <row r="8606">
      <c r="A8606">
        <f>HYPERLINK("https://www.youtube.com/watch?v=iF5-aDJOr6U", "Video")</f>
        <v/>
      </c>
      <c r="B8606" t="inlineStr">
        <is>
          <t>9:06</t>
        </is>
      </c>
      <c r="C8606" t="inlineStr">
        <is>
          <t>Now, I hope that gives you
a little bit of a sense</t>
        </is>
      </c>
      <c r="D8606">
        <f>HYPERLINK("https://www.youtube.com/watch?v=iF5-aDJOr6U&amp;t=546s", "Go to time")</f>
        <v/>
      </c>
    </row>
    <row r="8607">
      <c r="A8607">
        <f>HYPERLINK("https://www.youtube.com/watch?v=zA6_pcEz8Ls", "Video")</f>
        <v/>
      </c>
      <c r="B8607" t="inlineStr">
        <is>
          <t>1:11</t>
        </is>
      </c>
      <c r="C8607" t="inlineStr">
        <is>
          <t>just by reflecting
a little bit more sunlight</t>
        </is>
      </c>
      <c r="D8607">
        <f>HYPERLINK("https://www.youtube.com/watch?v=zA6_pcEz8Ls&amp;t=71s", "Go to time")</f>
        <v/>
      </c>
    </row>
    <row r="8608">
      <c r="A8608">
        <f>HYPERLINK("https://www.youtube.com/watch?v=zA6_pcEz8Ls", "Video")</f>
        <v/>
      </c>
      <c r="B8608" t="inlineStr">
        <is>
          <t>1:36</t>
        </is>
      </c>
      <c r="C8608" t="inlineStr">
        <is>
          <t>And it just shows that even a little bit
of a change in the flow of the air</t>
        </is>
      </c>
      <c r="D8608">
        <f>HYPERLINK("https://www.youtube.com/watch?v=zA6_pcEz8Ls&amp;t=96s", "Go to time")</f>
        <v/>
      </c>
    </row>
    <row r="8609">
      <c r="A8609">
        <f>HYPERLINK("https://www.youtube.com/watch?v=HrCbXNRP7eg", "Video")</f>
        <v/>
      </c>
      <c r="B8609" t="inlineStr">
        <is>
          <t>0:46</t>
        </is>
      </c>
      <c r="C8609" t="inlineStr">
        <is>
          <t>Can we maybe rewind a bit?"</t>
        </is>
      </c>
      <c r="D8609">
        <f>HYPERLINK("https://www.youtube.com/watch?v=HrCbXNRP7eg&amp;t=46s", "Go to time")</f>
        <v/>
      </c>
    </row>
    <row r="8610">
      <c r="A8610">
        <f>HYPERLINK("https://www.youtube.com/watch?v=HrCbXNRP7eg", "Video")</f>
        <v/>
      </c>
      <c r="B8610" t="inlineStr">
        <is>
          <t>2:16</t>
        </is>
      </c>
      <c r="C8610" t="inlineStr">
        <is>
          <t>but maybe potentially a little bit nice,</t>
        </is>
      </c>
      <c r="D8610">
        <f>HYPERLINK("https://www.youtube.com/watch?v=HrCbXNRP7eg&amp;t=136s", "Go to time")</f>
        <v/>
      </c>
    </row>
    <row r="8611">
      <c r="A8611">
        <f>HYPERLINK("https://www.youtube.com/watch?v=HrCbXNRP7eg", "Video")</f>
        <v/>
      </c>
      <c r="B8611" t="inlineStr">
        <is>
          <t>3:15</t>
        </is>
      </c>
      <c r="C8611" t="inlineStr">
        <is>
          <t>in an effort just to get
a little bit more distance.</t>
        </is>
      </c>
      <c r="D8611">
        <f>HYPERLINK("https://www.youtube.com/watch?v=HrCbXNRP7eg&amp;t=195s", "Go to time")</f>
        <v/>
      </c>
    </row>
    <row r="8612">
      <c r="A8612">
        <f>HYPERLINK("https://www.youtube.com/watch?v=HrCbXNRP7eg", "Video")</f>
        <v/>
      </c>
      <c r="B8612" t="inlineStr">
        <is>
          <t>6:02</t>
        </is>
      </c>
      <c r="C8612" t="inlineStr">
        <is>
          <t>a little bit of side eye,</t>
        </is>
      </c>
      <c r="D8612">
        <f>HYPERLINK("https://www.youtube.com/watch?v=HrCbXNRP7eg&amp;t=362s", "Go to time")</f>
        <v/>
      </c>
    </row>
    <row r="8613">
      <c r="A8613">
        <f>HYPERLINK("https://www.youtube.com/watch?v=HrCbXNRP7eg", "Video")</f>
        <v/>
      </c>
      <c r="B8613" t="inlineStr">
        <is>
          <t>7:25</t>
        </is>
      </c>
      <c r="C8613" t="inlineStr">
        <is>
          <t>And I think this finding
is a little bit terrifying.</t>
        </is>
      </c>
      <c r="D8613">
        <f>HYPERLINK("https://www.youtube.com/watch?v=HrCbXNRP7eg&amp;t=445s", "Go to time")</f>
        <v/>
      </c>
    </row>
    <row r="8614">
      <c r="A8614">
        <f>HYPERLINK("https://www.youtube.com/watch?v=HrCbXNRP7eg", "Video")</f>
        <v/>
      </c>
      <c r="B8614" t="inlineStr">
        <is>
          <t>7:54</t>
        </is>
      </c>
      <c r="C8614" t="inlineStr">
        <is>
          <t>Sometimes it's a little bit patronizing.</t>
        </is>
      </c>
      <c r="D8614">
        <f>HYPERLINK("https://www.youtube.com/watch?v=HrCbXNRP7eg&amp;t=474s", "Go to time")</f>
        <v/>
      </c>
    </row>
    <row r="8615">
      <c r="A8615">
        <f>HYPERLINK("https://www.youtube.com/watch?v=HrCbXNRP7eg", "Video")</f>
        <v/>
      </c>
      <c r="B8615" t="inlineStr">
        <is>
          <t>9:31</t>
        </is>
      </c>
      <c r="C8615" t="inlineStr">
        <is>
          <t>There's a bit of a plural
ignorance that goes on</t>
        </is>
      </c>
      <c r="D8615">
        <f>HYPERLINK("https://www.youtube.com/watch?v=HrCbXNRP7eg&amp;t=571s", "Go to time")</f>
        <v/>
      </c>
    </row>
    <row r="8616">
      <c r="A8616">
        <f>HYPERLINK("https://www.youtube.com/watch?v=HrCbXNRP7eg", "Video")</f>
        <v/>
      </c>
      <c r="B8616" t="inlineStr">
        <is>
          <t>11:17</t>
        </is>
      </c>
      <c r="C8616" t="inlineStr">
        <is>
          <t>People get into a bit
of a dance with each other.</t>
        </is>
      </c>
      <c r="D8616">
        <f>HYPERLINK("https://www.youtube.com/watch?v=HrCbXNRP7eg&amp;t=677s", "Go to time")</f>
        <v/>
      </c>
    </row>
    <row r="8617">
      <c r="A8617">
        <f>HYPERLINK("https://www.youtube.com/watch?v=HrCbXNRP7eg", "Video")</f>
        <v/>
      </c>
      <c r="B8617" t="inlineStr">
        <is>
          <t>16:12</t>
        </is>
      </c>
      <c r="C8617" t="inlineStr">
        <is>
          <t>But you have this habit
when you're concentrating</t>
        </is>
      </c>
      <c r="D8617">
        <f>HYPERLINK("https://www.youtube.com/watch?v=HrCbXNRP7eg&amp;t=972s", "Go to time")</f>
        <v/>
      </c>
    </row>
    <row r="8618">
      <c r="A8618">
        <f>HYPERLINK("https://www.youtube.com/watch?v=HrCbXNRP7eg", "Video")</f>
        <v/>
      </c>
      <c r="B8618" t="inlineStr">
        <is>
          <t>16:26</t>
        </is>
      </c>
      <c r="C8618" t="inlineStr">
        <is>
          <t>So I thought a little bit about it</t>
        </is>
      </c>
      <c r="D8618">
        <f>HYPERLINK("https://www.youtube.com/watch?v=HrCbXNRP7eg&amp;t=986s", "Go to time")</f>
        <v/>
      </c>
    </row>
    <row r="8619">
      <c r="A8619">
        <f>HYPERLINK("https://www.youtube.com/watch?v=cYa6QYGXqu4", "Video")</f>
        <v/>
      </c>
      <c r="B8619" t="inlineStr">
        <is>
          <t>2:26</t>
        </is>
      </c>
      <c r="C8619" t="inlineStr">
        <is>
          <t>It's a little bit like a passport stamp</t>
        </is>
      </c>
      <c r="D8619">
        <f>HYPERLINK("https://www.youtube.com/watch?v=cYa6QYGXqu4&amp;t=146s", "Go to time")</f>
        <v/>
      </c>
    </row>
    <row r="8620">
      <c r="A8620">
        <f>HYPERLINK("https://www.youtube.com/watch?v=cYa6QYGXqu4", "Video")</f>
        <v/>
      </c>
      <c r="B8620" t="inlineStr">
        <is>
          <t>7:29</t>
        </is>
      </c>
      <c r="C8620" t="inlineStr">
        <is>
          <t>a light-fingerprint database
for habitable worlds.</t>
        </is>
      </c>
      <c r="D8620">
        <f>HYPERLINK("https://www.youtube.com/watch?v=cYa6QYGXqu4&amp;t=449s", "Go to time")</f>
        <v/>
      </c>
    </row>
    <row r="8621">
      <c r="A8621">
        <f>HYPERLINK("https://www.youtube.com/watch?v=dKNu5ZnWhb4", "Video")</f>
        <v/>
      </c>
      <c r="B8621" t="inlineStr">
        <is>
          <t>1:34</t>
        </is>
      </c>
      <c r="C8621" t="inlineStr">
        <is>
          <t>They might be a little bit
idealistic sometimes,</t>
        </is>
      </c>
      <c r="D8621">
        <f>HYPERLINK("https://www.youtube.com/watch?v=dKNu5ZnWhb4&amp;t=94s", "Go to time")</f>
        <v/>
      </c>
    </row>
    <row r="8622">
      <c r="A8622">
        <f>HYPERLINK("https://www.youtube.com/watch?v=dKNu5ZnWhb4", "Video")</f>
        <v/>
      </c>
      <c r="B8622" t="inlineStr">
        <is>
          <t>9:35</t>
        </is>
      </c>
      <c r="C8622" t="inlineStr">
        <is>
          <t>What if we give a little bit of grace</t>
        </is>
      </c>
      <c r="D8622">
        <f>HYPERLINK("https://www.youtube.com/watch?v=dKNu5ZnWhb4&amp;t=575s", "Go to time")</f>
        <v/>
      </c>
    </row>
    <row r="8623">
      <c r="A8623">
        <f>HYPERLINK("https://www.youtube.com/watch?v=dKNu5ZnWhb4", "Video")</f>
        <v/>
      </c>
      <c r="B8623" t="inlineStr">
        <is>
          <t>11:07</t>
        </is>
      </c>
      <c r="C8623" t="inlineStr">
        <is>
          <t>a little bit tired and a little bit
tattered sometimes.</t>
        </is>
      </c>
      <c r="D8623">
        <f>HYPERLINK("https://www.youtube.com/watch?v=dKNu5ZnWhb4&amp;t=667s", "Go to time")</f>
        <v/>
      </c>
    </row>
    <row r="8624">
      <c r="A8624">
        <f>HYPERLINK("https://www.youtube.com/watch?v=dKNu5ZnWhb4", "Video")</f>
        <v/>
      </c>
      <c r="B8624" t="inlineStr">
        <is>
          <t>11:18</t>
        </is>
      </c>
      <c r="C8624" t="inlineStr">
        <is>
          <t>where it can feel a little bit
like intergenerational warfare,</t>
        </is>
      </c>
      <c r="D8624">
        <f>HYPERLINK("https://www.youtube.com/watch?v=dKNu5ZnWhb4&amp;t=678s", "Go to time")</f>
        <v/>
      </c>
    </row>
    <row r="8625">
      <c r="A8625">
        <f>HYPERLINK("https://www.youtube.com/watch?v=oQ1FDFMdYjM", "Video")</f>
        <v/>
      </c>
      <c r="B8625" t="inlineStr">
        <is>
          <t>1:08</t>
        </is>
      </c>
      <c r="C8625" t="inlineStr">
        <is>
          <t>and whining just a little bit.</t>
        </is>
      </c>
      <c r="D8625">
        <f>HYPERLINK("https://www.youtube.com/watch?v=oQ1FDFMdYjM&amp;t=68s", "Go to time")</f>
        <v/>
      </c>
    </row>
    <row r="8626">
      <c r="A8626">
        <f>HYPERLINK("https://www.youtube.com/watch?v=Cz9w0sx-_rs", "Video")</f>
        <v/>
      </c>
      <c r="B8626" t="inlineStr">
        <is>
          <t>0:53</t>
        </is>
      </c>
      <c r="C8626" t="inlineStr">
        <is>
          <t>First one, it's a little bit
misleading in that</t>
        </is>
      </c>
      <c r="D8626">
        <f>HYPERLINK("https://www.youtube.com/watch?v=Cz9w0sx-_rs&amp;t=53s", "Go to time")</f>
        <v/>
      </c>
    </row>
    <row r="8627">
      <c r="A8627">
        <f>HYPERLINK("https://www.youtube.com/watch?v=Cz9w0sx-_rs", "Video")</f>
        <v/>
      </c>
      <c r="B8627" t="inlineStr">
        <is>
          <t>1:03</t>
        </is>
      </c>
      <c r="C8627" t="inlineStr">
        <is>
          <t>The second thing
that's a little bit misleading</t>
        </is>
      </c>
      <c r="D8627">
        <f>HYPERLINK("https://www.youtube.com/watch?v=Cz9w0sx-_rs&amp;t=63s", "Go to time")</f>
        <v/>
      </c>
    </row>
    <row r="8628">
      <c r="A8628">
        <f>HYPERLINK("https://www.youtube.com/watch?v=Cz9w0sx-_rs", "Video")</f>
        <v/>
      </c>
      <c r="B8628" t="inlineStr">
        <is>
          <t>4:12</t>
        </is>
      </c>
      <c r="C8628" t="inlineStr">
        <is>
          <t>Let's take a bit of a journey,
a descent into the deep sea.</t>
        </is>
      </c>
      <c r="D8628">
        <f>HYPERLINK("https://www.youtube.com/watch?v=Cz9w0sx-_rs&amp;t=252s", "Go to time")</f>
        <v/>
      </c>
    </row>
    <row r="8629">
      <c r="A8629">
        <f>HYPERLINK("https://www.youtube.com/watch?v=Cz9w0sx-_rs", "Video")</f>
        <v/>
      </c>
      <c r="B8629" t="inlineStr">
        <is>
          <t>7:26</t>
        </is>
      </c>
      <c r="C8629" t="inlineStr">
        <is>
          <t>Sometimes it's a bit crazy.</t>
        </is>
      </c>
      <c r="D8629">
        <f>HYPERLINK("https://www.youtube.com/watch?v=Cz9w0sx-_rs&amp;t=446s", "Go to time")</f>
        <v/>
      </c>
    </row>
    <row r="8630">
      <c r="A8630">
        <f>HYPERLINK("https://www.youtube.com/watch?v=Cz9w0sx-_rs", "Video")</f>
        <v/>
      </c>
      <c r="B8630" t="inlineStr">
        <is>
          <t>8:00</t>
        </is>
      </c>
      <c r="C8630" t="inlineStr">
        <is>
          <t>So you're probably thinking
something a little bit like that.</t>
        </is>
      </c>
      <c r="D8630">
        <f>HYPERLINK("https://www.youtube.com/watch?v=Cz9w0sx-_rs&amp;t=480s", "Go to time")</f>
        <v/>
      </c>
    </row>
    <row r="8631">
      <c r="A8631">
        <f>HYPERLINK("https://www.youtube.com/watch?v=Cz9w0sx-_rs", "Video")</f>
        <v/>
      </c>
      <c r="B8631" t="inlineStr">
        <is>
          <t>8:31</t>
        </is>
      </c>
      <c r="C8631" t="inlineStr">
        <is>
          <t>Its real name is Grimpoteuthis,
which is a bit “rurr.”</t>
        </is>
      </c>
      <c r="D8631">
        <f>HYPERLINK("https://www.youtube.com/watch?v=Cz9w0sx-_rs&amp;t=511s", "Go to time")</f>
        <v/>
      </c>
    </row>
    <row r="8632">
      <c r="A8632">
        <f>HYPERLINK("https://www.youtube.com/watch?v=Cz9w0sx-_rs", "Video")</f>
        <v/>
      </c>
      <c r="B8632" t="inlineStr">
        <is>
          <t>8:59</t>
        </is>
      </c>
      <c r="C8632" t="inlineStr">
        <is>
          <t>If anything, it's a bit goofy-looking.</t>
        </is>
      </c>
      <c r="D8632">
        <f>HYPERLINK("https://www.youtube.com/watch?v=Cz9w0sx-_rs&amp;t=539s", "Go to time")</f>
        <v/>
      </c>
    </row>
    <row r="8633">
      <c r="A8633">
        <f>HYPERLINK("https://www.youtube.com/watch?v=WX_vN1QYgmE", "Video")</f>
        <v/>
      </c>
      <c r="B8633" t="inlineStr">
        <is>
          <t>5:11</t>
        </is>
      </c>
      <c r="C8633" t="inlineStr">
        <is>
          <t>You can see they're a little bit
abstract and clunky, right?</t>
        </is>
      </c>
      <c r="D8633">
        <f>HYPERLINK("https://www.youtube.com/watch?v=WX_vN1QYgmE&amp;t=311s", "Go to time")</f>
        <v/>
      </c>
    </row>
    <row r="8634">
      <c r="A8634">
        <f>HYPERLINK("https://www.youtube.com/watch?v=WX_vN1QYgmE", "Video")</f>
        <v/>
      </c>
      <c r="B8634" t="inlineStr">
        <is>
          <t>5:59</t>
        </is>
      </c>
      <c r="C8634" t="inlineStr">
        <is>
          <t>Bit of a bummer, as stories go.</t>
        </is>
      </c>
      <c r="D8634">
        <f>HYPERLINK("https://www.youtube.com/watch?v=WX_vN1QYgmE&amp;t=359s", "Go to time")</f>
        <v/>
      </c>
    </row>
    <row r="8635">
      <c r="A8635">
        <f>HYPERLINK("https://www.youtube.com/watch?v=XowcxCYbug0", "Video")</f>
        <v/>
      </c>
      <c r="B8635" t="inlineStr">
        <is>
          <t>2:03</t>
        </is>
      </c>
      <c r="C8635" t="inlineStr">
        <is>
          <t>which could have been kind of abstract
and probably a little bit boring,</t>
        </is>
      </c>
      <c r="D8635">
        <f>HYPERLINK("https://www.youtube.com/watch?v=XowcxCYbug0&amp;t=123s", "Go to time")</f>
        <v/>
      </c>
    </row>
    <row r="8636">
      <c r="A8636">
        <f>HYPERLINK("https://www.youtube.com/watch?v=1fZ915L1w7I", "Video")</f>
        <v/>
      </c>
      <c r="B8636" t="inlineStr">
        <is>
          <t>7:43</t>
        </is>
      </c>
      <c r="C8636" t="inlineStr">
        <is>
          <t>and never let us give up
on our ambitious endeavors.</t>
        </is>
      </c>
      <c r="D8636">
        <f>HYPERLINK("https://www.youtube.com/watch?v=1fZ915L1w7I&amp;t=463s", "Go to time")</f>
        <v/>
      </c>
    </row>
    <row r="8637">
      <c r="A8637">
        <f>HYPERLINK("https://www.youtube.com/watch?v=0-F3ufYQgNk", "Video")</f>
        <v/>
      </c>
      <c r="B8637" t="inlineStr">
        <is>
          <t>7:18</t>
        </is>
      </c>
      <c r="C8637" t="inlineStr">
        <is>
          <t>being every bit as bad</t>
        </is>
      </c>
      <c r="D8637">
        <f>HYPERLINK("https://www.youtube.com/watch?v=0-F3ufYQgNk&amp;t=438s", "Go to time")</f>
        <v/>
      </c>
    </row>
    <row r="8638">
      <c r="A8638">
        <f>HYPERLINK("https://www.youtube.com/watch?v=0-F3ufYQgNk", "Video")</f>
        <v/>
      </c>
      <c r="B8638" t="inlineStr">
        <is>
          <t>28:51</t>
        </is>
      </c>
      <c r="C8638" t="inlineStr">
        <is>
          <t>And so it turns out that maybe
there is a little bit of leverage</t>
        </is>
      </c>
      <c r="D8638">
        <f>HYPERLINK("https://www.youtube.com/watch?v=0-F3ufYQgNk&amp;t=1731s", "Go to time")</f>
        <v/>
      </c>
    </row>
    <row r="8639">
      <c r="A8639">
        <f>HYPERLINK("https://www.youtube.com/watch?v=0-F3ufYQgNk", "Video")</f>
        <v/>
      </c>
      <c r="B8639" t="inlineStr">
        <is>
          <t>28:56</t>
        </is>
      </c>
      <c r="C8639" t="inlineStr">
        <is>
          <t>and maybe Trump does have
to give a little bit more.</t>
        </is>
      </c>
      <c r="D8639">
        <f>HYPERLINK("https://www.youtube.com/watch?v=0-F3ufYQgNk&amp;t=1736s", "Go to time")</f>
        <v/>
      </c>
    </row>
    <row r="8640">
      <c r="A8640">
        <f>HYPERLINK("https://www.youtube.com/watch?v=0-F3ufYQgNk", "Video")</f>
        <v/>
      </c>
      <c r="B8640" t="inlineStr">
        <is>
          <t>42:13</t>
        </is>
      </c>
      <c r="C8640" t="inlineStr">
        <is>
          <t>Let's talk a little bit more about what's
actually happening inside the US.</t>
        </is>
      </c>
      <c r="D8640">
        <f>HYPERLINK("https://www.youtube.com/watch?v=0-F3ufYQgNk&amp;t=2533s", "Go to time")</f>
        <v/>
      </c>
    </row>
    <row r="8641">
      <c r="A8641">
        <f>HYPERLINK("https://www.youtube.com/watch?v=0-F3ufYQgNk", "Video")</f>
        <v/>
      </c>
      <c r="B8641" t="inlineStr">
        <is>
          <t>57:30</t>
        </is>
      </c>
      <c r="C8641" t="inlineStr">
        <is>
          <t>I know people want to move fast,
but actually to think a little bit,</t>
        </is>
      </c>
      <c r="D8641">
        <f>HYPERLINK("https://www.youtube.com/watch?v=0-F3ufYQgNk&amp;t=3450s", "Go to time")</f>
        <v/>
      </c>
    </row>
    <row r="8642">
      <c r="A8642">
        <f>HYPERLINK("https://www.youtube.com/watch?v=0-F3ufYQgNk", "Video")</f>
        <v/>
      </c>
      <c r="B8642" t="inlineStr">
        <is>
          <t>57:35</t>
        </is>
      </c>
      <c r="C8642" t="inlineStr">
        <is>
          <t>do a little bit of your own research</t>
        </is>
      </c>
      <c r="D8642">
        <f>HYPERLINK("https://www.youtube.com/watch?v=0-F3ufYQgNk&amp;t=3455s", "Go to time")</f>
        <v/>
      </c>
    </row>
    <row r="8643">
      <c r="A8643">
        <f>HYPERLINK("https://www.youtube.com/watch?v=0-F3ufYQgNk", "Video")</f>
        <v/>
      </c>
      <c r="B8643" t="inlineStr">
        <is>
          <t>57:49</t>
        </is>
      </c>
      <c r="C8643" t="inlineStr">
        <is>
          <t>and it's a bit of a miserable question.</t>
        </is>
      </c>
      <c r="D8643">
        <f>HYPERLINK("https://www.youtube.com/watch?v=0-F3ufYQgNk&amp;t=3469s", "Go to time")</f>
        <v/>
      </c>
    </row>
    <row r="8644">
      <c r="A8644">
        <f>HYPERLINK("https://www.youtube.com/watch?v=hiIcwt88o94", "Video")</f>
        <v/>
      </c>
      <c r="B8644" t="inlineStr">
        <is>
          <t>2:51</t>
        </is>
      </c>
      <c r="C8644" t="inlineStr">
        <is>
          <t>things look a little bit different.</t>
        </is>
      </c>
      <c r="D8644">
        <f>HYPERLINK("https://www.youtube.com/watch?v=hiIcwt88o94&amp;t=171s", "Go to time")</f>
        <v/>
      </c>
    </row>
    <row r="8645">
      <c r="A8645">
        <f>HYPERLINK("https://www.youtube.com/watch?v=hiIcwt88o94", "Video")</f>
        <v/>
      </c>
      <c r="B8645" t="inlineStr">
        <is>
          <t>14:40</t>
        </is>
      </c>
      <c r="C8645" t="inlineStr">
        <is>
          <t>There's others too:
habitat loss is my favorite thing</t>
        </is>
      </c>
      <c r="D8645">
        <f>HYPERLINK("https://www.youtube.com/watch?v=hiIcwt88o94&amp;t=880s", "Go to time")</f>
        <v/>
      </c>
    </row>
    <row r="8646">
      <c r="A8646">
        <f>HYPERLINK("https://www.youtube.com/watch?v=D3azoUEEy3E", "Video")</f>
        <v/>
      </c>
      <c r="B8646" t="inlineStr">
        <is>
          <t>6:58</t>
        </is>
      </c>
      <c r="C8646" t="inlineStr">
        <is>
          <t>is a bit of post-traumatic growth
and not shutting down.</t>
        </is>
      </c>
      <c r="D8646">
        <f>HYPERLINK("https://www.youtube.com/watch?v=D3azoUEEy3E&amp;t=418s", "Go to time")</f>
        <v/>
      </c>
    </row>
    <row r="8647">
      <c r="A8647">
        <f>HYPERLINK("https://www.youtube.com/watch?v=Z7NUaAGmg44", "Video")</f>
        <v/>
      </c>
      <c r="B8647" t="inlineStr">
        <is>
          <t>6:29</t>
        </is>
      </c>
      <c r="C8647" t="inlineStr">
        <is>
          <t>And that might matter a little bit more.</t>
        </is>
      </c>
      <c r="D8647">
        <f>HYPERLINK("https://www.youtube.com/watch?v=Z7NUaAGmg44&amp;t=389s", "Go to time")</f>
        <v/>
      </c>
    </row>
    <row r="8648">
      <c r="A8648">
        <f>HYPERLINK("https://www.youtube.com/watch?v=RtFFT4zjyTM", "Video")</f>
        <v/>
      </c>
      <c r="B8648" t="inlineStr">
        <is>
          <t>0:14</t>
        </is>
      </c>
      <c r="C8648" t="inlineStr">
        <is>
          <t>bite the dust,</t>
        </is>
      </c>
      <c r="D8648">
        <f>HYPERLINK("https://www.youtube.com/watch?v=RtFFT4zjyTM&amp;t=14s", "Go to time")</f>
        <v/>
      </c>
    </row>
    <row r="8649">
      <c r="A8649">
        <f>HYPERLINK("https://www.youtube.com/watch?v=RtFFT4zjyTM", "Video")</f>
        <v/>
      </c>
      <c r="B8649" t="inlineStr">
        <is>
          <t>5:01</t>
        </is>
      </c>
      <c r="C8649" t="inlineStr">
        <is>
          <t>You're a little bit above average.</t>
        </is>
      </c>
      <c r="D8649">
        <f>HYPERLINK("https://www.youtube.com/watch?v=RtFFT4zjyTM&amp;t=301s", "Go to time")</f>
        <v/>
      </c>
    </row>
    <row r="8650">
      <c r="A8650">
        <f>HYPERLINK("https://www.youtube.com/watch?v=hVclObff6fc", "Video")</f>
        <v/>
      </c>
      <c r="B8650" t="inlineStr">
        <is>
          <t>2:10</t>
        </is>
      </c>
      <c r="C8650" t="inlineStr">
        <is>
          <t>without worrying that my Fitbit
is going to land me in jail.</t>
        </is>
      </c>
      <c r="D8650">
        <f>HYPERLINK("https://www.youtube.com/watch?v=hVclObff6fc&amp;t=130s", "Go to time")</f>
        <v/>
      </c>
    </row>
    <row r="8651">
      <c r="A8651">
        <f>HYPERLINK("https://www.youtube.com/watch?v=O6Vayv9FCLM", "Video")</f>
        <v/>
      </c>
      <c r="B8651" t="inlineStr">
        <is>
          <t>1:36</t>
        </is>
      </c>
      <c r="C8651" t="inlineStr">
        <is>
          <t>if we don't change a few
of our fire-management habits,</t>
        </is>
      </c>
      <c r="D8651">
        <f>HYPERLINK("https://www.youtube.com/watch?v=O6Vayv9FCLM&amp;t=96s", "Go to time")</f>
        <v/>
      </c>
    </row>
    <row r="8652">
      <c r="A8652">
        <f>HYPERLINK("https://www.youtube.com/watch?v=O6Vayv9FCLM", "Video")</f>
        <v/>
      </c>
      <c r="B8652" t="inlineStr">
        <is>
          <t>4:26</t>
        </is>
      </c>
      <c r="C8652" t="inlineStr">
        <is>
          <t>but when they occurred,
they were quite a bit more severe.</t>
        </is>
      </c>
      <c r="D8652">
        <f>HYPERLINK("https://www.youtube.com/watch?v=O6Vayv9FCLM&amp;t=266s", "Go to time")</f>
        <v/>
      </c>
    </row>
    <row r="8653">
      <c r="A8653">
        <f>HYPERLINK("https://www.youtube.com/watch?v=8Sl28fkrozE", "Video")</f>
        <v/>
      </c>
      <c r="B8653" t="inlineStr">
        <is>
          <t>5:12</t>
        </is>
      </c>
      <c r="C8653" t="inlineStr">
        <is>
          <t>that we today largely
consider uninhabitable.</t>
        </is>
      </c>
      <c r="D8653">
        <f>HYPERLINK("https://www.youtube.com/watch?v=8Sl28fkrozE&amp;t=312s", "Go to time")</f>
        <v/>
      </c>
    </row>
    <row r="8654">
      <c r="A8654">
        <f>HYPERLINK("https://www.youtube.com/watch?v=bIw5ZLITSfo", "Video")</f>
        <v/>
      </c>
      <c r="B8654" t="inlineStr">
        <is>
          <t>7:26</t>
        </is>
      </c>
      <c r="C8654" t="inlineStr">
        <is>
          <t>it at least makes the ride
a bit sweeter and easier.</t>
        </is>
      </c>
      <c r="D8654">
        <f>HYPERLINK("https://www.youtube.com/watch?v=bIw5ZLITSfo&amp;t=446s", "Go to time")</f>
        <v/>
      </c>
    </row>
    <row r="8655">
      <c r="A8655">
        <f>HYPERLINK("https://www.youtube.com/watch?v=bIw5ZLITSfo", "Video")</f>
        <v/>
      </c>
      <c r="B8655" t="inlineStr">
        <is>
          <t>8:44</t>
        </is>
      </c>
      <c r="C8655" t="inlineStr">
        <is>
          <t>I'd love to start by talking
a little bit about your book</t>
        </is>
      </c>
      <c r="D8655">
        <f>HYPERLINK("https://www.youtube.com/watch?v=bIw5ZLITSfo&amp;t=524s", "Go to time")</f>
        <v/>
      </c>
    </row>
    <row r="8656">
      <c r="A8656">
        <f>HYPERLINK("https://www.youtube.com/watch?v=bIw5ZLITSfo", "Video")</f>
        <v/>
      </c>
      <c r="B8656" t="inlineStr">
        <is>
          <t>13:54</t>
        </is>
      </c>
      <c r="C8656" t="inlineStr">
        <is>
          <t>anyone who lives there knows,
4pm, little bit of a windy breeze.</t>
        </is>
      </c>
      <c r="D8656">
        <f>HYPERLINK("https://www.youtube.com/watch?v=bIw5ZLITSfo&amp;t=834s", "Go to time")</f>
        <v/>
      </c>
    </row>
    <row r="8657">
      <c r="A8657">
        <f>HYPERLINK("https://www.youtube.com/watch?v=uXZVfNJ_EXY", "Video")</f>
        <v/>
      </c>
      <c r="B8657" t="inlineStr">
        <is>
          <t>0:33</t>
        </is>
      </c>
      <c r="C8657" t="inlineStr">
        <is>
          <t>and small but heroic hobbits
fighting against impossible odds</t>
        </is>
      </c>
      <c r="D8657">
        <f>HYPERLINK("https://www.youtube.com/watch?v=uXZVfNJ_EXY&amp;t=33s", "Go to time")</f>
        <v/>
      </c>
    </row>
    <row r="8658">
      <c r="A8658">
        <f>HYPERLINK("https://www.youtube.com/watch?v=uXZVfNJ_EXY", "Video")</f>
        <v/>
      </c>
      <c r="B8658" t="inlineStr">
        <is>
          <t>1:41</t>
        </is>
      </c>
      <c r="C8658" t="inlineStr">
        <is>
          <t>like one where a female hobbit
devised a clever plan</t>
        </is>
      </c>
      <c r="D8658">
        <f>HYPERLINK("https://www.youtube.com/watch?v=uXZVfNJ_EXY&amp;t=101s", "Go to time")</f>
        <v/>
      </c>
    </row>
    <row r="8659">
      <c r="A8659">
        <f>HYPERLINK("https://www.youtube.com/watch?v=Kcq-FxK-GK0", "Video")</f>
        <v/>
      </c>
      <c r="B8659" t="inlineStr">
        <is>
          <t>6:06</t>
        </is>
      </c>
      <c r="C8659" t="inlineStr">
        <is>
          <t>sugar has left a bitter taste
in our mouths.</t>
        </is>
      </c>
      <c r="D8659">
        <f>HYPERLINK("https://www.youtube.com/watch?v=Kcq-FxK-GK0&amp;t=366s", "Go to time")</f>
        <v/>
      </c>
    </row>
    <row r="8660">
      <c r="A8660">
        <f>HYPERLINK("https://www.youtube.com/watch?v=Kcq-FxK-GK0", "Video")</f>
        <v/>
      </c>
      <c r="B8660" t="inlineStr">
        <is>
          <t>7:11</t>
        </is>
      </c>
      <c r="C8660" t="inlineStr">
        <is>
          <t>We have an ambitious dream
of revitalizing Indigenous land systems</t>
        </is>
      </c>
      <c r="D8660">
        <f>HYPERLINK("https://www.youtube.com/watch?v=Kcq-FxK-GK0&amp;t=431s", "Go to time")</f>
        <v/>
      </c>
    </row>
    <row r="8661">
      <c r="A8661">
        <f>HYPERLINK("https://www.youtube.com/watch?v=ZpT0cw9bmiw", "Video")</f>
        <v/>
      </c>
      <c r="B8661" t="inlineStr">
        <is>
          <t>4:37</t>
        </is>
      </c>
      <c r="C8661" t="inlineStr">
        <is>
          <t>we wanted to do
a little bit of social good,</t>
        </is>
      </c>
      <c r="D8661">
        <f>HYPERLINK("https://www.youtube.com/watch?v=ZpT0cw9bmiw&amp;t=277s", "Go to time")</f>
        <v/>
      </c>
    </row>
    <row r="8662">
      <c r="A8662">
        <f>HYPERLINK("https://www.youtube.com/watch?v=ZpT0cw9bmiw", "Video")</f>
        <v/>
      </c>
      <c r="B8662" t="inlineStr">
        <is>
          <t>4:47</t>
        </is>
      </c>
      <c r="C8662" t="inlineStr">
        <is>
          <t>just a little bit better,</t>
        </is>
      </c>
      <c r="D8662">
        <f>HYPERLINK("https://www.youtube.com/watch?v=ZpT0cw9bmiw&amp;t=287s", "Go to time")</f>
        <v/>
      </c>
    </row>
    <row r="8663">
      <c r="A8663">
        <f>HYPERLINK("https://www.youtube.com/watch?v=ZpT0cw9bmiw", "Video")</f>
        <v/>
      </c>
      <c r="B8663" t="inlineStr">
        <is>
          <t>4:49</t>
        </is>
      </c>
      <c r="C8663" t="inlineStr">
        <is>
          <t>just a little bit more
respect and consideration</t>
        </is>
      </c>
      <c r="D8663">
        <f>HYPERLINK("https://www.youtube.com/watch?v=ZpT0cw9bmiw&amp;t=289s", "Go to time")</f>
        <v/>
      </c>
    </row>
    <row r="8664">
      <c r="A8664">
        <f>HYPERLINK("https://www.youtube.com/watch?v=lJUrQKY_A5g", "Video")</f>
        <v/>
      </c>
      <c r="B8664" t="inlineStr">
        <is>
          <t>7:09</t>
        </is>
      </c>
      <c r="C8664" t="inlineStr">
        <is>
          <t>and I know it's a bit off
to talk about control in trust,</t>
        </is>
      </c>
      <c r="D8664">
        <f>HYPERLINK("https://www.youtube.com/watch?v=lJUrQKY_A5g&amp;t=429s", "Go to time")</f>
        <v/>
      </c>
    </row>
    <row r="8665">
      <c r="A8665">
        <f>HYPERLINK("https://www.youtube.com/watch?v=Fjbz-Rzmzxw", "Video")</f>
        <v/>
      </c>
      <c r="B8665" t="inlineStr">
        <is>
          <t>1:40</t>
        </is>
      </c>
      <c r="C8665" t="inlineStr">
        <is>
          <t>It's one of thousands of active
satellites orbiting the Earth.</t>
        </is>
      </c>
      <c r="D8665">
        <f>HYPERLINK("https://www.youtube.com/watch?v=Fjbz-Rzmzxw&amp;t=100s", "Go to time")</f>
        <v/>
      </c>
    </row>
    <row r="8666">
      <c r="A8666">
        <f>HYPERLINK("https://www.youtube.com/watch?v=wMMmvb2OlIQ", "Video")</f>
        <v/>
      </c>
      <c r="B8666" t="inlineStr">
        <is>
          <t>6:59</t>
        </is>
      </c>
      <c r="C8666" t="inlineStr">
        <is>
          <t>a bite to eat</t>
        </is>
      </c>
      <c r="D8666">
        <f>HYPERLINK("https://www.youtube.com/watch?v=wMMmvb2OlIQ&amp;t=419s", "Go to time")</f>
        <v/>
      </c>
    </row>
    <row r="8667">
      <c r="A8667">
        <f>HYPERLINK("https://www.youtube.com/watch?v=8SJi0sHrEI4", "Video")</f>
        <v/>
      </c>
      <c r="B8667" t="inlineStr">
        <is>
          <t>7:32</t>
        </is>
      </c>
      <c r="C8667" t="inlineStr">
        <is>
          <t>Well, let's think a bit about what
we can actually say today</t>
        </is>
      </c>
      <c r="D8667">
        <f>HYPERLINK("https://www.youtube.com/watch?v=8SJi0sHrEI4&amp;t=452s", "Go to time")</f>
        <v/>
      </c>
    </row>
    <row r="8668">
      <c r="A8668">
        <f>HYPERLINK("https://www.youtube.com/watch?v=8SJi0sHrEI4", "Video")</f>
        <v/>
      </c>
      <c r="B8668" t="inlineStr">
        <is>
          <t>13:14</t>
        </is>
      </c>
      <c r="C8668" t="inlineStr">
        <is>
          <t>It's a little bit different from what
we expect of our politicians today.</t>
        </is>
      </c>
      <c r="D8668">
        <f>HYPERLINK("https://www.youtube.com/watch?v=8SJi0sHrEI4&amp;t=794s", "Go to time")</f>
        <v/>
      </c>
    </row>
    <row r="8669">
      <c r="A8669">
        <f>HYPERLINK("https://www.youtube.com/watch?v=8SJi0sHrEI4", "Video")</f>
        <v/>
      </c>
      <c r="B8669" t="inlineStr">
        <is>
          <t>15:38</t>
        </is>
      </c>
      <c r="C8669" t="inlineStr">
        <is>
          <t>it's really a bit far-fetched these days
to cling to this notion</t>
        </is>
      </c>
      <c r="D8669">
        <f>HYPERLINK("https://www.youtube.com/watch?v=8SJi0sHrEI4&amp;t=938s", "Go to time")</f>
        <v/>
      </c>
    </row>
    <row r="8670">
      <c r="A8670">
        <f>HYPERLINK("https://www.youtube.com/watch?v=sCjfVrmkdDQ", "Video")</f>
        <v/>
      </c>
      <c r="B8670" t="inlineStr">
        <is>
          <t>7:17</t>
        </is>
      </c>
      <c r="C8670" t="inlineStr">
        <is>
          <t>So that's why we're saying Drive Electric
is the most ambitious coalition</t>
        </is>
      </c>
      <c r="D8670">
        <f>HYPERLINK("https://www.youtube.com/watch?v=sCjfVrmkdDQ&amp;t=437s", "Go to time")</f>
        <v/>
      </c>
    </row>
    <row r="8671">
      <c r="A8671">
        <f>HYPERLINK("https://www.youtube.com/watch?v=sCjfVrmkdDQ", "Video")</f>
        <v/>
      </c>
      <c r="B8671" t="inlineStr">
        <is>
          <t>10:04</t>
        </is>
      </c>
      <c r="C8671" t="inlineStr">
        <is>
          <t>raise your level of ambition.</t>
        </is>
      </c>
      <c r="D8671">
        <f>HYPERLINK("https://www.youtube.com/watch?v=sCjfVrmkdDQ&amp;t=604s", "Go to time")</f>
        <v/>
      </c>
    </row>
    <row r="8672">
      <c r="A8672">
        <f>HYPERLINK("https://www.youtube.com/watch?v=gypAjPp6eps", "Video")</f>
        <v/>
      </c>
      <c r="B8672" t="inlineStr">
        <is>
          <t>1:13</t>
        </is>
      </c>
      <c r="C8672" t="inlineStr">
        <is>
          <t>This is when the planet's orbit
is aligned in our line of sight,</t>
        </is>
      </c>
      <c r="D8672">
        <f>HYPERLINK("https://www.youtube.com/watch?v=gypAjPp6eps&amp;t=73s", "Go to time")</f>
        <v/>
      </c>
    </row>
    <row r="8673">
      <c r="A8673">
        <f>HYPERLINK("https://www.youtube.com/watch?v=gypAjPp6eps", "Video")</f>
        <v/>
      </c>
      <c r="B8673" t="inlineStr">
        <is>
          <t>1:22</t>
        </is>
      </c>
      <c r="C8673" t="inlineStr">
        <is>
          <t>And when this happens,
it blocks out a tiny bit of starlight,</t>
        </is>
      </c>
      <c r="D8673">
        <f>HYPERLINK("https://www.youtube.com/watch?v=gypAjPp6eps&amp;t=82s", "Go to time")</f>
        <v/>
      </c>
    </row>
    <row r="8674">
      <c r="A8674">
        <f>HYPERLINK("https://www.youtube.com/watch?v=gypAjPp6eps", "Video")</f>
        <v/>
      </c>
      <c r="B8674" t="inlineStr">
        <is>
          <t>3:01</t>
        </is>
      </c>
      <c r="C8674" t="inlineStr">
        <is>
          <t>Now, when a planet transits a star,
it blocks out a little bit of this light,</t>
        </is>
      </c>
      <c r="D8674">
        <f>HYPERLINK("https://www.youtube.com/watch?v=gypAjPp6eps&amp;t=181s", "Go to time")</f>
        <v/>
      </c>
    </row>
    <row r="8675">
      <c r="A8675">
        <f>HYPERLINK("https://www.youtube.com/watch?v=gypAjPp6eps", "Video")</f>
        <v/>
      </c>
      <c r="B8675" t="inlineStr">
        <is>
          <t>7:22</t>
        </is>
      </c>
      <c r="C8675" t="inlineStr">
        <is>
          <t>that are passing by this star
in a very elliptical orbit?</t>
        </is>
      </c>
      <c r="D8675">
        <f>HYPERLINK("https://www.youtube.com/watch?v=gypAjPp6eps&amp;t=442s", "Go to time")</f>
        <v/>
      </c>
    </row>
    <row r="8676">
      <c r="A8676">
        <f>HYPERLINK("https://www.youtube.com/watch?v=ldq6wKtQzU8", "Video")</f>
        <v/>
      </c>
      <c r="B8676" t="inlineStr">
        <is>
          <t>6:58</t>
        </is>
      </c>
      <c r="C8676" t="inlineStr">
        <is>
          <t>on a potentially habitable planet,</t>
        </is>
      </c>
      <c r="D8676">
        <f>HYPERLINK("https://www.youtube.com/watch?v=ldq6wKtQzU8&amp;t=418s", "Go to time")</f>
        <v/>
      </c>
    </row>
    <row r="8677">
      <c r="A8677">
        <f>HYPERLINK("https://www.youtube.com/watch?v=ldq6wKtQzU8", "Video")</f>
        <v/>
      </c>
      <c r="B8677" t="inlineStr">
        <is>
          <t>7:06</t>
        </is>
      </c>
      <c r="C8677" t="inlineStr">
        <is>
          <t>is not that we will fail to find
a habitable planet in our lifetimes.</t>
        </is>
      </c>
      <c r="D8677">
        <f>HYPERLINK("https://www.youtube.com/watch?v=ldq6wKtQzU8&amp;t=426s", "Go to time")</f>
        <v/>
      </c>
    </row>
    <row r="8678">
      <c r="A8678">
        <f>HYPERLINK("https://www.youtube.com/watch?v=ldq6wKtQzU8", "Video")</f>
        <v/>
      </c>
      <c r="B8678" t="inlineStr">
        <is>
          <t>7:13</t>
        </is>
      </c>
      <c r="C8678" t="inlineStr">
        <is>
          <t>directly at an inhabited planet</t>
        </is>
      </c>
      <c r="D8678">
        <f>HYPERLINK("https://www.youtube.com/watch?v=ldq6wKtQzU8&amp;t=433s", "Go to time")</f>
        <v/>
      </c>
    </row>
    <row r="8679">
      <c r="A8679">
        <f>HYPERLINK("https://www.youtube.com/watch?v=cuWVnNtz6po", "Video")</f>
        <v/>
      </c>
      <c r="B8679" t="inlineStr">
        <is>
          <t>7:48</t>
        </is>
      </c>
      <c r="C8679" t="inlineStr">
        <is>
          <t>to help you learn and establish
healthy money habits.</t>
        </is>
      </c>
      <c r="D8679">
        <f>HYPERLINK("https://www.youtube.com/watch?v=cuWVnNtz6po&amp;t=468s", "Go to time")</f>
        <v/>
      </c>
    </row>
    <row r="8680">
      <c r="A8680">
        <f>HYPERLINK("https://www.youtube.com/watch?v=-k0p-DYYZKU", "Video")</f>
        <v/>
      </c>
      <c r="B8680" t="inlineStr">
        <is>
          <t>1:25</t>
        </is>
      </c>
      <c r="C8680" t="inlineStr">
        <is>
          <t>So luckily, I am going to help you
with that a little bit today.</t>
        </is>
      </c>
      <c r="D8680">
        <f>HYPERLINK("https://www.youtube.com/watch?v=-k0p-DYYZKU&amp;t=85s", "Go to time")</f>
        <v/>
      </c>
    </row>
    <row r="8681">
      <c r="A8681">
        <f>HYPERLINK("https://www.youtube.com/watch?v=-k0p-DYYZKU", "Video")</f>
        <v/>
      </c>
      <c r="B8681" t="inlineStr">
        <is>
          <t>8:03</t>
        </is>
      </c>
      <c r="C8681" t="inlineStr">
        <is>
          <t>to help us understand a little bit more</t>
        </is>
      </c>
      <c r="D8681">
        <f>HYPERLINK("https://www.youtube.com/watch?v=-k0p-DYYZKU&amp;t=483s", "Go to time")</f>
        <v/>
      </c>
    </row>
    <row r="8682">
      <c r="A8682">
        <f>HYPERLINK("https://www.youtube.com/watch?v=-k0p-DYYZKU", "Video")</f>
        <v/>
      </c>
      <c r="B8682" t="inlineStr">
        <is>
          <t>8:24</t>
        </is>
      </c>
      <c r="C8682" t="inlineStr">
        <is>
          <t>So can you talk
a little bit more about this</t>
        </is>
      </c>
      <c r="D8682">
        <f>HYPERLINK("https://www.youtube.com/watch?v=-k0p-DYYZKU&amp;t=504s", "Go to time")</f>
        <v/>
      </c>
    </row>
    <row r="8683">
      <c r="A8683">
        <f>HYPERLINK("https://www.youtube.com/watch?v=-k0p-DYYZKU", "Video")</f>
        <v/>
      </c>
      <c r="B8683" t="inlineStr">
        <is>
          <t>8:54</t>
        </is>
      </c>
      <c r="C8683" t="inlineStr">
        <is>
          <t>So it's a little bit different, right?</t>
        </is>
      </c>
      <c r="D8683">
        <f>HYPERLINK("https://www.youtube.com/watch?v=-k0p-DYYZKU&amp;t=534s", "Go to time")</f>
        <v/>
      </c>
    </row>
    <row r="8684">
      <c r="A8684">
        <f>HYPERLINK("https://www.youtube.com/watch?v=-k0p-DYYZKU", "Video")</f>
        <v/>
      </c>
      <c r="B8684" t="inlineStr">
        <is>
          <t>9:55</t>
        </is>
      </c>
      <c r="C8684" t="inlineStr">
        <is>
          <t>WPR: You touched on this
a little bit in the talk,</t>
        </is>
      </c>
      <c r="D8684">
        <f>HYPERLINK("https://www.youtube.com/watch?v=-k0p-DYYZKU&amp;t=595s", "Go to time")</f>
        <v/>
      </c>
    </row>
    <row r="8685">
      <c r="A8685">
        <f>HYPERLINK("https://www.youtube.com/watch?v=-k0p-DYYZKU", "Video")</f>
        <v/>
      </c>
      <c r="B8685" t="inlineStr">
        <is>
          <t>10:13</t>
        </is>
      </c>
      <c r="C8685" t="inlineStr">
        <is>
          <t>And so if we could just talk a little bit
about sort of that first section,</t>
        </is>
      </c>
      <c r="D8685">
        <f>HYPERLINK("https://www.youtube.com/watch?v=-k0p-DYYZKU&amp;t=613s", "Go to time")</f>
        <v/>
      </c>
    </row>
    <row r="8686">
      <c r="A8686">
        <f>HYPERLINK("https://www.youtube.com/watch?v=-k0p-DYYZKU", "Video")</f>
        <v/>
      </c>
      <c r="B8686" t="inlineStr">
        <is>
          <t>14:02</t>
        </is>
      </c>
      <c r="C8686" t="inlineStr">
        <is>
          <t>Can you explain a little bit about that?</t>
        </is>
      </c>
      <c r="D8686">
        <f>HYPERLINK("https://www.youtube.com/watch?v=-k0p-DYYZKU&amp;t=842s", "Go to time")</f>
        <v/>
      </c>
    </row>
    <row r="8687">
      <c r="A8687">
        <f>HYPERLINK("https://www.youtube.com/watch?v=-k0p-DYYZKU", "Video")</f>
        <v/>
      </c>
      <c r="B8687" t="inlineStr">
        <is>
          <t>21:20</t>
        </is>
      </c>
      <c r="C8687" t="inlineStr">
        <is>
          <t>And so, just to go even deeper
into the research rabbit hole,</t>
        </is>
      </c>
      <c r="D8687">
        <f>HYPERLINK("https://www.youtube.com/watch?v=-k0p-DYYZKU&amp;t=1280s", "Go to time")</f>
        <v/>
      </c>
    </row>
    <row r="8688">
      <c r="A8688">
        <f>HYPERLINK("https://www.youtube.com/watch?v=-k0p-DYYZKU", "Video")</f>
        <v/>
      </c>
      <c r="B8688" t="inlineStr">
        <is>
          <t>26:37</t>
        </is>
      </c>
      <c r="C8688" t="inlineStr">
        <is>
          <t>that really inhibits
their ability to connect.</t>
        </is>
      </c>
      <c r="D8688">
        <f>HYPERLINK("https://www.youtube.com/watch?v=-k0p-DYYZKU&amp;t=1597s", "Go to time")</f>
        <v/>
      </c>
    </row>
    <row r="8689">
      <c r="A8689">
        <f>HYPERLINK("https://www.youtube.com/watch?v=WyprXhvGVYk", "Video")</f>
        <v/>
      </c>
      <c r="B8689" t="inlineStr">
        <is>
          <t>6:03</t>
        </is>
      </c>
      <c r="C8689" t="inlineStr">
        <is>
          <t>The earth will remain habitable
for 500 million years to come.</t>
        </is>
      </c>
      <c r="D8689">
        <f>HYPERLINK("https://www.youtube.com/watch?v=WyprXhvGVYk&amp;t=363s", "Go to time")</f>
        <v/>
      </c>
    </row>
    <row r="8690">
      <c r="A8690">
        <f>HYPERLINK("https://www.youtube.com/watch?v=IcaDZK1Njb0", "Video")</f>
        <v/>
      </c>
      <c r="B8690" t="inlineStr">
        <is>
          <t>5:36</t>
        </is>
      </c>
      <c r="C8690" t="inlineStr">
        <is>
          <t>that are more difficult to explain
and feel a bit more like what we see</t>
        </is>
      </c>
      <c r="D8690">
        <f>HYPERLINK("https://www.youtube.com/watch?v=IcaDZK1Njb0&amp;t=336s", "Go to time")</f>
        <v/>
      </c>
    </row>
    <row r="8691">
      <c r="A8691">
        <f>HYPERLINK("https://www.youtube.com/watch?v=IcaDZK1Njb0", "Video")</f>
        <v/>
      </c>
      <c r="B8691" t="inlineStr">
        <is>
          <t>7:56</t>
        </is>
      </c>
      <c r="C8691" t="inlineStr">
        <is>
          <t>or if, instead, they would exhibit
behaviors like alarm calling</t>
        </is>
      </c>
      <c r="D8691">
        <f>HYPERLINK("https://www.youtube.com/watch?v=IcaDZK1Njb0&amp;t=476s", "Go to time")</f>
        <v/>
      </c>
    </row>
    <row r="8692">
      <c r="A8692">
        <f>HYPERLINK("https://www.youtube.com/watch?v=IcaDZK1Njb0", "Video")</f>
        <v/>
      </c>
      <c r="B8692" t="inlineStr">
        <is>
          <t>8:50</t>
        </is>
      </c>
      <c r="C8692" t="inlineStr">
        <is>
          <t>that look a bit like
the female version of Hannibal Lecter.</t>
        </is>
      </c>
      <c r="D8692">
        <f>HYPERLINK("https://www.youtube.com/watch?v=IcaDZK1Njb0&amp;t=530s", "Go to time")</f>
        <v/>
      </c>
    </row>
    <row r="8693">
      <c r="A8693">
        <f>HYPERLINK("https://www.youtube.com/watch?v=IcaDZK1Njb0", "Video")</f>
        <v/>
      </c>
      <c r="B8693" t="inlineStr">
        <is>
          <t>12:23</t>
        </is>
      </c>
      <c r="C8693" t="inlineStr">
        <is>
          <t>In fact, we've documented behaviors
like biting, beating and even sex itself</t>
        </is>
      </c>
      <c r="D8693">
        <f>HYPERLINK("https://www.youtube.com/watch?v=IcaDZK1Njb0&amp;t=743s", "Go to time")</f>
        <v/>
      </c>
    </row>
    <row r="8694">
      <c r="A8694">
        <f>HYPERLINK("https://www.youtube.com/watch?v=FaLBcSMVVuU", "Video")</f>
        <v/>
      </c>
      <c r="B8694" t="inlineStr">
        <is>
          <t>3:11</t>
        </is>
      </c>
      <c r="C8694" t="inlineStr">
        <is>
          <t>But then a little bit more
than five years ago, in 2012,</t>
        </is>
      </c>
      <c r="D8694">
        <f>HYPERLINK("https://www.youtube.com/watch?v=FaLBcSMVVuU&amp;t=191s", "Go to time")</f>
        <v/>
      </c>
    </row>
    <row r="8695">
      <c r="A8695">
        <f>HYPERLINK("https://www.youtube.com/watch?v=FaLBcSMVVuU", "Video")</f>
        <v/>
      </c>
      <c r="B8695" t="inlineStr">
        <is>
          <t>4:26</t>
        </is>
      </c>
      <c r="C8695" t="inlineStr">
        <is>
          <t>But first, I’m going to give you
a little bit of background.</t>
        </is>
      </c>
      <c r="D8695">
        <f>HYPERLINK("https://www.youtube.com/watch?v=FaLBcSMVVuU&amp;t=266s", "Go to time")</f>
        <v/>
      </c>
    </row>
    <row r="8696">
      <c r="A8696">
        <f>HYPERLINK("https://www.youtube.com/watch?v=rj3_n1-XV8c", "Video")</f>
        <v/>
      </c>
      <c r="B8696" t="inlineStr">
        <is>
          <t>5:40</t>
        </is>
      </c>
      <c r="C8696" t="inlineStr">
        <is>
          <t>because unfortunately,
we have a bit of a major snag.</t>
        </is>
      </c>
      <c r="D8696">
        <f>HYPERLINK("https://www.youtube.com/watch?v=rj3_n1-XV8c&amp;t=340s", "Go to time")</f>
        <v/>
      </c>
    </row>
    <row r="8697">
      <c r="A8697">
        <f>HYPERLINK("https://www.youtube.com/watch?v=rj3_n1-XV8c", "Video")</f>
        <v/>
      </c>
      <c r="B8697" t="inlineStr">
        <is>
          <t>9:10</t>
        </is>
      </c>
      <c r="C8697" t="inlineStr">
        <is>
          <t>It's a bit like if you smashed
two apples against each other,</t>
        </is>
      </c>
      <c r="D8697">
        <f>HYPERLINK("https://www.youtube.com/watch?v=rj3_n1-XV8c&amp;t=550s", "Go to time")</f>
        <v/>
      </c>
    </row>
    <row r="8698">
      <c r="A8698">
        <f>HYPERLINK("https://www.youtube.com/watch?v=x1Efv_wF5LE", "Video")</f>
        <v/>
      </c>
      <c r="B8698" t="inlineStr">
        <is>
          <t>0:50</t>
        </is>
      </c>
      <c r="C8698" t="inlineStr">
        <is>
          <t>The tailpipe is a symbol
of our worst habits --</t>
        </is>
      </c>
      <c r="D8698">
        <f>HYPERLINK("https://www.youtube.com/watch?v=x1Efv_wF5LE&amp;t=50s", "Go to time")</f>
        <v/>
      </c>
    </row>
    <row r="8699">
      <c r="A8699">
        <f>HYPERLINK("https://www.youtube.com/watch?v=x1Efv_wF5LE", "Video")</f>
        <v/>
      </c>
      <c r="B8699" t="inlineStr">
        <is>
          <t>0:55</t>
        </is>
      </c>
      <c r="C8699" t="inlineStr">
        <is>
          <t>habits that we have
normalized for too long:</t>
        </is>
      </c>
      <c r="D8699">
        <f>HYPERLINK("https://www.youtube.com/watch?v=x1Efv_wF5LE&amp;t=55s", "Go to time")</f>
        <v/>
      </c>
    </row>
    <row r="8700">
      <c r="A8700">
        <f>HYPERLINK("https://www.youtube.com/watch?v=SUDMIA23_5s", "Video")</f>
        <v/>
      </c>
      <c r="B8700" t="inlineStr">
        <is>
          <t>8:30</t>
        </is>
      </c>
      <c r="C8700" t="inlineStr">
        <is>
          <t>the exhibition of learning.</t>
        </is>
      </c>
      <c r="D8700">
        <f>HYPERLINK("https://www.youtube.com/watch?v=SUDMIA23_5s&amp;t=510s", "Go to time")</f>
        <v/>
      </c>
    </row>
    <row r="8701">
      <c r="A8701">
        <f>HYPERLINK("https://www.youtube.com/watch?v=SUDMIA23_5s", "Video")</f>
        <v/>
      </c>
      <c r="B8701" t="inlineStr">
        <is>
          <t>11:56</t>
        </is>
      </c>
      <c r="C8701" t="inlineStr">
        <is>
          <t>And then on exhibition night,
they cooked for everybody,</t>
        </is>
      </c>
      <c r="D8701">
        <f>HYPERLINK("https://www.youtube.com/watch?v=SUDMIA23_5s&amp;t=716s", "Go to time")</f>
        <v/>
      </c>
    </row>
    <row r="8702">
      <c r="A8702">
        <f>HYPERLINK("https://www.youtube.com/watch?v=e5bRX5U1a_4", "Video")</f>
        <v/>
      </c>
      <c r="B8702" t="inlineStr">
        <is>
          <t>5:16</t>
        </is>
      </c>
      <c r="C8702" t="inlineStr">
        <is>
          <t>that make this kind of ambition possible.</t>
        </is>
      </c>
      <c r="D8702">
        <f>HYPERLINK("https://www.youtube.com/watch?v=e5bRX5U1a_4&amp;t=316s", "Go to time")</f>
        <v/>
      </c>
    </row>
    <row r="8703">
      <c r="A8703">
        <f>HYPERLINK("https://www.youtube.com/watch?v=cenxg8j-Rc0", "Video")</f>
        <v/>
      </c>
      <c r="B8703" t="inlineStr">
        <is>
          <t>2:19</t>
        </is>
      </c>
      <c r="C8703" t="inlineStr">
        <is>
          <t>And it reminds me a little bit
of Aesop’s fable</t>
        </is>
      </c>
      <c r="D8703">
        <f>HYPERLINK("https://www.youtube.com/watch?v=cenxg8j-Rc0&amp;t=139s", "Go to time")</f>
        <v/>
      </c>
    </row>
    <row r="8704">
      <c r="A8704">
        <f>HYPERLINK("https://www.youtube.com/watch?v=cenxg8j-Rc0", "Video")</f>
        <v/>
      </c>
      <c r="B8704" t="inlineStr">
        <is>
          <t>11:18</t>
        </is>
      </c>
      <c r="C8704" t="inlineStr">
        <is>
          <t>my regret is that I just really wish
I had taken a little bit more effort</t>
        </is>
      </c>
      <c r="D8704">
        <f>HYPERLINK("https://www.youtube.com/watch?v=cenxg8j-Rc0&amp;t=678s", "Go to time")</f>
        <v/>
      </c>
    </row>
    <row r="8705">
      <c r="A8705">
        <f>HYPERLINK("https://www.youtube.com/watch?v=cenxg8j-Rc0", "Video")</f>
        <v/>
      </c>
      <c r="B8705" t="inlineStr">
        <is>
          <t>11:23</t>
        </is>
      </c>
      <c r="C8705" t="inlineStr">
        <is>
          <t>to build my confidence
to fight this a little bit more,</t>
        </is>
      </c>
      <c r="D8705">
        <f>HYPERLINK("https://www.youtube.com/watch?v=cenxg8j-Rc0&amp;t=683s", "Go to time")</f>
        <v/>
      </c>
    </row>
    <row r="8706">
      <c r="A8706">
        <f>HYPERLINK("https://www.youtube.com/watch?v=cenxg8j-Rc0", "Video")</f>
        <v/>
      </c>
      <c r="B8706" t="inlineStr">
        <is>
          <t>12:02</t>
        </is>
      </c>
      <c r="C8706" t="inlineStr">
        <is>
          <t>of resolving it a little bit.</t>
        </is>
      </c>
      <c r="D8706">
        <f>HYPERLINK("https://www.youtube.com/watch?v=cenxg8j-Rc0&amp;t=722s", "Go to time")</f>
        <v/>
      </c>
    </row>
    <row r="8707">
      <c r="A8707">
        <f>HYPERLINK("https://www.youtube.com/watch?v=cenxg8j-Rc0", "Video")</f>
        <v/>
      </c>
      <c r="B8707" t="inlineStr">
        <is>
          <t>12:14</t>
        </is>
      </c>
      <c r="C8707" t="inlineStr">
        <is>
          <t>if I had just put myself
a little bit out there,</t>
        </is>
      </c>
      <c r="D8707">
        <f>HYPERLINK("https://www.youtube.com/watch?v=cenxg8j-Rc0&amp;t=734s", "Go to time")</f>
        <v/>
      </c>
    </row>
    <row r="8708">
      <c r="A8708">
        <f>HYPERLINK("https://www.youtube.com/watch?v=cenxg8j-Rc0", "Video")</f>
        <v/>
      </c>
      <c r="B8708" t="inlineStr">
        <is>
          <t>22:38</t>
        </is>
      </c>
      <c r="C8708" t="inlineStr">
        <is>
          <t>it might sting for a little bit,
but the half-life is very, very short.</t>
        </is>
      </c>
      <c r="D8708">
        <f>HYPERLINK("https://www.youtube.com/watch?v=cenxg8j-Rc0&amp;t=1358s", "Go to time")</f>
        <v/>
      </c>
    </row>
    <row r="8709">
      <c r="A8709">
        <f>HYPERLINK("https://www.youtube.com/watch?v=wLvGABoTV-s", "Video")</f>
        <v/>
      </c>
      <c r="B8709" t="inlineStr">
        <is>
          <t>8:43</t>
        </is>
      </c>
      <c r="C8709" t="inlineStr">
        <is>
          <t>bit and then start to move on to the</t>
        </is>
      </c>
      <c r="D8709">
        <f>HYPERLINK("https://www.youtube.com/watch?v=wLvGABoTV-s&amp;t=523s", "Go to time")</f>
        <v/>
      </c>
    </row>
    <row r="8710">
      <c r="A8710">
        <f>HYPERLINK("https://www.youtube.com/watch?v=2UZKME9WP9M", "Video")</f>
        <v/>
      </c>
      <c r="B8710" t="inlineStr">
        <is>
          <t>1:15</t>
        </is>
      </c>
      <c r="C8710" t="inlineStr">
        <is>
          <t>just beyond the orbit of Uranus</t>
        </is>
      </c>
      <c r="D8710">
        <f>HYPERLINK("https://www.youtube.com/watch?v=2UZKME9WP9M&amp;t=75s", "Go to time")</f>
        <v/>
      </c>
    </row>
    <row r="8711">
      <c r="A8711">
        <f>HYPERLINK("https://www.youtube.com/watch?v=2UZKME9WP9M", "Video")</f>
        <v/>
      </c>
      <c r="B8711" t="inlineStr">
        <is>
          <t>1:17</t>
        </is>
      </c>
      <c r="C8711" t="inlineStr">
        <is>
          <t>that was tugging along at that orbit,</t>
        </is>
      </c>
      <c r="D8711">
        <f>HYPERLINK("https://www.youtube.com/watch?v=2UZKME9WP9M&amp;t=77s", "Go to time")</f>
        <v/>
      </c>
    </row>
    <row r="8712">
      <c r="A8712">
        <f>HYPERLINK("https://www.youtube.com/watch?v=2UZKME9WP9M", "Video")</f>
        <v/>
      </c>
      <c r="B8712" t="inlineStr">
        <is>
          <t>1:19</t>
        </is>
      </c>
      <c r="C8712" t="inlineStr">
        <is>
          <t>sometimes pulling it along a bit too fast,</t>
        </is>
      </c>
      <c r="D8712">
        <f>HYPERLINK("https://www.youtube.com/watch?v=2UZKME9WP9M&amp;t=79s", "Go to time")</f>
        <v/>
      </c>
    </row>
    <row r="8713">
      <c r="A8713">
        <f>HYPERLINK("https://www.youtube.com/watch?v=2UZKME9WP9M", "Video")</f>
        <v/>
      </c>
      <c r="B8713" t="inlineStr">
        <is>
          <t>2:17</t>
        </is>
      </c>
      <c r="C8713" t="inlineStr">
        <is>
          <t>dozens of astronomers have used
some sort of alleged orbital discrepancy</t>
        </is>
      </c>
      <c r="D8713">
        <f>HYPERLINK("https://www.youtube.com/watch?v=2UZKME9WP9M&amp;t=137s", "Go to time")</f>
        <v/>
      </c>
    </row>
    <row r="8714">
      <c r="A8714">
        <f>HYPERLINK("https://www.youtube.com/watch?v=2UZKME9WP9M", "Video")</f>
        <v/>
      </c>
      <c r="B8714" t="inlineStr">
        <is>
          <t>2:40</t>
        </is>
      </c>
      <c r="C8714" t="inlineStr">
        <is>
          <t>messing with those orbits.</t>
        </is>
      </c>
      <c r="D8714">
        <f>HYPERLINK("https://www.youtube.com/watch?v=2UZKME9WP9M&amp;t=160s", "Go to time")</f>
        <v/>
      </c>
    </row>
    <row r="8715">
      <c r="A8715">
        <f>HYPERLINK("https://www.youtube.com/watch?v=2UZKME9WP9M", "Video")</f>
        <v/>
      </c>
      <c r="B8715" t="inlineStr">
        <is>
          <t>3:09</t>
        </is>
      </c>
      <c r="C8715" t="inlineStr">
        <is>
          <t>there is no planet just beyond
the orbit of Uranus and Neptune</t>
        </is>
      </c>
      <c r="D8715">
        <f>HYPERLINK("https://www.youtube.com/watch?v=2UZKME9WP9M&amp;t=189s", "Go to time")</f>
        <v/>
      </c>
    </row>
    <row r="8716">
      <c r="A8716">
        <f>HYPERLINK("https://www.youtube.com/watch?v=2UZKME9WP9M", "Video")</f>
        <v/>
      </c>
      <c r="B8716" t="inlineStr">
        <is>
          <t>3:17</t>
        </is>
      </c>
      <c r="C8716" t="inlineStr">
        <is>
          <t>to have any effect on those orbits at all.</t>
        </is>
      </c>
      <c r="D8716">
        <f>HYPERLINK("https://www.youtube.com/watch?v=2UZKME9WP9M&amp;t=197s", "Go to time")</f>
        <v/>
      </c>
    </row>
    <row r="8717">
      <c r="A8717">
        <f>HYPERLINK("https://www.youtube.com/watch?v=2UZKME9WP9M", "Video")</f>
        <v/>
      </c>
      <c r="B8717" t="inlineStr">
        <is>
          <t>3:28</t>
        </is>
      </c>
      <c r="C8717" t="inlineStr">
        <is>
          <t>thousands of tiny, icy objects
in orbit beyond the planets.</t>
        </is>
      </c>
      <c r="D8717">
        <f>HYPERLINK("https://www.youtube.com/watch?v=2UZKME9WP9M&amp;t=208s", "Go to time")</f>
        <v/>
      </c>
    </row>
    <row r="8718">
      <c r="A8718">
        <f>HYPERLINK("https://www.youtube.com/watch?v=2UZKME9WP9M", "Video")</f>
        <v/>
      </c>
      <c r="B8718" t="inlineStr">
        <is>
          <t>3:33</t>
        </is>
      </c>
      <c r="C8718" t="inlineStr">
        <is>
          <t>Here you can see the orbits of Jupiter,</t>
        </is>
      </c>
      <c r="D8718">
        <f>HYPERLINK("https://www.youtube.com/watch?v=2UZKME9WP9M&amp;t=213s", "Go to time")</f>
        <v/>
      </c>
    </row>
    <row r="8719">
      <c r="A8719">
        <f>HYPERLINK("https://www.youtube.com/watch?v=2UZKME9WP9M", "Video")</f>
        <v/>
      </c>
      <c r="B8719" t="inlineStr">
        <is>
          <t>4:22</t>
        </is>
      </c>
      <c r="C8719" t="inlineStr">
        <is>
          <t>what kind of orbit
does it have around the Sun?</t>
        </is>
      </c>
      <c r="D8719">
        <f>HYPERLINK("https://www.youtube.com/watch?v=2UZKME9WP9M&amp;t=262s", "Go to time")</f>
        <v/>
      </c>
    </row>
    <row r="8720">
      <c r="A8720">
        <f>HYPERLINK("https://www.youtube.com/watch?v=2UZKME9WP9M", "Video")</f>
        <v/>
      </c>
      <c r="B8720" t="inlineStr">
        <is>
          <t>4:32</t>
        </is>
      </c>
      <c r="C8720" t="inlineStr">
        <is>
          <t>that got a little bit tossed outward
and it's now on its way back in?</t>
        </is>
      </c>
      <c r="D8720">
        <f>HYPERLINK("https://www.youtube.com/watch?v=2UZKME9WP9M&amp;t=272s", "Go to time")</f>
        <v/>
      </c>
    </row>
    <row r="8721">
      <c r="A8721">
        <f>HYPERLINK("https://www.youtube.com/watch?v=2UZKME9WP9M", "Video")</f>
        <v/>
      </c>
      <c r="B8721" t="inlineStr">
        <is>
          <t>4:49</t>
        </is>
      </c>
      <c r="C8721" t="inlineStr">
        <is>
          <t>to figure out its entire orbit.</t>
        </is>
      </c>
      <c r="D8721">
        <f>HYPERLINK("https://www.youtube.com/watch?v=2UZKME9WP9M&amp;t=289s", "Go to time")</f>
        <v/>
      </c>
    </row>
    <row r="8722">
      <c r="A8722">
        <f>HYPERLINK("https://www.youtube.com/watch?v=2UZKME9WP9M", "Video")</f>
        <v/>
      </c>
      <c r="B8722" t="inlineStr">
        <is>
          <t>5:02</t>
        </is>
      </c>
      <c r="C8722" t="inlineStr">
        <is>
          <t>is it in a circular orbit
around the Sun, like a planet,</t>
        </is>
      </c>
      <c r="D8722">
        <f>HYPERLINK("https://www.youtube.com/watch?v=2UZKME9WP9M&amp;t=302s", "Go to time")</f>
        <v/>
      </c>
    </row>
    <row r="8723">
      <c r="A8723">
        <f>HYPERLINK("https://www.youtube.com/watch?v=2UZKME9WP9M", "Video")</f>
        <v/>
      </c>
      <c r="B8723" t="inlineStr">
        <is>
          <t>5:11</t>
        </is>
      </c>
      <c r="C8723" t="inlineStr">
        <is>
          <t>It has a massively elongated orbit</t>
        </is>
      </c>
      <c r="D8723">
        <f>HYPERLINK("https://www.youtube.com/watch?v=2UZKME9WP9M&amp;t=311s", "Go to time")</f>
        <v/>
      </c>
    </row>
    <row r="8724">
      <c r="A8724">
        <f>HYPERLINK("https://www.youtube.com/watch?v=2UZKME9WP9M", "Video")</f>
        <v/>
      </c>
      <c r="B8724" t="inlineStr">
        <is>
          <t>5:34</t>
        </is>
      </c>
      <c r="C8724" t="inlineStr">
        <is>
          <t>Relatively typical,
except for this bizarre orbit.</t>
        </is>
      </c>
      <c r="D8724">
        <f>HYPERLINK("https://www.youtube.com/watch?v=2UZKME9WP9M&amp;t=334s", "Go to time")</f>
        <v/>
      </c>
    </row>
    <row r="8725">
      <c r="A8725">
        <f>HYPERLINK("https://www.youtube.com/watch?v=2UZKME9WP9M", "Video")</f>
        <v/>
      </c>
      <c r="B8725" t="inlineStr">
        <is>
          <t>5:38</t>
        </is>
      </c>
      <c r="C8725" t="inlineStr">
        <is>
          <t>You might look at this orbit and say,</t>
        </is>
      </c>
      <c r="D8725">
        <f>HYPERLINK("https://www.youtube.com/watch?v=2UZKME9WP9M&amp;t=338s", "Go to time")</f>
        <v/>
      </c>
    </row>
    <row r="8726">
      <c r="A8726">
        <f>HYPERLINK("https://www.youtube.com/watch?v=2UZKME9WP9M", "Video")</f>
        <v/>
      </c>
      <c r="B8726" t="inlineStr">
        <is>
          <t>5:59</t>
        </is>
      </c>
      <c r="C8726" t="inlineStr">
        <is>
          <t>If Sedna had had an orbit like this,</t>
        </is>
      </c>
      <c r="D8726">
        <f>HYPERLINK("https://www.youtube.com/watch?v=2UZKME9WP9M&amp;t=359s", "Go to time")</f>
        <v/>
      </c>
    </row>
    <row r="8727">
      <c r="A8727">
        <f>HYPERLINK("https://www.youtube.com/watch?v=2UZKME9WP9M", "Video")</f>
        <v/>
      </c>
      <c r="B8727" t="inlineStr">
        <is>
          <t>6:01</t>
        </is>
      </c>
      <c r="C8727" t="inlineStr">
        <is>
          <t>that kisses the orbit of Neptune
once around the Sun,</t>
        </is>
      </c>
      <c r="D8727">
        <f>HYPERLINK("https://www.youtube.com/watch?v=2UZKME9WP9M&amp;t=361s", "Go to time")</f>
        <v/>
      </c>
    </row>
    <row r="8728">
      <c r="A8728">
        <f>HYPERLINK("https://www.youtube.com/watch?v=2UZKME9WP9M", "Video")</f>
        <v/>
      </c>
      <c r="B8728" t="inlineStr">
        <is>
          <t>6:08</t>
        </is>
      </c>
      <c r="C8728" t="inlineStr">
        <is>
          <t>that had been in
a circular orbit around the Sun</t>
        </is>
      </c>
      <c r="D8728">
        <f>HYPERLINK("https://www.youtube.com/watch?v=2UZKME9WP9M&amp;t=368s", "Go to time")</f>
        <v/>
      </c>
    </row>
    <row r="8729">
      <c r="A8729">
        <f>HYPERLINK("https://www.youtube.com/watch?v=2UZKME9WP9M", "Video")</f>
        <v/>
      </c>
      <c r="B8729" t="inlineStr">
        <is>
          <t>6:12</t>
        </is>
      </c>
      <c r="C8729" t="inlineStr">
        <is>
          <t>had gotten a little bit
too close to Neptune one time,</t>
        </is>
      </c>
      <c r="D8729">
        <f>HYPERLINK("https://www.youtube.com/watch?v=2UZKME9WP9M&amp;t=372s", "Go to time")</f>
        <v/>
      </c>
    </row>
    <row r="8730">
      <c r="A8730">
        <f>HYPERLINK("https://www.youtube.com/watch?v=2UZKME9WP9M", "Video")</f>
        <v/>
      </c>
      <c r="B8730" t="inlineStr">
        <is>
          <t>7:04</t>
        </is>
      </c>
      <c r="C8730" t="inlineStr">
        <is>
          <t>could have gotten
just a little bit too close to Sedna</t>
        </is>
      </c>
      <c r="D8730">
        <f>HYPERLINK("https://www.youtube.com/watch?v=2UZKME9WP9M&amp;t=424s", "Go to time")</f>
        <v/>
      </c>
    </row>
    <row r="8731">
      <c r="A8731">
        <f>HYPERLINK("https://www.youtube.com/watch?v=2UZKME9WP9M", "Video")</f>
        <v/>
      </c>
      <c r="B8731" t="inlineStr">
        <is>
          <t>7:06</t>
        </is>
      </c>
      <c r="C8731" t="inlineStr">
        <is>
          <t>and perturbed it onto the orbit
that it has today.</t>
        </is>
      </c>
      <c r="D8731">
        <f>HYPERLINK("https://www.youtube.com/watch?v=2UZKME9WP9M&amp;t=426s", "Go to time")</f>
        <v/>
      </c>
    </row>
    <row r="8732">
      <c r="A8732">
        <f>HYPERLINK("https://www.youtube.com/watch?v=2UZKME9WP9M", "Video")</f>
        <v/>
      </c>
      <c r="B8732" t="inlineStr">
        <is>
          <t>7:14</t>
        </is>
      </c>
      <c r="C8732" t="inlineStr">
        <is>
          <t>the orbit of Sedna would have been
left as a fossil record</t>
        </is>
      </c>
      <c r="D8732">
        <f>HYPERLINK("https://www.youtube.com/watch?v=2UZKME9WP9M&amp;t=434s", "Go to time")</f>
        <v/>
      </c>
    </row>
    <row r="8733">
      <c r="A8733">
        <f>HYPERLINK("https://www.youtube.com/watch?v=2UZKME9WP9M", "Video")</f>
        <v/>
      </c>
      <c r="B8733" t="inlineStr">
        <is>
          <t>7:28</t>
        </is>
      </c>
      <c r="C8733" t="inlineStr">
        <is>
          <t>looking for more objects
with orbits like Sedna.</t>
        </is>
      </c>
      <c r="D8733">
        <f>HYPERLINK("https://www.youtube.com/watch?v=2UZKME9WP9M&amp;t=448s", "Go to time")</f>
        <v/>
      </c>
    </row>
    <row r="8734">
      <c r="A8734">
        <f>HYPERLINK("https://www.youtube.com/watch?v=2UZKME9WP9M", "Video")</f>
        <v/>
      </c>
      <c r="B8734" t="inlineStr">
        <is>
          <t>7:38</t>
        </is>
      </c>
      <c r="C8734" t="inlineStr">
        <is>
          <t>and they have now found several objects
with orbits like Sedna,</t>
        </is>
      </c>
      <c r="D8734">
        <f>HYPERLINK("https://www.youtube.com/watch?v=2UZKME9WP9M&amp;t=458s", "Go to time")</f>
        <v/>
      </c>
    </row>
    <row r="8735">
      <c r="A8735">
        <f>HYPERLINK("https://www.youtube.com/watch?v=2UZKME9WP9M", "Video")</f>
        <v/>
      </c>
      <c r="B8735" t="inlineStr">
        <is>
          <t>7:48</t>
        </is>
      </c>
      <c r="C8735" t="inlineStr">
        <is>
          <t>are not only on these distant,
elongated orbits,</t>
        </is>
      </c>
      <c r="D8735">
        <f>HYPERLINK("https://www.youtube.com/watch?v=2UZKME9WP9M&amp;t=468s", "Go to time")</f>
        <v/>
      </c>
    </row>
    <row r="8736">
      <c r="A8736">
        <f>HYPERLINK("https://www.youtube.com/watch?v=2UZKME9WP9M", "Video")</f>
        <v/>
      </c>
      <c r="B8736" t="inlineStr">
        <is>
          <t>7:51</t>
        </is>
      </c>
      <c r="C8736" t="inlineStr">
        <is>
          <t>they also share a common value
of this obscure orbital parameter</t>
        </is>
      </c>
      <c r="D8736">
        <f>HYPERLINK("https://www.youtube.com/watch?v=2UZKME9WP9M&amp;t=471s", "Go to time")</f>
        <v/>
      </c>
    </row>
    <row r="8737">
      <c r="A8737">
        <f>HYPERLINK("https://www.youtube.com/watch?v=2UZKME9WP9M", "Video")</f>
        <v/>
      </c>
      <c r="B8737" t="inlineStr">
        <is>
          <t>10:34</t>
        </is>
      </c>
      <c r="C8737" t="inlineStr">
        <is>
          <t>massive planet on an elongated orbit,</t>
        </is>
      </c>
      <c r="D8737">
        <f>HYPERLINK("https://www.youtube.com/watch?v=2UZKME9WP9M&amp;t=634s", "Go to time")</f>
        <v/>
      </c>
    </row>
    <row r="8738">
      <c r="A8738">
        <f>HYPERLINK("https://www.youtube.com/watch?v=2UZKME9WP9M", "Video")</f>
        <v/>
      </c>
      <c r="B8738" t="inlineStr">
        <is>
          <t>10:46</t>
        </is>
      </c>
      <c r="C8738" t="inlineStr">
        <is>
          <t>Remember that strange orbit of Sedna,</t>
        </is>
      </c>
      <c r="D8738">
        <f>HYPERLINK("https://www.youtube.com/watch?v=2UZKME9WP9M&amp;t=646s", "Go to time")</f>
        <v/>
      </c>
    </row>
    <row r="8739">
      <c r="A8739">
        <f>HYPERLINK("https://www.youtube.com/watch?v=2UZKME9WP9M", "Video")</f>
        <v/>
      </c>
      <c r="B8739" t="inlineStr">
        <is>
          <t>10:51</t>
        </is>
      </c>
      <c r="C8739" t="inlineStr">
        <is>
          <t>A planet like this would make
orbits like that all day long.</t>
        </is>
      </c>
      <c r="D8739">
        <f>HYPERLINK("https://www.youtube.com/watch?v=2UZKME9WP9M&amp;t=651s", "Go to time")</f>
        <v/>
      </c>
    </row>
    <row r="8740">
      <c r="A8740">
        <f>HYPERLINK("https://www.youtube.com/watch?v=2UZKME9WP9M", "Video")</f>
        <v/>
      </c>
      <c r="B8740" t="inlineStr">
        <is>
          <t>11:52</t>
        </is>
      </c>
      <c r="C8740" t="inlineStr">
        <is>
          <t>Next to them, a little bit smaller,
Uranus and Neptune.</t>
        </is>
      </c>
      <c r="D8740">
        <f>HYPERLINK("https://www.youtube.com/watch?v=2UZKME9WP9M&amp;t=712s", "Go to time")</f>
        <v/>
      </c>
    </row>
    <row r="8741">
      <c r="A8741">
        <f>HYPERLINK("https://www.youtube.com/watch?v=YKufhUZRJ1E", "Video")</f>
        <v/>
      </c>
      <c r="B8741" t="inlineStr">
        <is>
          <t>6:17</t>
        </is>
      </c>
      <c r="C8741" t="inlineStr">
        <is>
          <t>Enric felt as if he was writing
the obituary of the ocean</t>
        </is>
      </c>
      <c r="D8741">
        <f>HYPERLINK("https://www.youtube.com/watch?v=YKufhUZRJ1E&amp;t=377s", "Go to time")</f>
        <v/>
      </c>
    </row>
    <row r="8742">
      <c r="A8742">
        <f>HYPERLINK("https://www.youtube.com/watch?v=VJoQj00RZHg", "Video")</f>
        <v/>
      </c>
      <c r="B8742" t="inlineStr">
        <is>
          <t>3:05</t>
        </is>
      </c>
      <c r="C8742" t="inlineStr">
        <is>
          <t>a little bit like a roll call,</t>
        </is>
      </c>
      <c r="D8742">
        <f>HYPERLINK("https://www.youtube.com/watch?v=VJoQj00RZHg&amp;t=185s", "Go to time")</f>
        <v/>
      </c>
    </row>
    <row r="8743">
      <c r="A8743">
        <f>HYPERLINK("https://www.youtube.com/watch?v=irXSdueKyOs", "Video")</f>
        <v/>
      </c>
      <c r="B8743" t="inlineStr">
        <is>
          <t>1:56</t>
        </is>
      </c>
      <c r="C8743" t="inlineStr">
        <is>
          <t>so we brought our drafts
to a local exhibition.</t>
        </is>
      </c>
      <c r="D8743">
        <f>HYPERLINK("https://www.youtube.com/watch?v=irXSdueKyOs&amp;t=116s", "Go to time")</f>
        <v/>
      </c>
    </row>
    <row r="8744">
      <c r="A8744">
        <f>HYPERLINK("https://www.youtube.com/watch?v=KEz7EZcfVts", "Video")</f>
        <v/>
      </c>
      <c r="B8744" t="inlineStr">
        <is>
          <t>1:20</t>
        </is>
      </c>
      <c r="C8744" t="inlineStr">
        <is>
          <t>and I found myself
aligning a little bit more closely</t>
        </is>
      </c>
      <c r="D8744">
        <f>HYPERLINK("https://www.youtube.com/watch?v=KEz7EZcfVts&amp;t=80s", "Go to time")</f>
        <v/>
      </c>
    </row>
    <row r="8745">
      <c r="A8745">
        <f>HYPERLINK("https://www.youtube.com/watch?v=gWPFJgLAzu4", "Video")</f>
        <v/>
      </c>
      <c r="B8745" t="inlineStr">
        <is>
          <t>2:33</t>
        </is>
      </c>
      <c r="C8745" t="inlineStr">
        <is>
          <t>because if they were different,
even by a tiny bit,</t>
        </is>
      </c>
      <c r="D8745">
        <f>HYPERLINK("https://www.youtube.com/watch?v=gWPFJgLAzu4&amp;t=153s", "Go to time")</f>
        <v/>
      </c>
    </row>
    <row r="8746">
      <c r="A8746">
        <f>HYPERLINK("https://www.youtube.com/watch?v=gWPFJgLAzu4", "Video")</f>
        <v/>
      </c>
      <c r="B8746" t="inlineStr">
        <is>
          <t>3:43</t>
        </is>
      </c>
      <c r="C8746" t="inlineStr">
        <is>
          <t>And the Higgs field
is a little bit like a magnetic field,</t>
        </is>
      </c>
      <c r="D8746">
        <f>HYPERLINK("https://www.youtube.com/watch?v=gWPFJgLAzu4&amp;t=223s", "Go to time")</f>
        <v/>
      </c>
    </row>
    <row r="8747">
      <c r="A8747">
        <f>HYPERLINK("https://www.youtube.com/watch?v=gWPFJgLAzu4", "Video")</f>
        <v/>
      </c>
      <c r="B8747" t="inlineStr">
        <is>
          <t>4:15</t>
        </is>
      </c>
      <c r="C8747" t="inlineStr">
        <is>
          <t>a bit like a light switch.</t>
        </is>
      </c>
      <c r="D8747">
        <f>HYPERLINK("https://www.youtube.com/watch?v=gWPFJgLAzu4&amp;t=255s", "Go to time")</f>
        <v/>
      </c>
    </row>
    <row r="8748">
      <c r="A8748">
        <f>HYPERLINK("https://www.youtube.com/watch?v=gWPFJgLAzu4", "Video")</f>
        <v/>
      </c>
      <c r="B8748" t="inlineStr">
        <is>
          <t>4:41</t>
        </is>
      </c>
      <c r="C8748" t="inlineStr">
        <is>
          <t>a bit like a light switch that's got stuck
just before the off position.</t>
        </is>
      </c>
      <c r="D8748">
        <f>HYPERLINK("https://www.youtube.com/watch?v=gWPFJgLAzu4&amp;t=281s", "Go to time")</f>
        <v/>
      </c>
    </row>
    <row r="8749">
      <c r="A8749">
        <f>HYPERLINK("https://www.youtube.com/watch?v=gWPFJgLAzu4", "Video")</f>
        <v/>
      </c>
      <c r="B8749" t="inlineStr">
        <is>
          <t>4:48</t>
        </is>
      </c>
      <c r="C8749" t="inlineStr">
        <is>
          <t>If it were a tiny bit different,</t>
        </is>
      </c>
      <c r="D8749">
        <f>HYPERLINK("https://www.youtube.com/watch?v=gWPFJgLAzu4&amp;t=288s", "Go to time")</f>
        <v/>
      </c>
    </row>
    <row r="8750">
      <c r="A8750">
        <f>HYPERLINK("https://www.youtube.com/watch?v=gWPFJgLAzu4", "Video")</f>
        <v/>
      </c>
      <c r="B8750" t="inlineStr">
        <is>
          <t>8:25</t>
        </is>
      </c>
      <c r="C8750" t="inlineStr">
        <is>
          <t>a bit like musical notes
on a guitar string.</t>
        </is>
      </c>
      <c r="D8750">
        <f>HYPERLINK("https://www.youtube.com/watch?v=gWPFJgLAzu4&amp;t=505s", "Go to time")</f>
        <v/>
      </c>
    </row>
    <row r="8751">
      <c r="A8751">
        <f>HYPERLINK("https://www.youtube.com/watch?v=bGQijadRjXo", "Video")</f>
        <v/>
      </c>
      <c r="B8751" t="inlineStr">
        <is>
          <t>4:10</t>
        </is>
      </c>
      <c r="C8751" t="inlineStr">
        <is>
          <t>But it does mean a bit more Athens</t>
        </is>
      </c>
      <c r="D8751">
        <f>HYPERLINK("https://www.youtube.com/watch?v=bGQijadRjXo&amp;t=250s", "Go to time")</f>
        <v/>
      </c>
    </row>
    <row r="8752">
      <c r="A8752">
        <f>HYPERLINK("https://www.youtube.com/watch?v=bGQijadRjXo", "Video")</f>
        <v/>
      </c>
      <c r="B8752" t="inlineStr">
        <is>
          <t>4:14</t>
        </is>
      </c>
      <c r="C8752" t="inlineStr">
        <is>
          <t>and a bit less Victorian England.</t>
        </is>
      </c>
      <c r="D8752">
        <f>HYPERLINK("https://www.youtube.com/watch?v=bGQijadRjXo&amp;t=254s", "Go to time")</f>
        <v/>
      </c>
    </row>
    <row r="8753">
      <c r="A8753">
        <f>HYPERLINK("https://www.youtube.com/watch?v=bGQijadRjXo", "Video")</f>
        <v/>
      </c>
      <c r="B8753" t="inlineStr">
        <is>
          <t>8:56</t>
        </is>
      </c>
      <c r="C8753" t="inlineStr">
        <is>
          <t>a place with about a million inhabitants,</t>
        </is>
      </c>
      <c r="D8753">
        <f>HYPERLINK("https://www.youtube.com/watch?v=bGQijadRjXo&amp;t=536s", "Go to time")</f>
        <v/>
      </c>
    </row>
    <row r="8754">
      <c r="A8754">
        <f>HYPERLINK("https://www.youtube.com/watch?v=bGQijadRjXo", "Video")</f>
        <v/>
      </c>
      <c r="B8754" t="inlineStr">
        <is>
          <t>10:46</t>
        </is>
      </c>
      <c r="C8754" t="inlineStr">
        <is>
          <t>there are things that act
a bit like emergency lighting,</t>
        </is>
      </c>
      <c r="D8754">
        <f>HYPERLINK("https://www.youtube.com/watch?v=bGQijadRjXo&amp;t=646s", "Go to time")</f>
        <v/>
      </c>
    </row>
    <row r="8755">
      <c r="A8755">
        <f>HYPERLINK("https://www.youtube.com/watch?v=s9rCzZEZKnM", "Video")</f>
        <v/>
      </c>
      <c r="B8755" t="inlineStr">
        <is>
          <t>2:05</t>
        </is>
      </c>
      <c r="C8755" t="inlineStr">
        <is>
          <t>Because, you see, Tahiti is an island
with a bit of a melting-pot culture.</t>
        </is>
      </c>
      <c r="D8755">
        <f>HYPERLINK("https://www.youtube.com/watch?v=s9rCzZEZKnM&amp;t=125s", "Go to time")</f>
        <v/>
      </c>
    </row>
    <row r="8756">
      <c r="A8756">
        <f>HYPERLINK("https://www.youtube.com/watch?v=s9rCzZEZKnM", "Video")</f>
        <v/>
      </c>
      <c r="B8756" t="inlineStr">
        <is>
          <t>4:05</t>
        </is>
      </c>
      <c r="C8756" t="inlineStr">
        <is>
          <t>she found it a bit boring.</t>
        </is>
      </c>
      <c r="D8756">
        <f>HYPERLINK("https://www.youtube.com/watch?v=s9rCzZEZKnM&amp;t=245s", "Go to time")</f>
        <v/>
      </c>
    </row>
    <row r="8757">
      <c r="A8757">
        <f>HYPERLINK("https://www.youtube.com/watch?v=s9rCzZEZKnM", "Video")</f>
        <v/>
      </c>
      <c r="B8757" t="inlineStr">
        <is>
          <t>4:53</t>
        </is>
      </c>
      <c r="C8757" t="inlineStr">
        <is>
          <t>where she saw that people were behaving
a little bit more like her</t>
        </is>
      </c>
      <c r="D8757">
        <f>HYPERLINK("https://www.youtube.com/watch?v=s9rCzZEZKnM&amp;t=293s", "Go to time")</f>
        <v/>
      </c>
    </row>
    <row r="8758">
      <c r="A8758">
        <f>HYPERLINK("https://www.youtube.com/watch?v=s9rCzZEZKnM", "Video")</f>
        <v/>
      </c>
      <c r="B8758" t="inlineStr">
        <is>
          <t>6:55</t>
        </is>
      </c>
      <c r="C8758" t="inlineStr">
        <is>
          <t>well, that kind of culture
is probably a bit slower</t>
        </is>
      </c>
      <c r="D8758">
        <f>HYPERLINK("https://www.youtube.com/watch?v=s9rCzZEZKnM&amp;t=415s", "Go to time")</f>
        <v/>
      </c>
    </row>
    <row r="8759">
      <c r="A8759">
        <f>HYPERLINK("https://www.youtube.com/watch?v=s9rCzZEZKnM", "Video")</f>
        <v/>
      </c>
      <c r="B8759" t="inlineStr">
        <is>
          <t>8:37</t>
        </is>
      </c>
      <c r="C8759" t="inlineStr">
        <is>
          <t>And it's a bit in-your-face,</t>
        </is>
      </c>
      <c r="D8759">
        <f>HYPERLINK("https://www.youtube.com/watch?v=s9rCzZEZKnM&amp;t=517s", "Go to time")</f>
        <v/>
      </c>
    </row>
    <row r="8760">
      <c r="A8760">
        <f>HYPERLINK("https://www.youtube.com/watch?v=s9rCzZEZKnM", "Video")</f>
        <v/>
      </c>
      <c r="B8760" t="inlineStr">
        <is>
          <t>11:51</t>
        </is>
      </c>
      <c r="C8760" t="inlineStr">
        <is>
          <t>discussions that are a bit tough to have.</t>
        </is>
      </c>
      <c r="D8760">
        <f>HYPERLINK("https://www.youtube.com/watch?v=s9rCzZEZKnM&amp;t=711s", "Go to time")</f>
        <v/>
      </c>
    </row>
    <row r="8761">
      <c r="A8761">
        <f>HYPERLINK("https://www.youtube.com/watch?v=8MyHLz6Spoc", "Video")</f>
        <v/>
      </c>
      <c r="B8761" t="inlineStr">
        <is>
          <t>0:12</t>
        </is>
      </c>
      <c r="C8761" t="inlineStr">
        <is>
          <t>It’s a pragmatic, ambitious plan
to save the world</t>
        </is>
      </c>
      <c r="D8761">
        <f>HYPERLINK("https://www.youtube.com/watch?v=8MyHLz6Spoc&amp;t=12s", "Go to time")</f>
        <v/>
      </c>
    </row>
    <row r="8762">
      <c r="A8762">
        <f>HYPERLINK("https://www.youtube.com/watch?v=8MyHLz6Spoc", "Video")</f>
        <v/>
      </c>
      <c r="B8762" t="inlineStr">
        <is>
          <t>9:33</t>
        </is>
      </c>
      <c r="C8762" t="inlineStr">
        <is>
          <t>they need rich countries to put in
a little bit more capital.</t>
        </is>
      </c>
      <c r="D8762">
        <f>HYPERLINK("https://www.youtube.com/watch?v=8MyHLz6Spoc&amp;t=573s", "Go to time")</f>
        <v/>
      </c>
    </row>
    <row r="8763">
      <c r="A8763">
        <f>HYPERLINK("https://www.youtube.com/watch?v=Pl8OlkkwRpc", "Video")</f>
        <v/>
      </c>
      <c r="B8763" t="inlineStr">
        <is>
          <t>0:29</t>
        </is>
      </c>
      <c r="C8763" t="inlineStr">
        <is>
          <t>that it's the underlying technology
of digital currencies like Bitcoin.</t>
        </is>
      </c>
      <c r="D8763">
        <f>HYPERLINK("https://www.youtube.com/watch?v=Pl8OlkkwRpc&amp;t=29s", "Go to time")</f>
        <v/>
      </c>
    </row>
    <row r="8764">
      <c r="A8764">
        <f>HYPERLINK("https://www.youtube.com/watch?v=Pl8OlkkwRpc", "Video")</f>
        <v/>
      </c>
      <c r="B8764" t="inlineStr">
        <is>
          <t>4:10</t>
        </is>
      </c>
      <c r="C8764" t="inlineStr">
        <is>
          <t>that used an underlying
cryptocurrency called Bitcoin.</t>
        </is>
      </c>
      <c r="D8764">
        <f>HYPERLINK("https://www.youtube.com/watch?v=Pl8OlkkwRpc&amp;t=250s", "Go to time")</f>
        <v/>
      </c>
    </row>
    <row r="8765">
      <c r="A8765">
        <f>HYPERLINK("https://www.youtube.com/watch?v=Pl8OlkkwRpc", "Video")</f>
        <v/>
      </c>
      <c r="B8765" t="inlineStr">
        <is>
          <t>4:34</t>
        </is>
      </c>
      <c r="C8765" t="inlineStr">
        <is>
          <t>Now, don't be confused about Bitcoin --</t>
        </is>
      </c>
      <c r="D8765">
        <f>HYPERLINK("https://www.youtube.com/watch?v=Pl8OlkkwRpc&amp;t=274s", "Go to time")</f>
        <v/>
      </c>
    </row>
    <row r="8766">
      <c r="A8766">
        <f>HYPERLINK("https://www.youtube.com/watch?v=Pl8OlkkwRpc", "Video")</f>
        <v/>
      </c>
      <c r="B8766" t="inlineStr">
        <is>
          <t>4:36</t>
        </is>
      </c>
      <c r="C8766" t="inlineStr">
        <is>
          <t>Bitcoin is an asset; it goes up and down,</t>
        </is>
      </c>
      <c r="D8766">
        <f>HYPERLINK("https://www.youtube.com/watch?v=Pl8OlkkwRpc&amp;t=276s", "Go to time")</f>
        <v/>
      </c>
    </row>
    <row r="8767">
      <c r="A8767">
        <f>HYPERLINK("https://www.youtube.com/watch?v=Pl8OlkkwRpc", "Video")</f>
        <v/>
      </c>
      <c r="B8767" t="inlineStr">
        <is>
          <t>5:53</t>
        </is>
      </c>
      <c r="C8767" t="inlineStr">
        <is>
          <t>These are not young people,
they're Bitcoin miners.</t>
        </is>
      </c>
      <c r="D8767">
        <f>HYPERLINK("https://www.youtube.com/watch?v=Pl8OlkkwRpc&amp;t=353s", "Go to time")</f>
        <v/>
      </c>
    </row>
    <row r="8768">
      <c r="A8768">
        <f>HYPERLINK("https://www.youtube.com/watch?v=Pl8OlkkwRpc", "Video")</f>
        <v/>
      </c>
      <c r="B8768" t="inlineStr">
        <is>
          <t>6:30</t>
        </is>
      </c>
      <c r="C8768" t="inlineStr">
        <is>
          <t>in the case of the Bitcoin
blockchain, with Bitcoin.</t>
        </is>
      </c>
      <c r="D8768">
        <f>HYPERLINK("https://www.youtube.com/watch?v=Pl8OlkkwRpc&amp;t=390s", "Go to time")</f>
        <v/>
      </c>
    </row>
    <row r="8769">
      <c r="A8769">
        <f>HYPERLINK("https://www.youtube.com/watch?v=Pl8OlkkwRpc", "Video")</f>
        <v/>
      </c>
      <c r="B8769" t="inlineStr">
        <is>
          <t>7:23</t>
        </is>
      </c>
      <c r="C8769" t="inlineStr">
        <is>
          <t>So the Bitcoin blockchain is just one.</t>
        </is>
      </c>
      <c r="D8769">
        <f>HYPERLINK("https://www.youtube.com/watch?v=Pl8OlkkwRpc&amp;t=443s", "Go to time")</f>
        <v/>
      </c>
    </row>
    <row r="8770">
      <c r="A8770">
        <f>HYPERLINK("https://www.youtube.com/watch?v=Pl8OlkkwRpc", "Video")</f>
        <v/>
      </c>
      <c r="B8770" t="inlineStr">
        <is>
          <t>8:39</t>
        </is>
      </c>
      <c r="C8770" t="inlineStr">
        <is>
          <t>and a bitstream goes through
a dozen companies,</t>
        </is>
      </c>
      <c r="D8770">
        <f>HYPERLINK("https://www.youtube.com/watch?v=Pl8OlkkwRpc&amp;t=519s", "Go to time")</f>
        <v/>
      </c>
    </row>
    <row r="8771">
      <c r="A8771">
        <f>HYPERLINK("https://www.youtube.com/watch?v=Pl8OlkkwRpc", "Video")</f>
        <v/>
      </c>
      <c r="B8771" t="inlineStr">
        <is>
          <t>11:18</t>
        </is>
      </c>
      <c r="C8771" t="inlineStr">
        <is>
          <t>and Airbnb and TaskRabbit
and Lyft and so on</t>
        </is>
      </c>
      <c r="D8771">
        <f>HYPERLINK("https://www.youtube.com/watch?v=Pl8OlkkwRpc&amp;t=678s", "Go to time")</f>
        <v/>
      </c>
    </row>
    <row r="8772">
      <c r="A8772">
        <f>HYPERLINK("https://www.youtube.com/watch?v=3y5f2l5yM4c", "Video")</f>
        <v/>
      </c>
      <c r="B8772" t="inlineStr">
        <is>
          <t>2:14</t>
        </is>
      </c>
      <c r="C8772" t="inlineStr">
        <is>
          <t>I was a little bit more concerned
with a different kind of oxymoron.</t>
        </is>
      </c>
      <c r="D8772">
        <f>HYPERLINK("https://www.youtube.com/watch?v=3y5f2l5yM4c&amp;t=134s", "Go to time")</f>
        <v/>
      </c>
    </row>
    <row r="8773">
      <c r="A8773">
        <f>HYPERLINK("https://www.youtube.com/watch?v=3y5f2l5yM4c", "Video")</f>
        <v/>
      </c>
      <c r="B8773" t="inlineStr">
        <is>
          <t>2:37</t>
        </is>
      </c>
      <c r="C8773" t="inlineStr">
        <is>
          <t>and worried that genetic engineering
was a little bit more art that science.</t>
        </is>
      </c>
      <c r="D8773">
        <f>HYPERLINK("https://www.youtube.com/watch?v=3y5f2l5yM4c&amp;t=157s", "Go to time")</f>
        <v/>
      </c>
    </row>
    <row r="8774">
      <c r="A8774">
        <f>HYPERLINK("https://www.youtube.com/watch?v=3y5f2l5yM4c", "Video")</f>
        <v/>
      </c>
      <c r="B8774" t="inlineStr">
        <is>
          <t>6:40</t>
        </is>
      </c>
      <c r="C8774" t="inlineStr">
        <is>
          <t>are a little bit softer
than we might think.</t>
        </is>
      </c>
      <c r="D8774">
        <f>HYPERLINK("https://www.youtube.com/watch?v=3y5f2l5yM4c&amp;t=400s", "Go to time")</f>
        <v/>
      </c>
    </row>
    <row r="8775">
      <c r="A8775">
        <f>HYPERLINK("https://www.youtube.com/watch?v=3y5f2l5yM4c", "Video")</f>
        <v/>
      </c>
      <c r="B8775" t="inlineStr">
        <is>
          <t>9:27</t>
        </is>
      </c>
      <c r="C8775" t="inlineStr">
        <is>
          <t>we were able to extract
a little bit of the DNA</t>
        </is>
      </c>
      <c r="D8775">
        <f>HYPERLINK("https://www.youtube.com/watch?v=3y5f2l5yM4c&amp;t=567s", "Go to time")</f>
        <v/>
      </c>
    </row>
    <row r="8776">
      <c r="A8776">
        <f>HYPERLINK("https://www.youtube.com/watch?v=3y5f2l5yM4c", "Video")</f>
        <v/>
      </c>
      <c r="B8776" t="inlineStr">
        <is>
          <t>9:43</t>
        </is>
      </c>
      <c r="C8776" t="inlineStr">
        <is>
          <t>we could produce little bits of that smell</t>
        </is>
      </c>
      <c r="D8776">
        <f>HYPERLINK("https://www.youtube.com/watch?v=3y5f2l5yM4c&amp;t=583s", "Go to time")</f>
        <v/>
      </c>
    </row>
    <row r="8777">
      <c r="A8777">
        <f>HYPERLINK("https://www.youtube.com/watch?v=3y5f2l5yM4c", "Video")</f>
        <v/>
      </c>
      <c r="B8777" t="inlineStr">
        <is>
          <t>9:47</t>
        </is>
      </c>
      <c r="C8777" t="inlineStr">
        <is>
          <t>a little bit of something
that's lost forever.</t>
        </is>
      </c>
      <c r="D8777">
        <f>HYPERLINK("https://www.youtube.com/watch?v=3y5f2l5yM4c&amp;t=587s", "Go to time")</f>
        <v/>
      </c>
    </row>
    <row r="8778">
      <c r="A8778">
        <f>HYPERLINK("https://www.youtube.com/watch?v=cfKFbh8LPvU", "Video")</f>
        <v/>
      </c>
      <c r="B8778" t="inlineStr">
        <is>
          <t>4:58</t>
        </is>
      </c>
      <c r="C8778" t="inlineStr">
        <is>
          <t>I spoke to all of these
hyperambitious workaholics,</t>
        </is>
      </c>
      <c r="D8778">
        <f>HYPERLINK("https://www.youtube.com/watch?v=cfKFbh8LPvU&amp;t=298s", "Go to time")</f>
        <v/>
      </c>
    </row>
    <row r="8779">
      <c r="A8779">
        <f>HYPERLINK("https://www.youtube.com/watch?v=ByEoeBYUwOo", "Video")</f>
        <v/>
      </c>
      <c r="B8779" t="inlineStr">
        <is>
          <t>1:04</t>
        </is>
      </c>
      <c r="C8779" t="inlineStr">
        <is>
          <t>This graphic shows near-Earth asteroids
orbiting around the Sun,</t>
        </is>
      </c>
      <c r="D8779">
        <f>HYPERLINK("https://www.youtube.com/watch?v=ByEoeBYUwOo&amp;t=64s", "Go to time")</f>
        <v/>
      </c>
    </row>
    <row r="8780">
      <c r="A8780">
        <f>HYPERLINK("https://www.youtube.com/watch?v=ByEoeBYUwOo", "Video")</f>
        <v/>
      </c>
      <c r="B8780" t="inlineStr">
        <is>
          <t>1:09</t>
        </is>
      </c>
      <c r="C8780" t="inlineStr">
        <is>
          <t>and swinging close to the Earth's orbit,</t>
        </is>
      </c>
      <c r="D8780">
        <f>HYPERLINK("https://www.youtube.com/watch?v=ByEoeBYUwOo&amp;t=69s", "Go to time")</f>
        <v/>
      </c>
    </row>
    <row r="8781">
      <c r="A8781">
        <f>HYPERLINK("https://www.youtube.com/watch?v=ByEoeBYUwOo", "Video")</f>
        <v/>
      </c>
      <c r="B8781" t="inlineStr">
        <is>
          <t>3:55</t>
        </is>
      </c>
      <c r="C8781" t="inlineStr">
        <is>
          <t>It was designed to orbit the earth
and look far beyond our solar system</t>
        </is>
      </c>
      <c r="D8781">
        <f>HYPERLINK("https://www.youtube.com/watch?v=ByEoeBYUwOo&amp;t=235s", "Go to time")</f>
        <v/>
      </c>
    </row>
    <row r="8782">
      <c r="A8782">
        <f>HYPERLINK("https://www.youtube.com/watch?v=p-JeKjsRiVI", "Video")</f>
        <v/>
      </c>
      <c r="B8782" t="inlineStr">
        <is>
          <t>12:51</t>
        </is>
      </c>
      <c r="C8782" t="inlineStr">
        <is>
          <t>of what it felt to inhabit my body,</t>
        </is>
      </c>
      <c r="D8782">
        <f>HYPERLINK("https://www.youtube.com/watch?v=p-JeKjsRiVI&amp;t=771s", "Go to time")</f>
        <v/>
      </c>
    </row>
    <row r="8783">
      <c r="A8783">
        <f>HYPERLINK("https://www.youtube.com/watch?v=2IFa0tqHrwE", "Video")</f>
        <v/>
      </c>
      <c r="B8783" t="inlineStr">
        <is>
          <t>5:03</t>
        </is>
      </c>
      <c r="C8783" t="inlineStr">
        <is>
          <t>It's a bit difficult for me
to see in the center.</t>
        </is>
      </c>
      <c r="D8783">
        <f>HYPERLINK("https://www.youtube.com/watch?v=2IFa0tqHrwE&amp;t=303s", "Go to time")</f>
        <v/>
      </c>
    </row>
    <row r="8784">
      <c r="A8784">
        <f>HYPERLINK("https://www.youtube.com/watch?v=2IFa0tqHrwE", "Video")</f>
        <v/>
      </c>
      <c r="B8784" t="inlineStr">
        <is>
          <t>7:24</t>
        </is>
      </c>
      <c r="C8784" t="inlineStr">
        <is>
          <t>DB: California? Berkeley?
A bit of a guess, but ...</t>
        </is>
      </c>
      <c r="D8784">
        <f>HYPERLINK("https://www.youtube.com/watch?v=2IFa0tqHrwE&amp;t=444s", "Go to time")</f>
        <v/>
      </c>
    </row>
    <row r="8785">
      <c r="A8785">
        <f>HYPERLINK("https://www.youtube.com/watch?v=yuy9yQlFZAU", "Video")</f>
        <v/>
      </c>
      <c r="B8785" t="inlineStr">
        <is>
          <t>0:15</t>
        </is>
      </c>
      <c r="C8785" t="inlineStr">
        <is>
          <t>giving talks to big corporations
and little bitty start-ups</t>
        </is>
      </c>
      <c r="D8785">
        <f>HYPERLINK("https://www.youtube.com/watch?v=yuy9yQlFZAU&amp;t=15s", "Go to time")</f>
        <v/>
      </c>
    </row>
    <row r="8786">
      <c r="A8786">
        <f>HYPERLINK("https://www.youtube.com/watch?v=xTra-yePY_A", "Video")</f>
        <v/>
      </c>
      <c r="B8786" t="inlineStr">
        <is>
          <t>7:55</t>
        </is>
      </c>
      <c r="C8786" t="inlineStr">
        <is>
          <t>seems to matter a little bit more
than the sheer number of words they hear.</t>
        </is>
      </c>
      <c r="D8786">
        <f>HYPERLINK("https://www.youtube.com/watch?v=xTra-yePY_A&amp;t=475s", "Go to time")</f>
        <v/>
      </c>
    </row>
    <row r="8787">
      <c r="A8787">
        <f>HYPERLINK("https://www.youtube.com/watch?v=xTra-yePY_A", "Video")</f>
        <v/>
      </c>
      <c r="B8787" t="inlineStr">
        <is>
          <t>9:25</t>
        </is>
      </c>
      <c r="C8787" t="inlineStr">
        <is>
          <t>Now, the ambition of the study is large,</t>
        </is>
      </c>
      <c r="D8787">
        <f>HYPERLINK("https://www.youtube.com/watch?v=xTra-yePY_A&amp;t=565s", "Go to time")</f>
        <v/>
      </c>
    </row>
    <row r="8788">
      <c r="A8788">
        <f>HYPERLINK("https://www.youtube.com/watch?v=xTra-yePY_A", "Video")</f>
        <v/>
      </c>
      <c r="B8788" t="inlineStr">
        <is>
          <t>10:42</t>
        </is>
      </c>
      <c r="C8788" t="inlineStr">
        <is>
          <t>1,000 newborns and their moms
will have a bit more cash each month</t>
        </is>
      </c>
      <c r="D8788">
        <f>HYPERLINK("https://www.youtube.com/watch?v=xTra-yePY_A&amp;t=642s", "Go to time")</f>
        <v/>
      </c>
    </row>
    <row r="8789">
      <c r="A8789">
        <f>HYPERLINK("https://www.youtube.com/watch?v=dzWRHi-Bmuk", "Video")</f>
        <v/>
      </c>
      <c r="B8789" t="inlineStr">
        <is>
          <t>5:13</t>
        </is>
      </c>
      <c r="C8789" t="inlineStr">
        <is>
          <t>Habitat restoration also helped, usually.</t>
        </is>
      </c>
      <c r="D8789">
        <f>HYPERLINK("https://www.youtube.com/watch?v=dzWRHi-Bmuk&amp;t=313s", "Go to time")</f>
        <v/>
      </c>
    </row>
    <row r="8790">
      <c r="A8790">
        <f>HYPERLINK("https://www.youtube.com/watch?v=dzWRHi-Bmuk", "Video")</f>
        <v/>
      </c>
      <c r="B8790" t="inlineStr">
        <is>
          <t>8:31</t>
        </is>
      </c>
      <c r="C8790" t="inlineStr">
        <is>
          <t>gained momentum, with large reserves
of wildland connected by habitat corridors</t>
        </is>
      </c>
      <c r="D8790">
        <f>HYPERLINK("https://www.youtube.com/watch?v=dzWRHi-Bmuk&amp;t=511s", "Go to time")</f>
        <v/>
      </c>
    </row>
    <row r="8791">
      <c r="A8791">
        <f>HYPERLINK("https://www.youtube.com/watch?v=FrqBWQ-mVEc", "Video")</f>
        <v/>
      </c>
      <c r="B8791" t="inlineStr">
        <is>
          <t>2:08</t>
        </is>
      </c>
      <c r="C8791" t="inlineStr">
        <is>
          <t>a world in which things
are a little bit better.</t>
        </is>
      </c>
      <c r="D8791">
        <f>HYPERLINK("https://www.youtube.com/watch?v=FrqBWQ-mVEc&amp;t=128s", "Go to time")</f>
        <v/>
      </c>
    </row>
    <row r="8792">
      <c r="A8792">
        <f>HYPERLINK("https://www.youtube.com/watch?v=FrqBWQ-mVEc", "Video")</f>
        <v/>
      </c>
      <c r="B8792" t="inlineStr">
        <is>
          <t>2:17</t>
        </is>
      </c>
      <c r="C8792" t="inlineStr">
        <is>
          <t>where we expect the world to yield
a little bit more good than bad,</t>
        </is>
      </c>
      <c r="D8792">
        <f>HYPERLINK("https://www.youtube.com/watch?v=FrqBWQ-mVEc&amp;t=137s", "Go to time")</f>
        <v/>
      </c>
    </row>
    <row r="8793">
      <c r="A8793">
        <f>HYPERLINK("https://www.youtube.com/watch?v=n3WGhXKP8So", "Video")</f>
        <v/>
      </c>
      <c r="B8793" t="inlineStr">
        <is>
          <t>1:11</t>
        </is>
      </c>
      <c r="C8793" t="inlineStr">
        <is>
          <t>"That good-for-nothing son of a bitch."</t>
        </is>
      </c>
      <c r="D8793">
        <f>HYPERLINK("https://www.youtube.com/watch?v=n3WGhXKP8So&amp;t=71s", "Go to time")</f>
        <v/>
      </c>
    </row>
    <row r="8794">
      <c r="A8794">
        <f>HYPERLINK("https://www.youtube.com/watch?v=lSPxeA6Z_m4", "Video")</f>
        <v/>
      </c>
      <c r="B8794" t="inlineStr">
        <is>
          <t>1:06</t>
        </is>
      </c>
      <c r="C8794" t="inlineStr">
        <is>
          <t>they'd all been bitten by the only mammal
that lives exclusively on a diet of blood:</t>
        </is>
      </c>
      <c r="D8794">
        <f>HYPERLINK("https://www.youtube.com/watch?v=lSPxeA6Z_m4&amp;t=66s", "Go to time")</f>
        <v/>
      </c>
    </row>
    <row r="8795">
      <c r="A8795">
        <f>HYPERLINK("https://www.youtube.com/watch?v=lSPxeA6Z_m4", "Video")</f>
        <v/>
      </c>
      <c r="B8795" t="inlineStr">
        <is>
          <t>2:53</t>
        </is>
      </c>
      <c r="C8795" t="inlineStr">
        <is>
          <t>But from a scientific standpoint,
it's a little bit of a problem.</t>
        </is>
      </c>
      <c r="D8795">
        <f>HYPERLINK("https://www.youtube.com/watch?v=lSPxeA6Z_m4&amp;t=173s", "Go to time")</f>
        <v/>
      </c>
    </row>
    <row r="8796">
      <c r="A8796">
        <f>HYPERLINK("https://www.youtube.com/watch?v=lSPxeA6Z_m4", "Video")</f>
        <v/>
      </c>
      <c r="B8796" t="inlineStr">
        <is>
          <t>4:48</t>
        </is>
      </c>
      <c r="C8796" t="inlineStr">
        <is>
          <t>it's because they were bitten
by a rabid animal,</t>
        </is>
      </c>
      <c r="D8796">
        <f>HYPERLINK("https://www.youtube.com/watch?v=lSPxeA6Z_m4&amp;t=288s", "Go to time")</f>
        <v/>
      </c>
    </row>
    <row r="8797">
      <c r="A8797">
        <f>HYPERLINK("https://www.youtube.com/watch?v=lSPxeA6Z_m4", "Video")</f>
        <v/>
      </c>
      <c r="B8797" t="inlineStr">
        <is>
          <t>5:48</t>
        </is>
      </c>
      <c r="C8797" t="inlineStr">
        <is>
          <t>I had no shortage of ambitious plans
to rid Latin America of rabies,</t>
        </is>
      </c>
      <c r="D8797">
        <f>HYPERLINK("https://www.youtube.com/watch?v=lSPxeA6Z_m4&amp;t=348s", "Go to time")</f>
        <v/>
      </c>
    </row>
    <row r="8798">
      <c r="A8798">
        <f>HYPERLINK("https://www.youtube.com/watch?v=lSPxeA6Z_m4", "Video")</f>
        <v/>
      </c>
      <c r="B8798" t="inlineStr">
        <is>
          <t>6:27</t>
        </is>
      </c>
      <c r="C8798" t="inlineStr">
        <is>
          <t>"Who's been getting bitten
by a bat lately?"</t>
        </is>
      </c>
      <c r="D8798">
        <f>HYPERLINK("https://www.youtube.com/watch?v=lSPxeA6Z_m4&amp;t=387s", "Go to time")</f>
        <v/>
      </c>
    </row>
    <row r="8799">
      <c r="A8799">
        <f>HYPERLINK("https://www.youtube.com/watch?v=lSPxeA6Z_m4", "Video")</f>
        <v/>
      </c>
      <c r="B8799" t="inlineStr">
        <is>
          <t>6:34</t>
        </is>
      </c>
      <c r="C8799" t="inlineStr">
        <is>
          <t>getting bitten by a bat
is an everyday occurrence,</t>
        </is>
      </c>
      <c r="D8799">
        <f>HYPERLINK("https://www.youtube.com/watch?v=lSPxeA6Z_m4&amp;t=394s", "Go to time")</f>
        <v/>
      </c>
    </row>
    <row r="8800">
      <c r="A8800">
        <f>HYPERLINK("https://www.youtube.com/watch?v=lSPxeA6Z_m4", "Video")</f>
        <v/>
      </c>
      <c r="B8800" t="inlineStr">
        <is>
          <t>6:49</t>
        </is>
      </c>
      <c r="C8800" t="inlineStr">
        <is>
          <t>So to me, seeing a child with a bite wound
on his head or blood stains on his sheets,</t>
        </is>
      </c>
      <c r="D8800">
        <f>HYPERLINK("https://www.youtube.com/watch?v=lSPxeA6Z_m4&amp;t=409s", "Go to time")</f>
        <v/>
      </c>
    </row>
    <row r="8801">
      <c r="A8801">
        <f>HYPERLINK("https://www.youtube.com/watch?v=lSPxeA6Z_m4", "Video")</f>
        <v/>
      </c>
      <c r="B8801" t="inlineStr">
        <is>
          <t>7:11</t>
        </is>
      </c>
      <c r="C8801" t="inlineStr">
        <is>
          <t>The first was that we know
that people are bitten all the time,</t>
        </is>
      </c>
      <c r="D8801">
        <f>HYPERLINK("https://www.youtube.com/watch?v=lSPxeA6Z_m4&amp;t=431s", "Go to time")</f>
        <v/>
      </c>
    </row>
    <row r="8802">
      <c r="A8802">
        <f>HYPERLINK("https://www.youtube.com/watch?v=lSPxeA6Z_m4", "Video")</f>
        <v/>
      </c>
      <c r="B8802" t="inlineStr">
        <is>
          <t>7:51</t>
        </is>
      </c>
      <c r="C8802" t="inlineStr">
        <is>
          <t>The actual risk of getting bitten
hasn't changed at all.</t>
        </is>
      </c>
      <c r="D8802">
        <f>HYPERLINK("https://www.youtube.com/watch?v=lSPxeA6Z_m4&amp;t=471s", "Go to time")</f>
        <v/>
      </c>
    </row>
    <row r="8803">
      <c r="A8803">
        <f>HYPERLINK("https://www.youtube.com/watch?v=lSPxeA6Z_m4", "Video")</f>
        <v/>
      </c>
      <c r="B8803" t="inlineStr">
        <is>
          <t>10:06</t>
        </is>
      </c>
      <c r="C8803" t="inlineStr">
        <is>
          <t>For that, I needed to think
a little bit more like a bat,</t>
        </is>
      </c>
      <c r="D8803">
        <f>HYPERLINK("https://www.youtube.com/watch?v=lSPxeA6Z_m4&amp;t=606s", "Go to time")</f>
        <v/>
      </c>
    </row>
    <row r="8804">
      <c r="A8804">
        <f>HYPERLINK("https://www.youtube.com/watch?v=lSPxeA6Z_m4", "Video")</f>
        <v/>
      </c>
      <c r="B8804" t="inlineStr">
        <is>
          <t>10:44</t>
        </is>
      </c>
      <c r="C8804" t="inlineStr">
        <is>
          <t>Yet one of those trails stood out
as being a little bit surprising --</t>
        </is>
      </c>
      <c r="D8804">
        <f>HYPERLINK("https://www.youtube.com/watch?v=lSPxeA6Z_m4&amp;t=644s", "Go to time")</f>
        <v/>
      </c>
    </row>
    <row r="8805">
      <c r="A8805">
        <f>HYPERLINK("https://www.youtube.com/watch?v=lSPxeA6Z_m4", "Video")</f>
        <v/>
      </c>
      <c r="B8805" t="inlineStr">
        <is>
          <t>11:20</t>
        </is>
      </c>
      <c r="C8805" t="inlineStr">
        <is>
          <t>And we looked a little bit more closely --</t>
        </is>
      </c>
      <c r="D8805">
        <f>HYPERLINK("https://www.youtube.com/watch?v=lSPxeA6Z_m4&amp;t=680s", "Go to time")</f>
        <v/>
      </c>
    </row>
    <row r="8806">
      <c r="A8806">
        <f>HYPERLINK("https://www.youtube.com/watch?v=lSPxeA6Z_m4", "Video")</f>
        <v/>
      </c>
      <c r="B8806" t="inlineStr">
        <is>
          <t>13:02</t>
        </is>
      </c>
      <c r="C8806" t="inlineStr">
        <is>
          <t>and let the bats' habit
of grooming each other</t>
        </is>
      </c>
      <c r="D8806">
        <f>HYPERLINK("https://www.youtube.com/watch?v=lSPxeA6Z_m4&amp;t=782s", "Go to time")</f>
        <v/>
      </c>
    </row>
    <row r="8807">
      <c r="A8807">
        <f>HYPERLINK("https://www.youtube.com/watch?v=3VTsIju1dLI", "Video")</f>
        <v/>
      </c>
      <c r="B8807" t="inlineStr">
        <is>
          <t>0:28</t>
        </is>
      </c>
      <c r="C8807" t="inlineStr">
        <is>
          <t>I'm an actor, so I'm a bit
of an expert on, well, nothing, really.</t>
        </is>
      </c>
      <c r="D8807">
        <f>HYPERLINK("https://www.youtube.com/watch?v=3VTsIju1dLI&amp;t=28s", "Go to time")</f>
        <v/>
      </c>
    </row>
    <row r="8808">
      <c r="A8808">
        <f>HYPERLINK("https://www.youtube.com/watch?v=fmc0Pk8A0T0", "Video")</f>
        <v/>
      </c>
      <c r="B8808" t="inlineStr">
        <is>
          <t>3:32</t>
        </is>
      </c>
      <c r="C8808" t="inlineStr">
        <is>
          <t>following nearly two decades
of bitter conflict</t>
        </is>
      </c>
      <c r="D8808">
        <f>HYPERLINK("https://www.youtube.com/watch?v=fmc0Pk8A0T0&amp;t=212s", "Go to time")</f>
        <v/>
      </c>
    </row>
    <row r="8809">
      <c r="A8809">
        <f>HYPERLINK("https://www.youtube.com/watch?v=Pj9QnO9rZkE", "Video")</f>
        <v/>
      </c>
      <c r="B8809" t="inlineStr">
        <is>
          <t>3:58</t>
        </is>
      </c>
      <c r="C8809" t="inlineStr">
        <is>
          <t>And like this little Rabbit device
I have in my hand, we'll just talk to it.</t>
        </is>
      </c>
      <c r="D8809">
        <f>HYPERLINK("https://www.youtube.com/watch?v=Pj9QnO9rZkE&amp;t=238s", "Go to time")</f>
        <v/>
      </c>
    </row>
    <row r="8810">
      <c r="A8810">
        <f>HYPERLINK("https://www.youtube.com/watch?v=wRG5_-9eE4w", "Video")</f>
        <v/>
      </c>
      <c r="B8810" t="inlineStr">
        <is>
          <t>7:08</t>
        </is>
      </c>
      <c r="C8810" t="inlineStr">
        <is>
          <t>but wants to worry a little bit less
about the future when I do.</t>
        </is>
      </c>
      <c r="D8810">
        <f>HYPERLINK("https://www.youtube.com/watch?v=wRG5_-9eE4w&amp;t=428s", "Go to time")</f>
        <v/>
      </c>
    </row>
    <row r="8811">
      <c r="A8811">
        <f>HYPERLINK("https://www.youtube.com/watch?v=VU44eEKtcmQ", "Video")</f>
        <v/>
      </c>
      <c r="B8811" t="inlineStr">
        <is>
          <t>0:38</t>
        </is>
      </c>
      <c r="C8811" t="inlineStr">
        <is>
          <t>others regret them bitterly.</t>
        </is>
      </c>
      <c r="D8811">
        <f>HYPERLINK("https://www.youtube.com/watch?v=VU44eEKtcmQ&amp;t=38s", "Go to time")</f>
        <v/>
      </c>
    </row>
    <row r="8812">
      <c r="A8812">
        <f>HYPERLINK("https://www.youtube.com/watch?v=MEDgtjpycYg", "Video")</f>
        <v/>
      </c>
      <c r="B8812" t="inlineStr">
        <is>
          <t>1:58</t>
        </is>
      </c>
      <c r="C8812" t="inlineStr">
        <is>
          <t>when they can make an ambitious ask.</t>
        </is>
      </c>
      <c r="D8812">
        <f>HYPERLINK("https://www.youtube.com/watch?v=MEDgtjpycYg&amp;t=118s", "Go to time")</f>
        <v/>
      </c>
    </row>
    <row r="8813">
      <c r="A8813">
        <f>HYPERLINK("https://www.youtube.com/watch?v=MEDgtjpycYg", "Video")</f>
        <v/>
      </c>
      <c r="B8813" t="inlineStr">
        <is>
          <t>6:22</t>
        </is>
      </c>
      <c r="C8813" t="inlineStr">
        <is>
          <t>On average, women make
less ambitious offers</t>
        </is>
      </c>
      <c r="D8813">
        <f>HYPERLINK("https://www.youtube.com/watch?v=MEDgtjpycYg&amp;t=382s", "Go to time")</f>
        <v/>
      </c>
    </row>
    <row r="8814">
      <c r="A8814">
        <f>HYPERLINK("https://www.youtube.com/watch?v=MEDgtjpycYg", "Video")</f>
        <v/>
      </c>
      <c r="B8814" t="inlineStr">
        <is>
          <t>6:37</t>
        </is>
      </c>
      <c r="C8814" t="inlineStr">
        <is>
          <t>and are just as ambitious.</t>
        </is>
      </c>
      <c r="D8814">
        <f>HYPERLINK("https://www.youtube.com/watch?v=MEDgtjpycYg&amp;t=397s", "Go to time")</f>
        <v/>
      </c>
    </row>
    <row r="8815">
      <c r="A8815">
        <f>HYPERLINK("https://www.youtube.com/watch?v=MEDgtjpycYg", "Video")</f>
        <v/>
      </c>
      <c r="B8815" t="inlineStr">
        <is>
          <t>9:16</t>
        </is>
      </c>
      <c r="C8815" t="inlineStr">
        <is>
          <t>it allows us to be ambitious
and assertive, but still be likable.</t>
        </is>
      </c>
      <c r="D8815">
        <f>HYPERLINK("https://www.youtube.com/watch?v=MEDgtjpycYg&amp;t=556s", "Go to time")</f>
        <v/>
      </c>
    </row>
    <row r="8816">
      <c r="A8816">
        <f>HYPERLINK("https://www.youtube.com/watch?v=YOHpH4ZExWQ", "Video")</f>
        <v/>
      </c>
      <c r="B8816" t="inlineStr">
        <is>
          <t>2:32</t>
        </is>
      </c>
      <c r="C8816" t="inlineStr">
        <is>
          <t>and it's increasing its ambition
for renewable power.</t>
        </is>
      </c>
      <c r="D8816">
        <f>HYPERLINK("https://www.youtube.com/watch?v=YOHpH4ZExWQ&amp;t=152s", "Go to time")</f>
        <v/>
      </c>
    </row>
    <row r="8817">
      <c r="A8817">
        <f>HYPERLINK("https://www.youtube.com/watch?v=8DDgHq9ewOo", "Video")</f>
        <v/>
      </c>
      <c r="B8817" t="inlineStr">
        <is>
          <t>2:10</t>
        </is>
      </c>
      <c r="C8817" t="inlineStr">
        <is>
          <t>as pilot Andreas Lubitz showed
when he forced 149 people</t>
        </is>
      </c>
      <c r="D8817">
        <f>HYPERLINK("https://www.youtube.com/watch?v=8DDgHq9ewOo&amp;t=130s", "Go to time")</f>
        <v/>
      </c>
    </row>
    <row r="8818">
      <c r="A8818">
        <f>HYPERLINK("https://www.youtube.com/watch?v=8DDgHq9ewOo", "Video")</f>
        <v/>
      </c>
      <c r="B8818" t="inlineStr">
        <is>
          <t>4:38</t>
        </is>
      </c>
      <c r="C8818" t="inlineStr">
        <is>
          <t>And in 2011, a couple of researchers
did something every bit as ingenious</t>
        </is>
      </c>
      <c r="D8818">
        <f>HYPERLINK("https://www.youtube.com/watch?v=8DDgHq9ewOo&amp;t=278s", "Go to time")</f>
        <v/>
      </c>
    </row>
    <row r="8819">
      <c r="A8819">
        <f>HYPERLINK("https://www.youtube.com/watch?v=8DDgHq9ewOo", "Video")</f>
        <v/>
      </c>
      <c r="B8819" t="inlineStr">
        <is>
          <t>5:06</t>
        </is>
      </c>
      <c r="C8819" t="inlineStr">
        <is>
          <t>and made it every bit as deadly,
but also wildly contagious.</t>
        </is>
      </c>
      <c r="D8819">
        <f>HYPERLINK("https://www.youtube.com/watch?v=8DDgHq9ewOo&amp;t=306s", "Go to time")</f>
        <v/>
      </c>
    </row>
    <row r="8820">
      <c r="A8820">
        <f>HYPERLINK("https://www.youtube.com/watch?v=8DDgHq9ewOo", "Video")</f>
        <v/>
      </c>
      <c r="B8820" t="inlineStr">
        <is>
          <t>7:27</t>
        </is>
      </c>
      <c r="C8820" t="inlineStr">
        <is>
          <t>Let's say it's 2026,
to pick an arbitrary year,</t>
        </is>
      </c>
      <c r="D8820">
        <f>HYPERLINK("https://www.youtube.com/watch?v=8DDgHq9ewOo&amp;t=447s", "Go to time")</f>
        <v/>
      </c>
    </row>
    <row r="8821">
      <c r="A8821">
        <f>HYPERLINK("https://www.youtube.com/watch?v=8DDgHq9ewOo", "Video")</f>
        <v/>
      </c>
      <c r="B8821" t="inlineStr">
        <is>
          <t>9:13</t>
        </is>
      </c>
      <c r="C8821" t="inlineStr">
        <is>
          <t>that's .1-percent effective
and maybe even a little bit more.</t>
        </is>
      </c>
      <c r="D8821">
        <f>HYPERLINK("https://www.youtube.com/watch?v=8DDgHq9ewOo&amp;t=553s", "Go to time")</f>
        <v/>
      </c>
    </row>
    <row r="8822">
      <c r="A8822">
        <f>HYPERLINK("https://www.youtube.com/watch?v=_8g8BnICrco", "Video")</f>
        <v/>
      </c>
      <c r="B8822" t="inlineStr">
        <is>
          <t>2:45</t>
        </is>
      </c>
      <c r="C8822" t="inlineStr">
        <is>
          <t>It feels a little bit
like a game of gotcha,</t>
        </is>
      </c>
      <c r="D8822">
        <f>HYPERLINK("https://www.youtube.com/watch?v=_8g8BnICrco&amp;t=165s", "Go to time")</f>
        <v/>
      </c>
    </row>
    <row r="8823">
      <c r="A8823">
        <f>HYPERLINK("https://www.youtube.com/watch?v=xgZC6da4mco", "Video")</f>
        <v/>
      </c>
      <c r="B8823" t="inlineStr">
        <is>
          <t>2:09</t>
        </is>
      </c>
      <c r="C8823" t="inlineStr">
        <is>
          <t>are getting a little bit freaked out,
I would say, is a fair definition,</t>
        </is>
      </c>
      <c r="D8823">
        <f>HYPERLINK("https://www.youtube.com/watch?v=xgZC6da4mco&amp;t=129s", "Go to time")</f>
        <v/>
      </c>
    </row>
    <row r="8824">
      <c r="A8824">
        <f>HYPERLINK("https://www.youtube.com/watch?v=xgZC6da4mco", "Video")</f>
        <v/>
      </c>
      <c r="B8824" t="inlineStr">
        <is>
          <t>16:06</t>
        </is>
      </c>
      <c r="C8824" t="inlineStr">
        <is>
          <t>to get that little bit out.</t>
        </is>
      </c>
      <c r="D8824">
        <f>HYPERLINK("https://www.youtube.com/watch?v=xgZC6da4mco&amp;t=966s", "Go to time")</f>
        <v/>
      </c>
    </row>
    <row r="8825">
      <c r="A8825">
        <f>HYPERLINK("https://www.youtube.com/watch?v=xgZC6da4mco", "Video")</f>
        <v/>
      </c>
      <c r="B8825" t="inlineStr">
        <is>
          <t>20:26</t>
        </is>
      </c>
      <c r="C8825" t="inlineStr">
        <is>
          <t>ought to be prohibited from taking
part in the COP process.</t>
        </is>
      </c>
      <c r="D8825">
        <f>HYPERLINK("https://www.youtube.com/watch?v=xgZC6da4mco&amp;t=1226s", "Go to time")</f>
        <v/>
      </c>
    </row>
    <row r="8826">
      <c r="A8826">
        <f>HYPERLINK("https://www.youtube.com/watch?v=SNHUu7YkNjA", "Video")</f>
        <v/>
      </c>
      <c r="B8826" t="inlineStr">
        <is>
          <t>8:31</t>
        </is>
      </c>
      <c r="C8826" t="inlineStr">
        <is>
          <t>stalling out a bit we have a very hard</t>
        </is>
      </c>
      <c r="D8826">
        <f>HYPERLINK("https://www.youtube.com/watch?v=SNHUu7YkNjA&amp;t=511s", "Go to time")</f>
        <v/>
      </c>
    </row>
    <row r="8827">
      <c r="A8827">
        <f>HYPERLINK("https://www.youtube.com/watch?v=SNHUu7YkNjA", "Video")</f>
        <v/>
      </c>
      <c r="B8827" t="inlineStr">
        <is>
          <t>9:50</t>
        </is>
      </c>
      <c r="C8827" t="inlineStr">
        <is>
          <t>of habitable land which</t>
        </is>
      </c>
      <c r="D8827">
        <f>HYPERLINK("https://www.youtube.com/watch?v=SNHUu7YkNjA&amp;t=590s", "Go to time")</f>
        <v/>
      </c>
    </row>
    <row r="8828">
      <c r="A8828">
        <f>HYPERLINK("https://www.youtube.com/watch?v=SNHUu7YkNjA", "Video")</f>
        <v/>
      </c>
      <c r="B8828" t="inlineStr">
        <is>
          <t>10:14</t>
        </is>
      </c>
      <c r="C8828" t="inlineStr">
        <is>
          <t>and spell out a bit more clearly that</t>
        </is>
      </c>
      <c r="D8828">
        <f>HYPERLINK("https://www.youtube.com/watch?v=SNHUu7YkNjA&amp;t=614s", "Go to time")</f>
        <v/>
      </c>
    </row>
    <row r="8829">
      <c r="A8829">
        <f>HYPERLINK("https://www.youtube.com/watch?v=SNHUu7YkNjA", "Video")</f>
        <v/>
      </c>
      <c r="B8829" t="inlineStr">
        <is>
          <t>25:27</t>
        </is>
      </c>
      <c r="C8829" t="inlineStr">
        <is>
          <t>argument there a bit of a push back on</t>
        </is>
      </c>
      <c r="D8829">
        <f>HYPERLINK("https://www.youtube.com/watch?v=SNHUu7YkNjA&amp;t=1527s", "Go to time")</f>
        <v/>
      </c>
    </row>
    <row r="8830">
      <c r="A8830">
        <f>HYPERLINK("https://www.youtube.com/watch?v=SNHUu7YkNjA", "Video")</f>
        <v/>
      </c>
      <c r="B8830" t="inlineStr">
        <is>
          <t>55:43</t>
        </is>
      </c>
      <c r="C8830" t="inlineStr">
        <is>
          <t>um and I think that it's a little bit</t>
        </is>
      </c>
      <c r="D8830">
        <f>HYPERLINK("https://www.youtube.com/watch?v=SNHUu7YkNjA&amp;t=3343s", "Go to time")</f>
        <v/>
      </c>
    </row>
    <row r="8831">
      <c r="A8831">
        <f>HYPERLINK("https://www.youtube.com/watch?v=SNHUu7YkNjA", "Video")</f>
        <v/>
      </c>
      <c r="B8831" t="inlineStr">
        <is>
          <t>64:13</t>
        </is>
      </c>
      <c r="C8831" t="inlineStr">
        <is>
          <t>all into context it becomes a little bit</t>
        </is>
      </c>
      <c r="D8831">
        <f>HYPERLINK("https://www.youtube.com/watch?v=SNHUu7YkNjA&amp;t=3853s", "Go to time")</f>
        <v/>
      </c>
    </row>
    <row r="8832">
      <c r="A8832">
        <f>HYPERLINK("https://www.youtube.com/watch?v=kqItMybTKTo", "Video")</f>
        <v/>
      </c>
      <c r="B8832" t="inlineStr">
        <is>
          <t>6:29</t>
        </is>
      </c>
      <c r="C8832" t="inlineStr">
        <is>
          <t>It might take you
a bit of sifting to find it.</t>
        </is>
      </c>
      <c r="D8832">
        <f>HYPERLINK("https://www.youtube.com/watch?v=kqItMybTKTo&amp;t=389s", "Go to time")</f>
        <v/>
      </c>
    </row>
    <row r="8833">
      <c r="A8833">
        <f>HYPERLINK("https://www.youtube.com/watch?v=kqItMybTKTo", "Video")</f>
        <v/>
      </c>
      <c r="B8833" t="inlineStr">
        <is>
          <t>7:30</t>
        </is>
      </c>
      <c r="C8833" t="inlineStr">
        <is>
          <t>and it was a little bit easier
to get up off the floor.</t>
        </is>
      </c>
      <c r="D8833">
        <f>HYPERLINK("https://www.youtube.com/watch?v=kqItMybTKTo&amp;t=450s", "Go to time")</f>
        <v/>
      </c>
    </row>
    <row r="8834">
      <c r="A8834">
        <f>HYPERLINK("https://www.youtube.com/watch?v=kqItMybTKTo", "Video")</f>
        <v/>
      </c>
      <c r="B8834" t="inlineStr">
        <is>
          <t>12:04</t>
        </is>
      </c>
      <c r="C8834" t="inlineStr">
        <is>
          <t>In my experience, people will exhibit
mind-blowing creativity</t>
        </is>
      </c>
      <c r="D8834">
        <f>HYPERLINK("https://www.youtube.com/watch?v=kqItMybTKTo&amp;t=724s", "Go to time")</f>
        <v/>
      </c>
    </row>
    <row r="8835">
      <c r="A8835">
        <f>HYPERLINK("https://www.youtube.com/watch?v=IqcuV11xp0U", "Video")</f>
        <v/>
      </c>
      <c r="B8835" t="inlineStr">
        <is>
          <t>0:17</t>
        </is>
      </c>
      <c r="C8835" t="inlineStr">
        <is>
          <t>China has announced plans
for an inhabited South Pole station</t>
        </is>
      </c>
      <c r="D8835">
        <f>HYPERLINK("https://www.youtube.com/watch?v=IqcuV11xp0U&amp;t=17s", "Go to time")</f>
        <v/>
      </c>
    </row>
    <row r="8836">
      <c r="A8836">
        <f>HYPERLINK("https://www.youtube.com/watch?v=N0vRIqeoefs", "Video")</f>
        <v/>
      </c>
      <c r="B8836" t="inlineStr">
        <is>
          <t>1:51</t>
        </is>
      </c>
      <c r="C8836" t="inlineStr">
        <is>
          <t>I thought it was a bit like me
when I was a little girl.</t>
        </is>
      </c>
      <c r="D8836">
        <f>HYPERLINK("https://www.youtube.com/watch?v=N0vRIqeoefs&amp;t=111s", "Go to time")</f>
        <v/>
      </c>
    </row>
    <row r="8837">
      <c r="A8837">
        <f>HYPERLINK("https://www.youtube.com/watch?v=4fOWQfzWHbc", "Video")</f>
        <v/>
      </c>
      <c r="B8837" t="inlineStr">
        <is>
          <t>2:56</t>
        </is>
      </c>
      <c r="C8837" t="inlineStr">
        <is>
          <t>And this gives you
a bit of sense of scale.</t>
        </is>
      </c>
      <c r="D8837">
        <f>HYPERLINK("https://www.youtube.com/watch?v=4fOWQfzWHbc&amp;t=176s", "Go to time")</f>
        <v/>
      </c>
    </row>
    <row r="8838">
      <c r="A8838">
        <f>HYPERLINK("https://www.youtube.com/watch?v=4fOWQfzWHbc", "Video")</f>
        <v/>
      </c>
      <c r="B8838" t="inlineStr">
        <is>
          <t>3:46</t>
        </is>
      </c>
      <c r="C8838" t="inlineStr">
        <is>
          <t>That's not a hobbit
from "Lord of the Rings,"</t>
        </is>
      </c>
      <c r="D8838">
        <f>HYPERLINK("https://www.youtube.com/watch?v=4fOWQfzWHbc&amp;t=226s", "Go to time")</f>
        <v/>
      </c>
    </row>
    <row r="8839">
      <c r="A8839">
        <f>HYPERLINK("https://www.youtube.com/watch?v=Ix8Cz-veat4", "Video")</f>
        <v/>
      </c>
      <c r="B8839" t="inlineStr">
        <is>
          <t>7:24</t>
        </is>
      </c>
      <c r="C8839" t="inlineStr">
        <is>
          <t>having to give up that little bit
of data about themselves</t>
        </is>
      </c>
      <c r="D8839">
        <f>HYPERLINK("https://www.youtube.com/watch?v=Ix8Cz-veat4&amp;t=444s", "Go to time")</f>
        <v/>
      </c>
    </row>
    <row r="8840">
      <c r="A8840">
        <f>HYPERLINK("https://www.youtube.com/watch?v=cXbXNV9-ZAg", "Video")</f>
        <v/>
      </c>
      <c r="B8840" t="inlineStr">
        <is>
          <t>2:44</t>
        </is>
      </c>
      <c r="C8840" t="inlineStr">
        <is>
          <t>Now, I recognize it's a bit of a trope</t>
        </is>
      </c>
      <c r="D8840">
        <f>HYPERLINK("https://www.youtube.com/watch?v=cXbXNV9-ZAg&amp;t=164s", "Go to time")</f>
        <v/>
      </c>
    </row>
    <row r="8841">
      <c r="A8841">
        <f>HYPERLINK("https://www.youtube.com/watch?v=cXbXNV9-ZAg", "Video")</f>
        <v/>
      </c>
      <c r="B8841" t="inlineStr">
        <is>
          <t>6:22</t>
        </is>
      </c>
      <c r="C8841" t="inlineStr">
        <is>
          <t>and I learn a little bit more</t>
        </is>
      </c>
      <c r="D8841">
        <f>HYPERLINK("https://www.youtube.com/watch?v=cXbXNV9-ZAg&amp;t=382s", "Go to time")</f>
        <v/>
      </c>
    </row>
    <row r="8842">
      <c r="A8842">
        <f>HYPERLINK("https://www.youtube.com/watch?v=xjvTIP7pV20", "Video")</f>
        <v/>
      </c>
      <c r="B8842" t="inlineStr">
        <is>
          <t>1:17</t>
        </is>
      </c>
      <c r="C8842" t="inlineStr">
        <is>
          <t>I taught a little bit of math
and a little bit of art,</t>
        </is>
      </c>
      <c r="D8842">
        <f>HYPERLINK("https://www.youtube.com/watch?v=xjvTIP7pV20&amp;t=77s", "Go to time")</f>
        <v/>
      </c>
    </row>
    <row r="8843">
      <c r="A8843">
        <f>HYPERLINK("https://www.youtube.com/watch?v=pOdIn86ZM1E", "Video")</f>
        <v/>
      </c>
      <c r="B8843" t="inlineStr">
        <is>
          <t>2:27</t>
        </is>
      </c>
      <c r="C8843" t="inlineStr">
        <is>
          <t>this effect could be quite a bit smaller,</t>
        </is>
      </c>
      <c r="D8843">
        <f>HYPERLINK("https://www.youtube.com/watch?v=pOdIn86ZM1E&amp;t=147s", "Go to time")</f>
        <v/>
      </c>
    </row>
    <row r="8844">
      <c r="A8844">
        <f>HYPERLINK("https://www.youtube.com/watch?v=pOdIn86ZM1E", "Video")</f>
        <v/>
      </c>
      <c r="B8844" t="inlineStr">
        <is>
          <t>2:52</t>
        </is>
      </c>
      <c r="C8844" t="inlineStr">
        <is>
          <t>So let's step back
and talk a little bit more</t>
        </is>
      </c>
      <c r="D8844">
        <f>HYPERLINK("https://www.youtube.com/watch?v=pOdIn86ZM1E&amp;t=172s", "Go to time")</f>
        <v/>
      </c>
    </row>
    <row r="8845">
      <c r="A8845">
        <f>HYPERLINK("https://www.youtube.com/watch?v=pOdIn86ZM1E", "Video")</f>
        <v/>
      </c>
      <c r="B8845" t="inlineStr">
        <is>
          <t>5:12</t>
        </is>
      </c>
      <c r="C8845" t="inlineStr">
        <is>
          <t>aerosol additions to clouds
can make them quite a bit brighter.</t>
        </is>
      </c>
      <c r="D8845">
        <f>HYPERLINK("https://www.youtube.com/watch?v=pOdIn86ZM1E&amp;t=312s", "Go to time")</f>
        <v/>
      </c>
    </row>
    <row r="8846">
      <c r="A8846">
        <f>HYPERLINK("https://www.youtube.com/watch?v=NO_XHEBJXOY", "Video")</f>
        <v/>
      </c>
      <c r="B8846" t="inlineStr">
        <is>
          <t>0:53</t>
        </is>
      </c>
      <c r="C8846" t="inlineStr">
        <is>
          <t>After all, microbes are Earth's original
and most adaptable inhabitants.</t>
        </is>
      </c>
      <c r="D8846">
        <f>HYPERLINK("https://www.youtube.com/watch?v=NO_XHEBJXOY&amp;t=53s", "Go to time")</f>
        <v/>
      </c>
    </row>
    <row r="8847">
      <c r="A8847">
        <f>HYPERLINK("https://www.youtube.com/watch?v=NO_XHEBJXOY", "Video")</f>
        <v/>
      </c>
      <c r="B8847" t="inlineStr">
        <is>
          <t>3:32</t>
        </is>
      </c>
      <c r="C8847" t="inlineStr">
        <is>
          <t>during habitat restoration.</t>
        </is>
      </c>
      <c r="D8847">
        <f>HYPERLINK("https://www.youtube.com/watch?v=NO_XHEBJXOY&amp;t=212s", "Go to time")</f>
        <v/>
      </c>
    </row>
    <row r="8848">
      <c r="A8848">
        <f>HYPERLINK("https://www.youtube.com/watch?v=NO_XHEBJXOY", "Video")</f>
        <v/>
      </c>
      <c r="B8848" t="inlineStr">
        <is>
          <t>6:31</t>
        </is>
      </c>
      <c r="C8848" t="inlineStr">
        <is>
          <t>from different habitats
in Southern California.</t>
        </is>
      </c>
      <c r="D8848">
        <f>HYPERLINK("https://www.youtube.com/watch?v=NO_XHEBJXOY&amp;t=391s", "Go to time")</f>
        <v/>
      </c>
    </row>
    <row r="8849">
      <c r="A8849">
        <f>HYPERLINK("https://www.youtube.com/watch?v=NO_XHEBJXOY", "Video")</f>
        <v/>
      </c>
      <c r="B8849" t="inlineStr">
        <is>
          <t>6:46</t>
        </is>
      </c>
      <c r="C8849" t="inlineStr">
        <is>
          <t>We then put the cages back
into the different habitats</t>
        </is>
      </c>
      <c r="D8849">
        <f>HYPERLINK("https://www.youtube.com/watch?v=NO_XHEBJXOY&amp;t=406s", "Go to time")</f>
        <v/>
      </c>
    </row>
    <row r="8850">
      <c r="A8850">
        <f>HYPERLINK("https://www.youtube.com/watch?v=CkFnqGHZ5tA", "Video")</f>
        <v/>
      </c>
      <c r="B8850" t="inlineStr">
        <is>
          <t>0:25</t>
        </is>
      </c>
      <c r="C8850" t="inlineStr">
        <is>
          <t>After a little bit of experimentation,</t>
        </is>
      </c>
      <c r="D8850">
        <f>HYPERLINK("https://www.youtube.com/watch?v=CkFnqGHZ5tA&amp;t=25s", "Go to time")</f>
        <v/>
      </c>
    </row>
    <row r="8851">
      <c r="A8851">
        <f>HYPERLINK("https://www.youtube.com/watch?v=CkFnqGHZ5tA", "Video")</f>
        <v/>
      </c>
      <c r="B8851" t="inlineStr">
        <is>
          <t>11:16</t>
        </is>
      </c>
      <c r="C8851" t="inlineStr">
        <is>
          <t>and a bit of artificial intelligence
for difficulty and balance.</t>
        </is>
      </c>
      <c r="D8851">
        <f>HYPERLINK("https://www.youtube.com/watch?v=CkFnqGHZ5tA&amp;t=676s", "Go to time")</f>
        <v/>
      </c>
    </row>
    <row r="8852">
      <c r="A8852">
        <f>HYPERLINK("https://www.youtube.com/watch?v=P7vnspDNx7g", "Video")</f>
        <v/>
      </c>
      <c r="B8852" t="inlineStr">
        <is>
          <t>1:38</t>
        </is>
      </c>
      <c r="C8852" t="inlineStr">
        <is>
          <t>as more raw and bitter.</t>
        </is>
      </c>
      <c r="D8852">
        <f>HYPERLINK("https://www.youtube.com/watch?v=P7vnspDNx7g&amp;t=98s", "Go to time")</f>
        <v/>
      </c>
    </row>
    <row r="8853">
      <c r="A8853">
        <f>HYPERLINK("https://www.youtube.com/watch?v=P7vnspDNx7g", "Video")</f>
        <v/>
      </c>
      <c r="B8853" t="inlineStr">
        <is>
          <t>3:45</t>
        </is>
      </c>
      <c r="C8853" t="inlineStr">
        <is>
          <t>That's salty, sour,
bitter, sweet and umami.</t>
        </is>
      </c>
      <c r="D8853">
        <f>HYPERLINK("https://www.youtube.com/watch?v=P7vnspDNx7g&amp;t=225s", "Go to time")</f>
        <v/>
      </c>
    </row>
    <row r="8854">
      <c r="A8854">
        <f>HYPERLINK("https://www.youtube.com/watch?v=mLufqwmPl1A", "Video")</f>
        <v/>
      </c>
      <c r="B8854" t="inlineStr">
        <is>
          <t>4:14</t>
        </is>
      </c>
      <c r="C8854" t="inlineStr">
        <is>
          <t>and at the university,
things were a bit too bureaucratic,</t>
        </is>
      </c>
      <c r="D8854">
        <f>HYPERLINK("https://www.youtube.com/watch?v=mLufqwmPl1A&amp;t=254s", "Go to time")</f>
        <v/>
      </c>
    </row>
    <row r="8855">
      <c r="A8855">
        <f>HYPERLINK("https://www.youtube.com/watch?v=mLufqwmPl1A", "Video")</f>
        <v/>
      </c>
      <c r="B8855" t="inlineStr">
        <is>
          <t>4:49</t>
        </is>
      </c>
      <c r="C8855" t="inlineStr">
        <is>
          <t>It's a bit like a gym,
so you come in, you pay,</t>
        </is>
      </c>
      <c r="D8855">
        <f>HYPERLINK("https://www.youtube.com/watch?v=mLufqwmPl1A&amp;t=289s", "Go to time")</f>
        <v/>
      </c>
    </row>
    <row r="8856">
      <c r="A8856">
        <f>HYPERLINK("https://www.youtube.com/watch?v=mLufqwmPl1A", "Video")</f>
        <v/>
      </c>
      <c r="B8856" t="inlineStr">
        <is>
          <t>5:47</t>
        </is>
      </c>
      <c r="C8856" t="inlineStr">
        <is>
          <t>really much easier,
because they're able to pay a little bit,</t>
        </is>
      </c>
      <c r="D8856">
        <f>HYPERLINK("https://www.youtube.com/watch?v=mLufqwmPl1A&amp;t=347s", "Go to time")</f>
        <v/>
      </c>
    </row>
    <row r="8857">
      <c r="A8857">
        <f>HYPERLINK("https://www.youtube.com/watch?v=d4Cy16uOdLM", "Video")</f>
        <v/>
      </c>
      <c r="B8857" t="inlineStr">
        <is>
          <t>4:24</t>
        </is>
      </c>
      <c r="C8857" t="inlineStr">
        <is>
          <t>JD: Atoms, not bits.</t>
        </is>
      </c>
      <c r="D8857">
        <f>HYPERLINK("https://www.youtube.com/watch?v=d4Cy16uOdLM&amp;t=264s", "Go to time")</f>
        <v/>
      </c>
    </row>
    <row r="8858">
      <c r="A8858">
        <f>HYPERLINK("https://www.youtube.com/watch?v=d4Cy16uOdLM", "Video")</f>
        <v/>
      </c>
      <c r="B8858" t="inlineStr">
        <is>
          <t>4:25</t>
        </is>
      </c>
      <c r="C8858" t="inlineStr">
        <is>
          <t>HH: Atoms, not bits. Perfect.</t>
        </is>
      </c>
      <c r="D8858">
        <f>HYPERLINK("https://www.youtube.com/watch?v=d4Cy16uOdLM&amp;t=265s", "Go to time")</f>
        <v/>
      </c>
    </row>
    <row r="8859">
      <c r="A8859">
        <f>HYPERLINK("https://www.youtube.com/watch?v=a3zPgyvCiJI", "Video")</f>
        <v/>
      </c>
      <c r="B8859" t="inlineStr">
        <is>
          <t>1:10</t>
        </is>
      </c>
      <c r="C8859" t="inlineStr">
        <is>
          <t>I just felt a little bit aimless
and a little bit joyless.</t>
        </is>
      </c>
      <c r="D8859">
        <f>HYPERLINK("https://www.youtube.com/watch?v=a3zPgyvCiJI&amp;t=70s", "Go to time")</f>
        <v/>
      </c>
    </row>
    <row r="8860">
      <c r="A8860">
        <f>HYPERLINK("https://www.youtube.com/watch?v=Rw7TWQ-Rt2Q", "Video")</f>
        <v/>
      </c>
      <c r="B8860" t="inlineStr">
        <is>
          <t>2:43</t>
        </is>
      </c>
      <c r="C8860" t="inlineStr">
        <is>
          <t>You want to create great habits
while you pursue your goals.</t>
        </is>
      </c>
      <c r="D8860">
        <f>HYPERLINK("https://www.youtube.com/watch?v=Rw7TWQ-Rt2Q&amp;t=163s", "Go to time")</f>
        <v/>
      </c>
    </row>
    <row r="8861">
      <c r="A8861">
        <f>HYPERLINK("https://www.youtube.com/watch?v=0bRocfcPhHU", "Video")</f>
        <v/>
      </c>
      <c r="B8861" t="inlineStr">
        <is>
          <t>0:21</t>
        </is>
      </c>
      <c r="C8861" t="inlineStr">
        <is>
          <t>so it was a bit terrifying.</t>
        </is>
      </c>
      <c r="D8861">
        <f>HYPERLINK("https://www.youtube.com/watch?v=0bRocfcPhHU&amp;t=21s", "Go to time")</f>
        <v/>
      </c>
    </row>
    <row r="8862">
      <c r="A8862">
        <f>HYPERLINK("https://www.youtube.com/watch?v=0bRocfcPhHU", "Video")</f>
        <v/>
      </c>
      <c r="B8862" t="inlineStr">
        <is>
          <t>3:22</t>
        </is>
      </c>
      <c r="C8862" t="inlineStr">
        <is>
          <t>but they could be programmed
to exhibit collective intelligence,</t>
        </is>
      </c>
      <c r="D8862">
        <f>HYPERLINK("https://www.youtube.com/watch?v=0bRocfcPhHU&amp;t=202s", "Go to time")</f>
        <v/>
      </c>
    </row>
    <row r="8863">
      <c r="A8863">
        <f>HYPERLINK("https://www.youtube.com/watch?v=tS2aI-c3Q8A", "Video")</f>
        <v/>
      </c>
      <c r="B8863" t="inlineStr">
        <is>
          <t>1:17</t>
        </is>
      </c>
      <c r="C8863" t="inlineStr">
        <is>
          <t>It was a nervous habit,</t>
        </is>
      </c>
      <c r="D8863">
        <f>HYPERLINK("https://www.youtube.com/watch?v=tS2aI-c3Q8A&amp;t=77s", "Go to time")</f>
        <v/>
      </c>
    </row>
    <row r="8864">
      <c r="A8864">
        <f>HYPERLINK("https://www.youtube.com/watch?v=tS2aI-c3Q8A", "Video")</f>
        <v/>
      </c>
      <c r="B8864" t="inlineStr">
        <is>
          <t>2:49</t>
        </is>
      </c>
      <c r="C8864" t="inlineStr">
        <is>
          <t>we have routines and habits --</t>
        </is>
      </c>
      <c r="D8864">
        <f>HYPERLINK("https://www.youtube.com/watch?v=tS2aI-c3Q8A&amp;t=169s", "Go to time")</f>
        <v/>
      </c>
    </row>
    <row r="8865">
      <c r="A8865">
        <f>HYPERLINK("https://www.youtube.com/watch?v=tS2aI-c3Q8A", "Video")</f>
        <v/>
      </c>
      <c r="B8865" t="inlineStr">
        <is>
          <t>6:35</t>
        </is>
      </c>
      <c r="C8865" t="inlineStr">
        <is>
          <t>So this may seem like a bit of a stretch,</t>
        </is>
      </c>
      <c r="D8865">
        <f>HYPERLINK("https://www.youtube.com/watch?v=tS2aI-c3Q8A&amp;t=395s", "Go to time")</f>
        <v/>
      </c>
    </row>
    <row r="8866">
      <c r="A8866">
        <f>HYPERLINK("https://www.youtube.com/watch?v=G7PydoX_WNQ", "Video")</f>
        <v/>
      </c>
      <c r="B8866" t="inlineStr">
        <is>
          <t>1:46</t>
        </is>
      </c>
      <c r="C8866" t="inlineStr">
        <is>
          <t>This allows our brain to know
what's sweet and what's bitter.</t>
        </is>
      </c>
      <c r="D8866">
        <f>HYPERLINK("https://www.youtube.com/watch?v=G7PydoX_WNQ&amp;t=106s", "Go to time")</f>
        <v/>
      </c>
    </row>
    <row r="8867">
      <c r="A8867">
        <f>HYPERLINK("https://www.youtube.com/watch?v=UL95OYBRbOc", "Video")</f>
        <v/>
      </c>
      <c r="B8867" t="inlineStr">
        <is>
          <t>2:18</t>
        </is>
      </c>
      <c r="C8867" t="inlineStr">
        <is>
          <t>It's also where they were installing
a new exhibition on slavery in America.</t>
        </is>
      </c>
      <c r="D8867">
        <f>HYPERLINK("https://www.youtube.com/watch?v=UL95OYBRbOc&amp;t=138s", "Go to time")</f>
        <v/>
      </c>
    </row>
    <row r="8868">
      <c r="A8868">
        <f>HYPERLINK("https://www.youtube.com/watch?v=UL95OYBRbOc", "Video")</f>
        <v/>
      </c>
      <c r="B8868" t="inlineStr">
        <is>
          <t>2:25</t>
        </is>
      </c>
      <c r="C8868" t="inlineStr">
        <is>
          <t>Christian instructed me to do something
I thought was a little bit strange.</t>
        </is>
      </c>
      <c r="D8868">
        <f>HYPERLINK("https://www.youtube.com/watch?v=UL95OYBRbOc&amp;t=145s", "Go to time")</f>
        <v/>
      </c>
    </row>
    <row r="8869">
      <c r="A8869">
        <f>HYPERLINK("https://www.youtube.com/watch?v=UL95OYBRbOc", "Video")</f>
        <v/>
      </c>
      <c r="B8869" t="inlineStr">
        <is>
          <t>8:03</t>
        </is>
      </c>
      <c r="C8869" t="inlineStr">
        <is>
          <t>and he actually managed
to accumulate a fair bit of land.</t>
        </is>
      </c>
      <c r="D8869">
        <f>HYPERLINK("https://www.youtube.com/watch?v=UL95OYBRbOc&amp;t=483s", "Go to time")</f>
        <v/>
      </c>
    </row>
    <row r="8870">
      <c r="A8870">
        <f>HYPERLINK("https://www.youtube.com/watch?v=PaItY5i9i0k", "Video")</f>
        <v/>
      </c>
      <c r="B8870" t="inlineStr">
        <is>
          <t>0:53</t>
        </is>
      </c>
      <c r="C8870" t="inlineStr">
        <is>
          <t>habitat loss, fragmented populations
and wildlife diseases.</t>
        </is>
      </c>
      <c r="D8870">
        <f>HYPERLINK("https://www.youtube.com/watch?v=PaItY5i9i0k&amp;t=53s", "Go to time")</f>
        <v/>
      </c>
    </row>
    <row r="8871">
      <c r="A8871">
        <f>HYPERLINK("https://www.youtube.com/watch?v=PaItY5i9i0k", "Video")</f>
        <v/>
      </c>
      <c r="B8871" t="inlineStr">
        <is>
          <t>1:28</t>
        </is>
      </c>
      <c r="C8871" t="inlineStr">
        <is>
          <t>That is, until their habitat was converted
to ranches and farmland.</t>
        </is>
      </c>
      <c r="D8871">
        <f>HYPERLINK("https://www.youtube.com/watch?v=PaItY5i9i0k&amp;t=88s", "Go to time")</f>
        <v/>
      </c>
    </row>
    <row r="8872">
      <c r="A8872">
        <f>HYPERLINK("https://www.youtube.com/watch?v=qKJv4S5peJQ", "Video")</f>
        <v/>
      </c>
      <c r="B8872" t="inlineStr">
        <is>
          <t>4:21</t>
        </is>
      </c>
      <c r="C8872" t="inlineStr">
        <is>
          <t>and trying to inhibit the information
coming from the ignored one.</t>
        </is>
      </c>
      <c r="D8872">
        <f>HYPERLINK("https://www.youtube.com/watch?v=qKJv4S5peJQ&amp;t=261s", "Go to time")</f>
        <v/>
      </c>
    </row>
    <row r="8873">
      <c r="A8873">
        <f>HYPERLINK("https://www.youtube.com/watch?v=qKJv4S5peJQ", "Video")</f>
        <v/>
      </c>
      <c r="B8873" t="inlineStr">
        <is>
          <t>4:38</t>
        </is>
      </c>
      <c r="C8873" t="inlineStr">
        <is>
          <t>So a person with ADHD
cannot inhibit these distractors,</t>
        </is>
      </c>
      <c r="D8873">
        <f>HYPERLINK("https://www.youtube.com/watch?v=qKJv4S5peJQ&amp;t=278s", "Go to time")</f>
        <v/>
      </c>
    </row>
    <row r="8874">
      <c r="A8874">
        <f>HYPERLINK("https://www.youtube.com/watch?v=qKJv4S5peJQ", "Video")</f>
        <v/>
      </c>
      <c r="B8874" t="inlineStr">
        <is>
          <t>5:01</t>
        </is>
      </c>
      <c r="C8874" t="inlineStr">
        <is>
          <t>to inhibit these distractors?</t>
        </is>
      </c>
      <c r="D8874">
        <f>HYPERLINK("https://www.youtube.com/watch?v=qKJv4S5peJQ&amp;t=301s", "Go to time")</f>
        <v/>
      </c>
    </row>
    <row r="8875">
      <c r="A8875">
        <f>HYPERLINK("https://www.youtube.com/watch?v=nFEgRt2EH1g", "Video")</f>
        <v/>
      </c>
      <c r="B8875" t="inlineStr">
        <is>
          <t>7:17</t>
        </is>
      </c>
      <c r="C8875" t="inlineStr">
        <is>
          <t>They just receive at low frequencies,
a bit like your FM radio or your TV.</t>
        </is>
      </c>
      <c r="D8875">
        <f>HYPERLINK("https://www.youtube.com/watch?v=nFEgRt2EH1g&amp;t=437s", "Go to time")</f>
        <v/>
      </c>
    </row>
    <row r="8876">
      <c r="A8876">
        <f>HYPERLINK("https://www.youtube.com/watch?v=nFEgRt2EH1g", "Video")</f>
        <v/>
      </c>
      <c r="B8876" t="inlineStr">
        <is>
          <t>12:15</t>
        </is>
      </c>
      <c r="C8876" t="inlineStr">
        <is>
          <t>and occasionally, when a star
or a cloud of gas comes into their orbit,</t>
        </is>
      </c>
      <c r="D8876">
        <f>HYPERLINK("https://www.youtube.com/watch?v=nFEgRt2EH1g&amp;t=735s", "Go to time")</f>
        <v/>
      </c>
    </row>
    <row r="8877">
      <c r="A8877">
        <f>HYPERLINK("https://www.youtube.com/watch?v=nFEgRt2EH1g", "Video")</f>
        <v/>
      </c>
      <c r="B8877" t="inlineStr">
        <is>
          <t>12:50</t>
        </is>
      </c>
      <c r="C8877" t="inlineStr">
        <is>
          <t>It's a little bit smaller,
and that's just because it's further away.</t>
        </is>
      </c>
      <c r="D8877">
        <f>HYPERLINK("https://www.youtube.com/watch?v=nFEgRt2EH1g&amp;t=770s", "Go to time")</f>
        <v/>
      </c>
    </row>
    <row r="8878">
      <c r="A8878">
        <f>HYPERLINK("https://www.youtube.com/watch?v=b28brIs1OmM", "Video")</f>
        <v/>
      </c>
      <c r="B8878" t="inlineStr">
        <is>
          <t>11:24</t>
        </is>
      </c>
      <c r="C8878" t="inlineStr">
        <is>
          <t>In the West, it seems like ambitious women
often compare themselves to other women</t>
        </is>
      </c>
      <c r="D8878">
        <f>HYPERLINK("https://www.youtube.com/watch?v=b28brIs1OmM&amp;t=684s", "Go to time")</f>
        <v/>
      </c>
    </row>
    <row r="8879">
      <c r="A8879">
        <f>HYPERLINK("https://www.youtube.com/watch?v=kn-5H9p24oo", "Video")</f>
        <v/>
      </c>
      <c r="B8879" t="inlineStr">
        <is>
          <t>8:50</t>
        </is>
      </c>
      <c r="C8879" t="inlineStr">
        <is>
          <t>but a child who exhibits a growth mindset</t>
        </is>
      </c>
      <c r="D8879">
        <f>HYPERLINK("https://www.youtube.com/watch?v=kn-5H9p24oo&amp;t=530s", "Go to time")</f>
        <v/>
      </c>
    </row>
    <row r="8880">
      <c r="A8880">
        <f>HYPERLINK("https://www.youtube.com/watch?v=8IGZ_M0OOmA", "Video")</f>
        <v/>
      </c>
      <c r="B8880" t="inlineStr">
        <is>
          <t>10:55</t>
        </is>
      </c>
      <c r="C8880" t="inlineStr">
        <is>
          <t>And so I wan to talk a little bit today
about Color Of Change,</t>
        </is>
      </c>
      <c r="D8880">
        <f>HYPERLINK("https://www.youtube.com/watch?v=8IGZ_M0OOmA&amp;t=655s", "Go to time")</f>
        <v/>
      </c>
    </row>
    <row r="8881">
      <c r="A8881">
        <f>HYPERLINK("https://www.youtube.com/watch?v=8IGZ_M0OOmA", "Video")</f>
        <v/>
      </c>
      <c r="B8881" t="inlineStr">
        <is>
          <t>14:33</t>
        </is>
      </c>
      <c r="C8881" t="inlineStr">
        <is>
          <t>and Phillip talked
a little bit about this,</t>
        </is>
      </c>
      <c r="D8881">
        <f>HYPERLINK("https://www.youtube.com/watch?v=8IGZ_M0OOmA&amp;t=873s", "Go to time")</f>
        <v/>
      </c>
    </row>
    <row r="8882">
      <c r="A8882">
        <f>HYPERLINK("https://www.youtube.com/watch?v=dcsrHfPDP2M", "Video")</f>
        <v/>
      </c>
      <c r="B8882" t="inlineStr">
        <is>
          <t>3:45</t>
        </is>
      </c>
      <c r="C8882" t="inlineStr">
        <is>
          <t>maybe even a little bit sexy.</t>
        </is>
      </c>
      <c r="D8882">
        <f>HYPERLINK("https://www.youtube.com/watch?v=dcsrHfPDP2M&amp;t=225s", "Go to time")</f>
        <v/>
      </c>
    </row>
    <row r="8883">
      <c r="A8883">
        <f>HYPERLINK("https://www.youtube.com/watch?v=dcsrHfPDP2M", "Video")</f>
        <v/>
      </c>
      <c r="B8883" t="inlineStr">
        <is>
          <t>3:51</t>
        </is>
      </c>
      <c r="C8883" t="inlineStr">
        <is>
          <t>all of a sudden it's a bit taboo.</t>
        </is>
      </c>
      <c r="D8883">
        <f>HYPERLINK("https://www.youtube.com/watch?v=dcsrHfPDP2M&amp;t=231s", "Go to time")</f>
        <v/>
      </c>
    </row>
    <row r="8884">
      <c r="A8884">
        <f>HYPERLINK("https://www.youtube.com/watch?v=dcsrHfPDP2M", "Video")</f>
        <v/>
      </c>
      <c r="B8884" t="inlineStr">
        <is>
          <t>6:54</t>
        </is>
      </c>
      <c r="C8884" t="inlineStr">
        <is>
          <t>This word micropigmentation
is a little bit misleading.</t>
        </is>
      </c>
      <c r="D8884">
        <f>HYPERLINK("https://www.youtube.com/watch?v=dcsrHfPDP2M&amp;t=414s", "Go to time")</f>
        <v/>
      </c>
    </row>
    <row r="8885">
      <c r="A8885">
        <f>HYPERLINK("https://www.youtube.com/watch?v=dcsrHfPDP2M", "Video")</f>
        <v/>
      </c>
      <c r="B8885" t="inlineStr">
        <is>
          <t>7:18</t>
        </is>
      </c>
      <c r="C8885" t="inlineStr">
        <is>
          <t>a bit less scary.</t>
        </is>
      </c>
      <c r="D8885">
        <f>HYPERLINK("https://www.youtube.com/watch?v=dcsrHfPDP2M&amp;t=438s", "Go to time")</f>
        <v/>
      </c>
    </row>
    <row r="8886">
      <c r="A8886">
        <f>HYPERLINK("https://www.youtube.com/watch?v=Ji4sq73W7BM", "Video")</f>
        <v/>
      </c>
      <c r="B8886" t="inlineStr">
        <is>
          <t>5:51</t>
        </is>
      </c>
      <c r="C8886" t="inlineStr">
        <is>
          <t>It was a bit of a departure for me,</t>
        </is>
      </c>
      <c r="D8886">
        <f>HYPERLINK("https://www.youtube.com/watch?v=Ji4sq73W7BM&amp;t=351s", "Go to time")</f>
        <v/>
      </c>
    </row>
    <row r="8887">
      <c r="A8887">
        <f>HYPERLINK("https://www.youtube.com/watch?v=Ji4sq73W7BM", "Video")</f>
        <v/>
      </c>
      <c r="B8887" t="inlineStr">
        <is>
          <t>8:42</t>
        </is>
      </c>
      <c r="C8887" t="inlineStr">
        <is>
          <t>And that simple bit of layering
led me to have a conversation with him</t>
        </is>
      </c>
      <c r="D8887">
        <f>HYPERLINK("https://www.youtube.com/watch?v=Ji4sq73W7BM&amp;t=522s", "Go to time")</f>
        <v/>
      </c>
    </row>
    <row r="8888">
      <c r="A8888">
        <f>HYPERLINK("https://www.youtube.com/watch?v=RIpz9GiEAyc", "Video")</f>
        <v/>
      </c>
      <c r="B8888" t="inlineStr">
        <is>
          <t>2:24</t>
        </is>
      </c>
      <c r="C8888" t="inlineStr">
        <is>
          <t>As I dove deeper down
the "Serial" rabbit hole,</t>
        </is>
      </c>
      <c r="D8888">
        <f>HYPERLINK("https://www.youtube.com/watch?v=RIpz9GiEAyc&amp;t=144s", "Go to time")</f>
        <v/>
      </c>
    </row>
    <row r="8889">
      <c r="A8889">
        <f>HYPERLINK("https://www.youtube.com/watch?v=ngk7VVyveu8", "Video")</f>
        <v/>
      </c>
      <c r="B8889" t="inlineStr">
        <is>
          <t>6:20</t>
        </is>
      </c>
      <c r="C8889" t="inlineStr">
        <is>
          <t>because their lives
will become a bit easier.</t>
        </is>
      </c>
      <c r="D8889">
        <f>HYPERLINK("https://www.youtube.com/watch?v=ngk7VVyveu8&amp;t=380s", "Go to time")</f>
        <v/>
      </c>
    </row>
    <row r="8890">
      <c r="A8890">
        <f>HYPERLINK("https://www.youtube.com/watch?v=ngk7VVyveu8", "Video")</f>
        <v/>
      </c>
      <c r="B8890" t="inlineStr">
        <is>
          <t>7:02</t>
        </is>
      </c>
      <c r="C8890" t="inlineStr">
        <is>
          <t>And in return, their lives
were made a little bit easier.</t>
        </is>
      </c>
      <c r="D8890">
        <f>HYPERLINK("https://www.youtube.com/watch?v=ngk7VVyveu8&amp;t=422s", "Go to time")</f>
        <v/>
      </c>
    </row>
    <row r="8891">
      <c r="A8891">
        <f>HYPERLINK("https://www.youtube.com/watch?v=DJGreSgaOTc", "Video")</f>
        <v/>
      </c>
      <c r="B8891" t="inlineStr">
        <is>
          <t>5:02</t>
        </is>
      </c>
      <c r="C8891" t="inlineStr">
        <is>
          <t>I think at some point
it'll collapse a little bit</t>
        </is>
      </c>
      <c r="D8891">
        <f>HYPERLINK("https://www.youtube.com/watch?v=DJGreSgaOTc&amp;t=302s", "Go to time")</f>
        <v/>
      </c>
    </row>
    <row r="8892">
      <c r="A8892">
        <f>HYPERLINK("https://www.youtube.com/watch?v=DJGreSgaOTc", "Video")</f>
        <v/>
      </c>
      <c r="B8892" t="inlineStr">
        <is>
          <t>14:20</t>
        </is>
      </c>
      <c r="C8892" t="inlineStr">
        <is>
          <t>It's getting a little bit disturbing.</t>
        </is>
      </c>
      <c r="D8892">
        <f>HYPERLINK("https://www.youtube.com/watch?v=DJGreSgaOTc&amp;t=860s", "Go to time")</f>
        <v/>
      </c>
    </row>
    <row r="8893">
      <c r="A8893">
        <f>HYPERLINK("https://www.youtube.com/watch?v=4zLmWpMDY8Q", "Video")</f>
        <v/>
      </c>
      <c r="B8893" t="inlineStr">
        <is>
          <t>10:52</t>
        </is>
      </c>
      <c r="C8893" t="inlineStr">
        <is>
          <t>into Earth orbit,</t>
        </is>
      </c>
      <c r="D8893">
        <f>HYPERLINK("https://www.youtube.com/watch?v=4zLmWpMDY8Q&amp;t=652s", "Go to time")</f>
        <v/>
      </c>
    </row>
    <row r="8894">
      <c r="A8894">
        <f>HYPERLINK("https://www.youtube.com/watch?v=ZcrnN-A2c60", "Video")</f>
        <v/>
      </c>
      <c r="B8894" t="inlineStr">
        <is>
          <t>3:54</t>
        </is>
      </c>
      <c r="C8894" t="inlineStr">
        <is>
          <t>that do everything
from monitor our exercise habits</t>
        </is>
      </c>
      <c r="D8894">
        <f>HYPERLINK("https://www.youtube.com/watch?v=ZcrnN-A2c60&amp;t=234s", "Go to time")</f>
        <v/>
      </c>
    </row>
    <row r="8895">
      <c r="A8895">
        <f>HYPERLINK("https://www.youtube.com/watch?v=ZcrnN-A2c60", "Video")</f>
        <v/>
      </c>
      <c r="B8895" t="inlineStr">
        <is>
          <t>7:22</t>
        </is>
      </c>
      <c r="C8895" t="inlineStr">
        <is>
          <t>And if you think that sounds
a little bit paranoid,</t>
        </is>
      </c>
      <c r="D8895">
        <f>HYPERLINK("https://www.youtube.com/watch?v=ZcrnN-A2c60&amp;t=442s", "Go to time")</f>
        <v/>
      </c>
    </row>
    <row r="8896">
      <c r="A8896">
        <f>HYPERLINK("https://www.youtube.com/watch?v=ZcrnN-A2c60", "Video")</f>
        <v/>
      </c>
      <c r="B8896" t="inlineStr">
        <is>
          <t>8:44</t>
        </is>
      </c>
      <c r="C8896" t="inlineStr">
        <is>
          <t>it's pretty easy to go down
dystopian rabbit holes,</t>
        </is>
      </c>
      <c r="D8896">
        <f>HYPERLINK("https://www.youtube.com/watch?v=ZcrnN-A2c60&amp;t=524s", "Go to time")</f>
        <v/>
      </c>
    </row>
    <row r="8897">
      <c r="A8897">
        <f>HYPERLINK("https://www.youtube.com/watch?v=fkFkm_ymego", "Video")</f>
        <v/>
      </c>
      <c r="B8897" t="inlineStr">
        <is>
          <t>1:39</t>
        </is>
      </c>
      <c r="C8897" t="inlineStr">
        <is>
          <t>they'd also have to protect
their habitats --</t>
        </is>
      </c>
      <c r="D8897">
        <f>HYPERLINK("https://www.youtube.com/watch?v=fkFkm_ymego&amp;t=99s", "Go to time")</f>
        <v/>
      </c>
    </row>
    <row r="8898">
      <c r="A8898">
        <f>HYPERLINK("https://www.youtube.com/watch?v=fkFkm_ymego", "Video")</f>
        <v/>
      </c>
      <c r="B8898" t="inlineStr">
        <is>
          <t>6:41</t>
        </is>
      </c>
      <c r="C8898" t="inlineStr">
        <is>
          <t>with players in their habitats.</t>
        </is>
      </c>
      <c r="D8898">
        <f>HYPERLINK("https://www.youtube.com/watch?v=fkFkm_ymego&amp;t=401s", "Go to time")</f>
        <v/>
      </c>
    </row>
    <row r="8899">
      <c r="A8899">
        <f>HYPERLINK("https://www.youtube.com/watch?v=aRcD31sA2a0", "Video")</f>
        <v/>
      </c>
      <c r="B8899" t="inlineStr">
        <is>
          <t>9:35</t>
        </is>
      </c>
      <c r="C8899" t="inlineStr">
        <is>
          <t>it can look a bit like you might
be better off out of it rather than in it.</t>
        </is>
      </c>
      <c r="D8899">
        <f>HYPERLINK("https://www.youtube.com/watch?v=aRcD31sA2a0&amp;t=575s", "Go to time")</f>
        <v/>
      </c>
    </row>
    <row r="8900">
      <c r="A8900">
        <f>HYPERLINK("https://www.youtube.com/watch?v=oNBvC25bxQU", "Video")</f>
        <v/>
      </c>
      <c r="B8900" t="inlineStr">
        <is>
          <t>9:52</t>
        </is>
      </c>
      <c r="C8900" t="inlineStr">
        <is>
          <t>And I think intuition
is a little bit the opposite of fear,</t>
        </is>
      </c>
      <c r="D8900">
        <f>HYPERLINK("https://www.youtube.com/watch?v=oNBvC25bxQU&amp;t=592s", "Go to time")</f>
        <v/>
      </c>
    </row>
    <row r="8901">
      <c r="A8901">
        <f>HYPERLINK("https://www.youtube.com/watch?v=oNBvC25bxQU", "Video")</f>
        <v/>
      </c>
      <c r="B8901" t="inlineStr">
        <is>
          <t>17:58</t>
        </is>
      </c>
      <c r="C8901" t="inlineStr">
        <is>
          <t>that causes you to want to look
at something just a tiny bit closer,</t>
        </is>
      </c>
      <c r="D8901">
        <f>HYPERLINK("https://www.youtube.com/watch?v=oNBvC25bxQU&amp;t=1078s", "Go to time")</f>
        <v/>
      </c>
    </row>
    <row r="8902">
      <c r="A8902">
        <f>HYPERLINK("https://www.youtube.com/watch?v=oNBvC25bxQU", "Video")</f>
        <v/>
      </c>
      <c r="B8902" t="inlineStr">
        <is>
          <t>19:42</t>
        </is>
      </c>
      <c r="C8902" t="inlineStr">
        <is>
          <t>you have to isolate
a little bit from the news.</t>
        </is>
      </c>
      <c r="D8902">
        <f>HYPERLINK("https://www.youtube.com/watch?v=oNBvC25bxQU&amp;t=1182s", "Go to time")</f>
        <v/>
      </c>
    </row>
    <row r="8903">
      <c r="A8903">
        <f>HYPERLINK("https://www.youtube.com/watch?v=oNBvC25bxQU", "Video")</f>
        <v/>
      </c>
      <c r="B8903" t="inlineStr">
        <is>
          <t>29:15</t>
        </is>
      </c>
      <c r="C8903" t="inlineStr">
        <is>
          <t>I think my screen needs to move a bit.</t>
        </is>
      </c>
      <c r="D8903">
        <f>HYPERLINK("https://www.youtube.com/watch?v=oNBvC25bxQU&amp;t=1755s", "Go to time")</f>
        <v/>
      </c>
    </row>
    <row r="8904">
      <c r="A8904">
        <f>HYPERLINK("https://www.youtube.com/watch?v=oNBvC25bxQU", "Video")</f>
        <v/>
      </c>
      <c r="B8904" t="inlineStr">
        <is>
          <t>33:39</t>
        </is>
      </c>
      <c r="C8904" t="inlineStr">
        <is>
          <t>without inhabiting it yourself so much</t>
        </is>
      </c>
      <c r="D8904">
        <f>HYPERLINK("https://www.youtube.com/watch?v=oNBvC25bxQU&amp;t=2019s", "Go to time")</f>
        <v/>
      </c>
    </row>
    <row r="8905">
      <c r="A8905">
        <f>HYPERLINK("https://www.youtube.com/watch?v=oNBvC25bxQU", "Video")</f>
        <v/>
      </c>
      <c r="B8905" t="inlineStr">
        <is>
          <t>47:50</t>
        </is>
      </c>
      <c r="C8905" t="inlineStr">
        <is>
          <t>One thing that I'm noticing
that I'm, like, a little bit amused by</t>
        </is>
      </c>
      <c r="D8905">
        <f>HYPERLINK("https://www.youtube.com/watch?v=oNBvC25bxQU&amp;t=2870s", "Go to time")</f>
        <v/>
      </c>
    </row>
    <row r="8906">
      <c r="A8906">
        <f>HYPERLINK("https://www.youtube.com/watch?v=oNBvC25bxQU", "Video")</f>
        <v/>
      </c>
      <c r="B8906" t="inlineStr">
        <is>
          <t>52:49</t>
        </is>
      </c>
      <c r="C8906" t="inlineStr">
        <is>
          <t>and maybe carry that forward a little bit.</t>
        </is>
      </c>
      <c r="D8906">
        <f>HYPERLINK("https://www.youtube.com/watch?v=oNBvC25bxQU&amp;t=3169s", "Go to time")</f>
        <v/>
      </c>
    </row>
    <row r="8907">
      <c r="A8907">
        <f>HYPERLINK("https://www.youtube.com/watch?v=cGxybNBWy1U", "Video")</f>
        <v/>
      </c>
      <c r="B8907" t="inlineStr">
        <is>
          <t>2:49</t>
        </is>
      </c>
      <c r="C8907" t="inlineStr">
        <is>
          <t>in an uninhibited environment.</t>
        </is>
      </c>
      <c r="D8907">
        <f>HYPERLINK("https://www.youtube.com/watch?v=cGxybNBWy1U&amp;t=169s", "Go to time")</f>
        <v/>
      </c>
    </row>
    <row r="8908">
      <c r="A8908">
        <f>HYPERLINK("https://www.youtube.com/watch?v=jN-Atdqqpgw", "Video")</f>
        <v/>
      </c>
      <c r="B8908" t="inlineStr">
        <is>
          <t>0:52</t>
        </is>
      </c>
      <c r="C8908" t="inlineStr">
        <is>
          <t>And I'll tell you a little bit about why.</t>
        </is>
      </c>
      <c r="D8908">
        <f>HYPERLINK("https://www.youtube.com/watch?v=jN-Atdqqpgw&amp;t=52s", "Go to time")</f>
        <v/>
      </c>
    </row>
    <row r="8909">
      <c r="A8909">
        <f>HYPERLINK("https://www.youtube.com/watch?v=vc-n852sv3E", "Video")</f>
        <v/>
      </c>
      <c r="B8909" t="inlineStr">
        <is>
          <t>1:52</t>
        </is>
      </c>
      <c r="C8909" t="inlineStr">
        <is>
          <t>why prohibiting the sex industry
actually exacerbates every harm</t>
        </is>
      </c>
      <c r="D8909">
        <f>HYPERLINK("https://www.youtube.com/watch?v=vc-n852sv3E&amp;t=112s", "Go to time")</f>
        <v/>
      </c>
    </row>
    <row r="8910">
      <c r="A8910">
        <f>HYPERLINK("https://www.youtube.com/watch?v=vc-n852sv3E", "Video")</f>
        <v/>
      </c>
      <c r="B8910" t="inlineStr">
        <is>
          <t>5:02</t>
        </is>
      </c>
      <c r="C8910" t="inlineStr">
        <is>
          <t>The prohibition of street prostitution
also causes more harm</t>
        </is>
      </c>
      <c r="D8910">
        <f>HYPERLINK("https://www.youtube.com/watch?v=vc-n852sv3E&amp;t=302s", "Go to time")</f>
        <v/>
      </c>
    </row>
    <row r="8911">
      <c r="A8911">
        <f>HYPERLINK("https://www.youtube.com/watch?v=vc-n852sv3E", "Video")</f>
        <v/>
      </c>
      <c r="B8911" t="inlineStr">
        <is>
          <t>9:43</t>
        </is>
      </c>
      <c r="C8911" t="inlineStr">
        <is>
          <t>If prohibition is this harmful,</t>
        </is>
      </c>
      <c r="D8911">
        <f>HYPERLINK("https://www.youtube.com/watch?v=vc-n852sv3E&amp;t=583s", "Go to time")</f>
        <v/>
      </c>
    </row>
    <row r="8912">
      <c r="A8912">
        <f>HYPERLINK("https://www.youtube.com/watch?v=vc-n852sv3E", "Video")</f>
        <v/>
      </c>
      <c r="B8912" t="inlineStr">
        <is>
          <t>10:04</t>
        </is>
      </c>
      <c r="C8912" t="inlineStr">
        <is>
          <t>and punished through prohibitionist law.</t>
        </is>
      </c>
      <c r="D8912">
        <f>HYPERLINK("https://www.youtube.com/watch?v=vc-n852sv3E&amp;t=604s", "Go to time")</f>
        <v/>
      </c>
    </row>
    <row r="8913">
      <c r="A8913">
        <f>HYPERLINK("https://www.youtube.com/watch?v=vc-n852sv3E", "Video")</f>
        <v/>
      </c>
      <c r="B8913" t="inlineStr">
        <is>
          <t>10:16</t>
        </is>
      </c>
      <c r="C8913" t="inlineStr">
        <is>
          <t>Why else might people support prohibition?</t>
        </is>
      </c>
      <c r="D8913">
        <f>HYPERLINK("https://www.youtube.com/watch?v=vc-n852sv3E&amp;t=616s", "Go to time")</f>
        <v/>
      </c>
    </row>
    <row r="8914">
      <c r="A8914">
        <f>HYPERLINK("https://www.youtube.com/watch?v=vc-n852sv3E", "Video")</f>
        <v/>
      </c>
      <c r="B8914" t="inlineStr">
        <is>
          <t>11:28</t>
        </is>
      </c>
      <c r="C8914" t="inlineStr">
        <is>
          <t>that these people smugglers
demand exorbitant fees,</t>
        </is>
      </c>
      <c r="D8914">
        <f>HYPERLINK("https://www.youtube.com/watch?v=vc-n852sv3E&amp;t=688s", "Go to time")</f>
        <v/>
      </c>
    </row>
    <row r="8915">
      <c r="A8915">
        <f>HYPERLINK("https://www.youtube.com/watch?v=vc-n852sv3E", "Video")</f>
        <v/>
      </c>
      <c r="B8915" t="inlineStr">
        <is>
          <t>12:03</t>
        </is>
      </c>
      <c r="C8915" t="inlineStr">
        <is>
          <t>If you try to prohibit something
that people want or need to do,</t>
        </is>
      </c>
      <c r="D8915">
        <f>HYPERLINK("https://www.youtube.com/watch?v=vc-n852sv3E&amp;t=723s", "Go to time")</f>
        <v/>
      </c>
    </row>
    <row r="8916">
      <c r="A8916">
        <f>HYPERLINK("https://www.youtube.com/watch?v=vc-n852sv3E", "Video")</f>
        <v/>
      </c>
      <c r="B8916" t="inlineStr">
        <is>
          <t>12:16</t>
        </is>
      </c>
      <c r="C8916" t="inlineStr">
        <is>
          <t>Prohibition barely makes a difference</t>
        </is>
      </c>
      <c r="D8916">
        <f>HYPERLINK("https://www.youtube.com/watch?v=vc-n852sv3E&amp;t=736s", "Go to time")</f>
        <v/>
      </c>
    </row>
    <row r="8917">
      <c r="A8917">
        <f>HYPERLINK("https://www.youtube.com/watch?v=vc-n852sv3E", "Video")</f>
        <v/>
      </c>
      <c r="B8917" t="inlineStr">
        <is>
          <t>12:25</t>
        </is>
      </c>
      <c r="C8917" t="inlineStr">
        <is>
          <t>Why else might people support prohibition?</t>
        </is>
      </c>
      <c r="D8917">
        <f>HYPERLINK("https://www.youtube.com/watch?v=vc-n852sv3E&amp;t=745s", "Go to time")</f>
        <v/>
      </c>
    </row>
    <row r="8918">
      <c r="A8918">
        <f>HYPERLINK("https://www.youtube.com/watch?v=vc-n852sv3E", "Video")</f>
        <v/>
      </c>
      <c r="B8918" t="inlineStr">
        <is>
          <t>12:43</t>
        </is>
      </c>
      <c r="C8918" t="inlineStr">
        <is>
          <t>and still think prohibition
is a terrible policy.</t>
        </is>
      </c>
      <c r="D8918">
        <f>HYPERLINK("https://www.youtube.com/watch?v=vc-n852sv3E&amp;t=763s", "Go to time")</f>
        <v/>
      </c>
    </row>
    <row r="8919">
      <c r="A8919">
        <f>HYPERLINK("https://www.youtube.com/watch?v=wmE8dQcZgB4", "Video")</f>
        <v/>
      </c>
      <c r="B8919" t="inlineStr">
        <is>
          <t>8:23</t>
        </is>
      </c>
      <c r="C8919" t="inlineStr">
        <is>
          <t>I'm a bit of a mathematical purist.</t>
        </is>
      </c>
      <c r="D8919">
        <f>HYPERLINK("https://www.youtube.com/watch?v=wmE8dQcZgB4&amp;t=503s", "Go to time")</f>
        <v/>
      </c>
    </row>
    <row r="8920">
      <c r="A8920">
        <f>HYPERLINK("https://www.youtube.com/watch?v=5z_krRwSyt8", "Video")</f>
        <v/>
      </c>
      <c r="B8920" t="inlineStr">
        <is>
          <t>3:07</t>
        </is>
      </c>
      <c r="C8920" t="inlineStr">
        <is>
          <t>which we're a bit more familiar with --
it gives us electricity in our homes --</t>
        </is>
      </c>
      <c r="D8920">
        <f>HYPERLINK("https://www.youtube.com/watch?v=5z_krRwSyt8&amp;t=187s", "Go to time")</f>
        <v/>
      </c>
    </row>
    <row r="8921">
      <c r="A8921">
        <f>HYPERLINK("https://www.youtube.com/watch?v=5z_krRwSyt8", "Video")</f>
        <v/>
      </c>
      <c r="B8921" t="inlineStr">
        <is>
          <t>3:59</t>
        </is>
      </c>
      <c r="C8921" t="inlineStr">
        <is>
          <t>it's a bit like someone's
just snapped their fingers,</t>
        </is>
      </c>
      <c r="D8921">
        <f>HYPERLINK("https://www.youtube.com/watch?v=5z_krRwSyt8&amp;t=239s", "Go to time")</f>
        <v/>
      </c>
    </row>
    <row r="8922">
      <c r="A8922">
        <f>HYPERLINK("https://www.youtube.com/watch?v=iw7nPE2jioU", "Video")</f>
        <v/>
      </c>
      <c r="B8922" t="inlineStr">
        <is>
          <t>7:46</t>
        </is>
      </c>
      <c r="C8922" t="inlineStr">
        <is>
          <t>This goal is urgent,
it's necessary, it's ambitious.</t>
        </is>
      </c>
      <c r="D8922">
        <f>HYPERLINK("https://www.youtube.com/watch?v=iw7nPE2jioU&amp;t=466s", "Go to time")</f>
        <v/>
      </c>
    </row>
    <row r="8923">
      <c r="A8923">
        <f>HYPERLINK("https://www.youtube.com/watch?v=iw7nPE2jioU", "Video")</f>
        <v/>
      </c>
      <c r="B8923" t="inlineStr">
        <is>
          <t>8:30</t>
        </is>
      </c>
      <c r="C8923" t="inlineStr">
        <is>
          <t>So if we can take these ideas
and add a little bit of seed money,</t>
        </is>
      </c>
      <c r="D8923">
        <f>HYPERLINK("https://www.youtube.com/watch?v=iw7nPE2jioU&amp;t=510s", "Go to time")</f>
        <v/>
      </c>
    </row>
    <row r="8924">
      <c r="A8924">
        <f>HYPERLINK("https://www.youtube.com/watch?v=iw7nPE2jioU", "Video")</f>
        <v/>
      </c>
      <c r="B8924" t="inlineStr">
        <is>
          <t>10:41</t>
        </is>
      </c>
      <c r="C8924" t="inlineStr">
        <is>
          <t>So with a mentor
and a bit of seed funding,</t>
        </is>
      </c>
      <c r="D8924">
        <f>HYPERLINK("https://www.youtube.com/watch?v=iw7nPE2jioU&amp;t=641s", "Go to time")</f>
        <v/>
      </c>
    </row>
    <row r="8925">
      <c r="A8925">
        <f>HYPERLINK("https://www.youtube.com/watch?v=_uUskajC1Ps", "Video")</f>
        <v/>
      </c>
      <c r="B8925" t="inlineStr">
        <is>
          <t>4:50</t>
        </is>
      </c>
      <c r="C8925" t="inlineStr">
        <is>
          <t>and how we're kind of leaning into
a little bit more of a debate style</t>
        </is>
      </c>
      <c r="D8925">
        <f>HYPERLINK("https://www.youtube.com/watch?v=_uUskajC1Ps&amp;t=290s", "Go to time")</f>
        <v/>
      </c>
    </row>
    <row r="8926">
      <c r="A8926">
        <f>HYPERLINK("https://www.youtube.com/watch?v=_uUskajC1Ps", "Video")</f>
        <v/>
      </c>
      <c r="B8926" t="inlineStr">
        <is>
          <t>5:16</t>
        </is>
      </c>
      <c r="C8926" t="inlineStr">
        <is>
          <t>CA: Right. So this is really
a bit of a new development for TED,</t>
        </is>
      </c>
      <c r="D8926">
        <f>HYPERLINK("https://www.youtube.com/watch?v=_uUskajC1Ps&amp;t=316s", "Go to time")</f>
        <v/>
      </c>
    </row>
    <row r="8927">
      <c r="A8927">
        <f>HYPERLINK("https://www.youtube.com/watch?v=_uUskajC1Ps", "Video")</f>
        <v/>
      </c>
      <c r="B8927" t="inlineStr">
        <is>
          <t>18:28</t>
        </is>
      </c>
      <c r="C8927" t="inlineStr">
        <is>
          <t>So it's a bit like a kind of
an IPO moment for a nonprofit.</t>
        </is>
      </c>
      <c r="D8927">
        <f>HYPERLINK("https://www.youtube.com/watch?v=_uUskajC1Ps&amp;t=1108s", "Go to time")</f>
        <v/>
      </c>
    </row>
    <row r="8928">
      <c r="A8928">
        <f>HYPERLINK("https://www.youtube.com/watch?v=_uUskajC1Ps", "Video")</f>
        <v/>
      </c>
      <c r="B8928" t="inlineStr">
        <is>
          <t>19:25</t>
        </is>
      </c>
      <c r="C8928" t="inlineStr">
        <is>
          <t>doing my bit to dream,</t>
        </is>
      </c>
      <c r="D8928">
        <f>HYPERLINK("https://www.youtube.com/watch?v=_uUskajC1Ps&amp;t=1165s", "Go to time")</f>
        <v/>
      </c>
    </row>
    <row r="8929">
      <c r="A8929">
        <f>HYPERLINK("https://www.youtube.com/watch?v=K926HAKRFvw", "Video")</f>
        <v/>
      </c>
      <c r="B8929" t="inlineStr">
        <is>
          <t>5:26</t>
        </is>
      </c>
      <c r="C8929" t="inlineStr">
        <is>
          <t>If you stimulate a bit more,
the gait accelerates.</t>
        </is>
      </c>
      <c r="D8929">
        <f>HYPERLINK("https://www.youtube.com/watch?v=K926HAKRFvw&amp;t=326s", "Go to time")</f>
        <v/>
      </c>
    </row>
    <row r="8930">
      <c r="A8930">
        <f>HYPERLINK("https://www.youtube.com/watch?v=K926HAKRFvw", "Video")</f>
        <v/>
      </c>
      <c r="B8930" t="inlineStr">
        <is>
          <t>9:43</t>
        </is>
      </c>
      <c r="C8930" t="inlineStr">
        <is>
          <t>So a simple geometrical system
that kind of coordinates a bit</t>
        </is>
      </c>
      <c r="D8930">
        <f>HYPERLINK("https://www.youtube.com/watch?v=K926HAKRFvw&amp;t=583s", "Go to time")</f>
        <v/>
      </c>
    </row>
    <row r="8931">
      <c r="A8931">
        <f>HYPERLINK("https://www.youtube.com/watch?v=K926HAKRFvw", "Video")</f>
        <v/>
      </c>
      <c r="B8931" t="inlineStr">
        <is>
          <t>10:19</t>
        </is>
      </c>
      <c r="C8931" t="inlineStr">
        <is>
          <t>It looks a bit like a toy,</t>
        </is>
      </c>
      <c r="D8931">
        <f>HYPERLINK("https://www.youtube.com/watch?v=K926HAKRFvw&amp;t=619s", "Go to time")</f>
        <v/>
      </c>
    </row>
    <row r="8932">
      <c r="A8932">
        <f>HYPERLINK("https://www.youtube.com/watch?v=K926HAKRFvw", "Video")</f>
        <v/>
      </c>
      <c r="B8932" t="inlineStr">
        <is>
          <t>10:39</t>
        </is>
      </c>
      <c r="C8932" t="inlineStr">
        <is>
          <t>And you also see a bit these properties</t>
        </is>
      </c>
      <c r="D8932">
        <f>HYPERLINK("https://www.youtube.com/watch?v=K926HAKRFvw&amp;t=639s", "Go to time")</f>
        <v/>
      </c>
    </row>
    <row r="8933">
      <c r="A8933">
        <f>HYPERLINK("https://www.youtube.com/watch?v=K926HAKRFvw", "Video")</f>
        <v/>
      </c>
      <c r="B8933" t="inlineStr">
        <is>
          <t>11:02</t>
        </is>
      </c>
      <c r="C8933" t="inlineStr">
        <is>
          <t>To the extent that we can even
disturb a bit locomotion,</t>
        </is>
      </c>
      <c r="D8933">
        <f>HYPERLINK("https://www.youtube.com/watch?v=K926HAKRFvw&amp;t=662s", "Go to time")</f>
        <v/>
      </c>
    </row>
    <row r="8934">
      <c r="A8934">
        <f>HYPERLINK("https://www.youtube.com/watch?v=K926HAKRFvw", "Video")</f>
        <v/>
      </c>
      <c r="B8934" t="inlineStr">
        <is>
          <t>13:52</t>
        </is>
      </c>
      <c r="C8934" t="inlineStr">
        <is>
          <t>AI: Yeah, we should probably
change the appearance quite a bit,</t>
        </is>
      </c>
      <c r="D8934">
        <f>HYPERLINK("https://www.youtube.com/watch?v=K926HAKRFvw&amp;t=832s", "Go to time")</f>
        <v/>
      </c>
    </row>
    <row r="8935">
      <c r="A8935">
        <f>HYPERLINK("https://www.youtube.com/watch?v=RX8jJ9dfMuQ", "Video")</f>
        <v/>
      </c>
      <c r="B8935" t="inlineStr">
        <is>
          <t>1:55</t>
        </is>
      </c>
      <c r="C8935" t="inlineStr">
        <is>
          <t>Barriers such as lack of ambition,</t>
        </is>
      </c>
      <c r="D8935">
        <f>HYPERLINK("https://www.youtube.com/watch?v=RX8jJ9dfMuQ&amp;t=115s", "Go to time")</f>
        <v/>
      </c>
    </row>
    <row r="8936">
      <c r="A8936">
        <f>HYPERLINK("https://www.youtube.com/watch?v=RX8jJ9dfMuQ", "Video")</f>
        <v/>
      </c>
      <c r="B8936" t="inlineStr">
        <is>
          <t>2:54</t>
        </is>
      </c>
      <c r="C8936" t="inlineStr">
        <is>
          <t>I want to tell you a little bit more
about some of those groups.</t>
        </is>
      </c>
      <c r="D8936">
        <f>HYPERLINK("https://www.youtube.com/watch?v=RX8jJ9dfMuQ&amp;t=174s", "Go to time")</f>
        <v/>
      </c>
    </row>
    <row r="8937">
      <c r="A8937">
        <f>HYPERLINK("https://www.youtube.com/watch?v=JWRqI2ZRHWQ", "Video")</f>
        <v/>
      </c>
      <c r="B8937" t="inlineStr">
        <is>
          <t>12:25</t>
        </is>
      </c>
      <c r="C8937" t="inlineStr">
        <is>
          <t>I'm currently inhabiting but I'm going</t>
        </is>
      </c>
      <c r="D8937">
        <f>HYPERLINK("https://www.youtube.com/watch?v=JWRqI2ZRHWQ&amp;t=745s", "Go to time")</f>
        <v/>
      </c>
    </row>
    <row r="8938">
      <c r="A8938">
        <f>HYPERLINK("https://www.youtube.com/watch?v=JWRqI2ZRHWQ", "Video")</f>
        <v/>
      </c>
      <c r="B8938" t="inlineStr">
        <is>
          <t>22:29</t>
        </is>
      </c>
      <c r="C8938" t="inlineStr">
        <is>
          <t>and it's a song that is there is a bit</t>
        </is>
      </c>
      <c r="D8938">
        <f>HYPERLINK("https://www.youtube.com/watch?v=JWRqI2ZRHWQ&amp;t=1349s", "Go to time")</f>
        <v/>
      </c>
    </row>
    <row r="8939">
      <c r="A8939">
        <f>HYPERLINK("https://www.youtube.com/watch?v=JWRqI2ZRHWQ", "Video")</f>
        <v/>
      </c>
      <c r="B8939" t="inlineStr">
        <is>
          <t>22:33</t>
        </is>
      </c>
      <c r="C8939" t="inlineStr">
        <is>
          <t>it was a bit of an escape from the thing</t>
        </is>
      </c>
      <c r="D8939">
        <f>HYPERLINK("https://www.youtube.com/watch?v=JWRqI2ZRHWQ&amp;t=1353s", "Go to time")</f>
        <v/>
      </c>
    </row>
    <row r="8940">
      <c r="A8940">
        <f>HYPERLINK("https://www.youtube.com/watch?v=JWRqI2ZRHWQ", "Video")</f>
        <v/>
      </c>
      <c r="B8940" t="inlineStr">
        <is>
          <t>25:20</t>
        </is>
      </c>
      <c r="C8940" t="inlineStr">
        <is>
          <t>we have a little bit of time remaining</t>
        </is>
      </c>
      <c r="D8940">
        <f>HYPERLINK("https://www.youtube.com/watch?v=JWRqI2ZRHWQ&amp;t=1520s", "Go to time")</f>
        <v/>
      </c>
    </row>
    <row r="8941">
      <c r="A8941">
        <f>HYPERLINK("https://www.youtube.com/watch?v=JWRqI2ZRHWQ", "Video")</f>
        <v/>
      </c>
      <c r="B8941" t="inlineStr">
        <is>
          <t>27:27</t>
        </is>
      </c>
      <c r="C8941" t="inlineStr">
        <is>
          <t>little bit shaky I apologize for that I</t>
        </is>
      </c>
      <c r="D8941">
        <f>HYPERLINK("https://www.youtube.com/watch?v=JWRqI2ZRHWQ&amp;t=1647s", "Go to time")</f>
        <v/>
      </c>
    </row>
    <row r="8942">
      <c r="A8942">
        <f>HYPERLINK("https://www.youtube.com/watch?v=i_1_J-T-XYQ", "Video")</f>
        <v/>
      </c>
      <c r="B8942" t="inlineStr">
        <is>
          <t>5:21</t>
        </is>
      </c>
      <c r="C8942" t="inlineStr">
        <is>
          <t>conversation a little bit more I'd love</t>
        </is>
      </c>
      <c r="D8942">
        <f>HYPERLINK("https://www.youtube.com/watch?v=i_1_J-T-XYQ&amp;t=321s", "Go to time")</f>
        <v/>
      </c>
    </row>
    <row r="8943">
      <c r="A8943">
        <f>HYPERLINK("https://www.youtube.com/watch?v=i_1_J-T-XYQ", "Video")</f>
        <v/>
      </c>
      <c r="B8943" t="inlineStr">
        <is>
          <t>5:23</t>
        </is>
      </c>
      <c r="C8943" t="inlineStr">
        <is>
          <t>to just talk a little bit first about</t>
        </is>
      </c>
      <c r="D8943">
        <f>HYPERLINK("https://www.youtube.com/watch?v=i_1_J-T-XYQ&amp;t=323s", "Go to time")</f>
        <v/>
      </c>
    </row>
    <row r="8944">
      <c r="A8944">
        <f>HYPERLINK("https://www.youtube.com/watch?v=i_1_J-T-XYQ", "Video")</f>
        <v/>
      </c>
      <c r="B8944" t="inlineStr">
        <is>
          <t>5:38</t>
        </is>
      </c>
      <c r="C8944" t="inlineStr">
        <is>
          <t>love to hear a little bit more about the</t>
        </is>
      </c>
      <c r="D8944">
        <f>HYPERLINK("https://www.youtube.com/watch?v=i_1_J-T-XYQ&amp;t=338s", "Go to time")</f>
        <v/>
      </c>
    </row>
    <row r="8945">
      <c r="A8945">
        <f>HYPERLINK("https://www.youtube.com/watch?v=i_1_J-T-XYQ", "Video")</f>
        <v/>
      </c>
      <c r="B8945" t="inlineStr">
        <is>
          <t>7:43</t>
        </is>
      </c>
      <c r="C8945" t="inlineStr">
        <is>
          <t>talk about this a little bit about</t>
        </is>
      </c>
      <c r="D8945">
        <f>HYPERLINK("https://www.youtube.com/watch?v=i_1_J-T-XYQ&amp;t=463s", "Go to time")</f>
        <v/>
      </c>
    </row>
    <row r="8946">
      <c r="A8946">
        <f>HYPERLINK("https://www.youtube.com/watch?v=i_1_J-T-XYQ", "Video")</f>
        <v/>
      </c>
      <c r="B8946" t="inlineStr">
        <is>
          <t>18:36</t>
        </is>
      </c>
      <c r="C8946" t="inlineStr">
        <is>
          <t>little bit too about you know what might</t>
        </is>
      </c>
      <c r="D8946">
        <f>HYPERLINK("https://www.youtube.com/watch?v=i_1_J-T-XYQ&amp;t=1116s", "Go to time")</f>
        <v/>
      </c>
    </row>
    <row r="8947">
      <c r="A8947">
        <f>HYPERLINK("https://www.youtube.com/watch?v=61yMFm40lIA", "Video")</f>
        <v/>
      </c>
      <c r="B8947" t="inlineStr">
        <is>
          <t>0:11</t>
        </is>
      </c>
      <c r="C8947" t="inlineStr">
        <is>
          <t>Ambitious and eager to impress,</t>
        </is>
      </c>
      <c r="D8947">
        <f>HYPERLINK("https://www.youtube.com/watch?v=61yMFm40lIA&amp;t=11s", "Go to time")</f>
        <v/>
      </c>
    </row>
    <row r="8948">
      <c r="A8948">
        <f>HYPERLINK("https://www.youtube.com/watch?v=61yMFm40lIA", "Video")</f>
        <v/>
      </c>
      <c r="B8948" t="inlineStr">
        <is>
          <t>5:29</t>
        </is>
      </c>
      <c r="C8948" t="inlineStr">
        <is>
          <t>And that's showing up
in our spending habits.</t>
        </is>
      </c>
      <c r="D8948">
        <f>HYPERLINK("https://www.youtube.com/watch?v=61yMFm40lIA&amp;t=329s", "Go to time")</f>
        <v/>
      </c>
    </row>
    <row r="8949">
      <c r="A8949">
        <f>HYPERLINK("https://www.youtube.com/watch?v=5cWkKwGUt3g", "Video")</f>
        <v/>
      </c>
      <c r="B8949" t="inlineStr">
        <is>
          <t>3:42</t>
        </is>
      </c>
      <c r="C8949" t="inlineStr">
        <is>
          <t>My lawyer peeked my ambition,</t>
        </is>
      </c>
      <c r="D8949">
        <f>HYPERLINK("https://www.youtube.com/watch?v=5cWkKwGUt3g&amp;t=222s", "Go to time")</f>
        <v/>
      </c>
    </row>
    <row r="8950">
      <c r="A8950">
        <f>HYPERLINK("https://www.youtube.com/watch?v=5cWkKwGUt3g", "Video")</f>
        <v/>
      </c>
      <c r="B8950" t="inlineStr">
        <is>
          <t>6:56</t>
        </is>
      </c>
      <c r="C8950" t="inlineStr">
        <is>
          <t>a little bit of strawberries up there.</t>
        </is>
      </c>
      <c r="D8950">
        <f>HYPERLINK("https://www.youtube.com/watch?v=5cWkKwGUt3g&amp;t=416s", "Go to time")</f>
        <v/>
      </c>
    </row>
    <row r="8951">
      <c r="A8951">
        <f>HYPERLINK("https://www.youtube.com/watch?v=mhEYvrFOP88", "Video")</f>
        <v/>
      </c>
      <c r="B8951" t="inlineStr">
        <is>
          <t>2:53</t>
        </is>
      </c>
      <c r="C8951" t="inlineStr">
        <is>
          <t>Our second goal -- we were more ambitious,</t>
        </is>
      </c>
      <c r="D8951">
        <f>HYPERLINK("https://www.youtube.com/watch?v=mhEYvrFOP88&amp;t=173s", "Go to time")</f>
        <v/>
      </c>
    </row>
    <row r="8952">
      <c r="A8952">
        <f>HYPERLINK("https://www.youtube.com/watch?v=r9Zz4hYuGdw", "Video")</f>
        <v/>
      </c>
      <c r="B8952" t="inlineStr">
        <is>
          <t>1:40</t>
        </is>
      </c>
      <c r="C8952" t="inlineStr">
        <is>
          <t>to determine the ambition and dreams
for themselves and for their children.</t>
        </is>
      </c>
      <c r="D8952">
        <f>HYPERLINK("https://www.youtube.com/watch?v=r9Zz4hYuGdw&amp;t=100s", "Go to time")</f>
        <v/>
      </c>
    </row>
    <row r="8953">
      <c r="A8953">
        <f>HYPERLINK("https://www.youtube.com/watch?v=6cL5Nud8d7w", "Video")</f>
        <v/>
      </c>
      <c r="B8953" t="inlineStr">
        <is>
          <t>0:57</t>
        </is>
      </c>
      <c r="C8953" t="inlineStr">
        <is>
          <t>A bit of a pretentious term,
it's a little tongue-in-cheek,</t>
        </is>
      </c>
      <c r="D8953">
        <f>HYPERLINK("https://www.youtube.com/watch?v=6cL5Nud8d7w&amp;t=57s", "Go to time")</f>
        <v/>
      </c>
    </row>
    <row r="8954">
      <c r="A8954">
        <f>HYPERLINK("https://www.youtube.com/watch?v=6cL5Nud8d7w", "Video")</f>
        <v/>
      </c>
      <c r="B8954" t="inlineStr">
        <is>
          <t>2:55</t>
        </is>
      </c>
      <c r="C8954" t="inlineStr">
        <is>
          <t>And even this map of Manhattan
is a bit misleading</t>
        </is>
      </c>
      <c r="D8954">
        <f>HYPERLINK("https://www.youtube.com/watch?v=6cL5Nud8d7w&amp;t=175s", "Go to time")</f>
        <v/>
      </c>
    </row>
    <row r="8955">
      <c r="A8955">
        <f>HYPERLINK("https://www.youtube.com/watch?v=6cL5Nud8d7w", "Video")</f>
        <v/>
      </c>
      <c r="B8955" t="inlineStr">
        <is>
          <t>5:47</t>
        </is>
      </c>
      <c r="C8955" t="inlineStr">
        <is>
          <t>And being a driver
can be a bit of a nuisance,</t>
        </is>
      </c>
      <c r="D8955">
        <f>HYPERLINK("https://www.youtube.com/watch?v=6cL5Nud8d7w&amp;t=347s", "Go to time")</f>
        <v/>
      </c>
    </row>
    <row r="8956">
      <c r="A8956">
        <f>HYPERLINK("https://www.youtube.com/watch?v=6cL5Nud8d7w", "Video")</f>
        <v/>
      </c>
      <c r="B8956" t="inlineStr">
        <is>
          <t>5:50</t>
        </is>
      </c>
      <c r="C8956" t="inlineStr">
        <is>
          <t>and being a pedestrian
can be a bit of a nuisance</t>
        </is>
      </c>
      <c r="D8956">
        <f>HYPERLINK("https://www.youtube.com/watch?v=6cL5Nud8d7w&amp;t=350s", "Go to time")</f>
        <v/>
      </c>
    </row>
    <row r="8957">
      <c r="A8957">
        <f>HYPERLINK("https://www.youtube.com/watch?v=gub38Cd4E0g", "Video")</f>
        <v/>
      </c>
      <c r="B8957" t="inlineStr">
        <is>
          <t>2:04</t>
        </is>
      </c>
      <c r="C8957" t="inlineStr">
        <is>
          <t>where I spend time with my family
and also do a bit of work.</t>
        </is>
      </c>
      <c r="D8957">
        <f>HYPERLINK("https://www.youtube.com/watch?v=gub38Cd4E0g&amp;t=124s", "Go to time")</f>
        <v/>
      </c>
    </row>
    <row r="8958">
      <c r="A8958">
        <f>HYPERLINK("https://www.youtube.com/watch?v=sNQfoYm3WI0", "Video")</f>
        <v/>
      </c>
      <c r="B8958" t="inlineStr">
        <is>
          <t>6:05</t>
        </is>
      </c>
      <c r="C8958" t="inlineStr">
        <is>
          <t>a little bit like people
shouting to be heard in a noisy nightclub.</t>
        </is>
      </c>
      <c r="D8958">
        <f>HYPERLINK("https://www.youtube.com/watch?v=sNQfoYm3WI0&amp;t=365s", "Go to time")</f>
        <v/>
      </c>
    </row>
    <row r="8959">
      <c r="A8959">
        <f>HYPERLINK("https://www.youtube.com/watch?v=qMppKiqMpAk", "Video")</f>
        <v/>
      </c>
      <c r="B8959" t="inlineStr">
        <is>
          <t>1:48</t>
        </is>
      </c>
      <c r="C8959" t="inlineStr">
        <is>
          <t>should frighten you,
at least a little bit.</t>
        </is>
      </c>
      <c r="D8959">
        <f>HYPERLINK("https://www.youtube.com/watch?v=qMppKiqMpAk&amp;t=108s", "Go to time")</f>
        <v/>
      </c>
    </row>
    <row r="8960">
      <c r="A8960">
        <f>HYPERLINK("https://www.youtube.com/watch?v=qMppKiqMpAk", "Video")</f>
        <v/>
      </c>
      <c r="B8960" t="inlineStr">
        <is>
          <t>3:21</t>
        </is>
      </c>
      <c r="C8960" t="inlineStr">
        <is>
          <t>that all of the planets
in the solar system are orbiting around.</t>
        </is>
      </c>
      <c r="D8960">
        <f>HYPERLINK("https://www.youtube.com/watch?v=qMppKiqMpAk&amp;t=201s", "Go to time")</f>
        <v/>
      </c>
    </row>
    <row r="8961">
      <c r="A8961">
        <f>HYPERLINK("https://www.youtube.com/watch?v=qMppKiqMpAk", "Video")</f>
        <v/>
      </c>
      <c r="B8961" t="inlineStr">
        <is>
          <t>7:48</t>
        </is>
      </c>
      <c r="C8961" t="inlineStr">
        <is>
          <t>So any planet orbiting a star
that's not our Sun</t>
        </is>
      </c>
      <c r="D8961">
        <f>HYPERLINK("https://www.youtube.com/watch?v=qMppKiqMpAk&amp;t=468s", "Go to time")</f>
        <v/>
      </c>
    </row>
    <row r="8962">
      <c r="A8962">
        <f>HYPERLINK("https://www.youtube.com/watch?v=lwcvhh4pLjE", "Video")</f>
        <v/>
      </c>
      <c r="B8962" t="inlineStr">
        <is>
          <t>3:17</t>
        </is>
      </c>
      <c r="C8962" t="inlineStr">
        <is>
          <t>I've been a lifelong traveler
and a bit of an orphan,</t>
        </is>
      </c>
      <c r="D8962">
        <f>HYPERLINK("https://www.youtube.com/watch?v=lwcvhh4pLjE&amp;t=197s", "Go to time")</f>
        <v/>
      </c>
    </row>
    <row r="8963">
      <c r="A8963">
        <f>HYPERLINK("https://www.youtube.com/watch?v=lwcvhh4pLjE", "Video")</f>
        <v/>
      </c>
      <c r="B8963" t="inlineStr">
        <is>
          <t>6:39</t>
        </is>
      </c>
      <c r="C8963" t="inlineStr">
        <is>
          <t>also added in a little bit of lavender
and sage to keep us grounded</t>
        </is>
      </c>
      <c r="D8963">
        <f>HYPERLINK("https://www.youtube.com/watch?v=lwcvhh4pLjE&amp;t=399s", "Go to time")</f>
        <v/>
      </c>
    </row>
    <row r="8964">
      <c r="A8964">
        <f>HYPERLINK("https://www.youtube.com/watch?v=ORthzIOEf30", "Video")</f>
        <v/>
      </c>
      <c r="B8964" t="inlineStr">
        <is>
          <t>4:12</t>
        </is>
      </c>
      <c r="C8964" t="inlineStr">
        <is>
          <t>Instead, every bit of behavior
has multiple levels of causality.</t>
        </is>
      </c>
      <c r="D8964">
        <f>HYPERLINK("https://www.youtube.com/watch?v=ORthzIOEf30&amp;t=252s", "Go to time")</f>
        <v/>
      </c>
    </row>
    <row r="8965">
      <c r="A8965">
        <f>HYPERLINK("https://www.youtube.com/watch?v=ORthzIOEf30", "Video")</f>
        <v/>
      </c>
      <c r="B8965" t="inlineStr">
        <is>
          <t>5:20</t>
        </is>
      </c>
      <c r="C8965" t="inlineStr">
        <is>
          <t>But to understand that,
we have to step back a little bit.</t>
        </is>
      </c>
      <c r="D8965">
        <f>HYPERLINK("https://www.youtube.com/watch?v=ORthzIOEf30&amp;t=320s", "Go to time")</f>
        <v/>
      </c>
    </row>
    <row r="8966">
      <c r="A8966">
        <f>HYPERLINK("https://www.youtube.com/watch?v=ORthzIOEf30", "Video")</f>
        <v/>
      </c>
      <c r="B8966" t="inlineStr">
        <is>
          <t>10:36</t>
        </is>
      </c>
      <c r="C8966" t="inlineStr">
        <is>
          <t>Every bit of biology I have mentioned here
can change in different circumstances.</t>
        </is>
      </c>
      <c r="D8966">
        <f>HYPERLINK("https://www.youtube.com/watch?v=ORthzIOEf30&amp;t=636s", "Go to time")</f>
        <v/>
      </c>
    </row>
    <row r="8967">
      <c r="A8967">
        <f>HYPERLINK("https://www.youtube.com/watch?v=-kHm6YiboHA", "Video")</f>
        <v/>
      </c>
      <c r="B8967" t="inlineStr">
        <is>
          <t>1:14</t>
        </is>
      </c>
      <c r="C8967" t="inlineStr">
        <is>
          <t>You see, I know a little bit
about the forgotten middle.</t>
        </is>
      </c>
      <c r="D8967">
        <f>HYPERLINK("https://www.youtube.com/watch?v=-kHm6YiboHA&amp;t=74s", "Go to time")</f>
        <v/>
      </c>
    </row>
    <row r="8968">
      <c r="A8968">
        <f>HYPERLINK("https://www.youtube.com/watch?v=-kHm6YiboHA", "Video")</f>
        <v/>
      </c>
      <c r="B8968" t="inlineStr">
        <is>
          <t>6:47</t>
        </is>
      </c>
      <c r="C8968" t="inlineStr">
        <is>
          <t>but it takes a little bit more than that.</t>
        </is>
      </c>
      <c r="D8968">
        <f>HYPERLINK("https://www.youtube.com/watch?v=-kHm6YiboHA&amp;t=407s", "Go to time")</f>
        <v/>
      </c>
    </row>
    <row r="8969">
      <c r="A8969">
        <f>HYPERLINK("https://www.youtube.com/watch?v=4GpNYaDkBcs", "Video")</f>
        <v/>
      </c>
      <c r="B8969" t="inlineStr">
        <is>
          <t>0:11</t>
        </is>
      </c>
      <c r="C8969" t="inlineStr">
        <is>
          <t>on squeezing every bit
of efficiency out of AI</t>
        </is>
      </c>
      <c r="D8969">
        <f>HYPERLINK("https://www.youtube.com/watch?v=4GpNYaDkBcs&amp;t=11s", "Go to time")</f>
        <v/>
      </c>
    </row>
    <row r="8970">
      <c r="A8970">
        <f>HYPERLINK("https://www.youtube.com/watch?v=ddxHlkIuHqg", "Video")</f>
        <v/>
      </c>
      <c r="B8970" t="inlineStr">
        <is>
          <t>7:23</t>
        </is>
      </c>
      <c r="C8970" t="inlineStr">
        <is>
          <t>You can't do that. That's too ambitious."</t>
        </is>
      </c>
      <c r="D8970">
        <f>HYPERLINK("https://www.youtube.com/watch?v=ddxHlkIuHqg&amp;t=443s", "Go to time")</f>
        <v/>
      </c>
    </row>
    <row r="8971">
      <c r="A8971">
        <f>HYPERLINK("https://www.youtube.com/watch?v=AI7M-JTC6_w", "Video")</f>
        <v/>
      </c>
      <c r="B8971" t="inlineStr">
        <is>
          <t>5:23</t>
        </is>
      </c>
      <c r="C8971" t="inlineStr">
        <is>
          <t>and then keep walking
a little bit different afterwards.</t>
        </is>
      </c>
      <c r="D8971">
        <f>HYPERLINK("https://www.youtube.com/watch?v=AI7M-JTC6_w&amp;t=323s", "Go to time")</f>
        <v/>
      </c>
    </row>
    <row r="8972">
      <c r="A8972">
        <f>HYPERLINK("https://www.youtube.com/watch?v=nOHbn8Q1fBM", "Video")</f>
        <v/>
      </c>
      <c r="B8972" t="inlineStr">
        <is>
          <t>15:50</t>
        </is>
      </c>
      <c r="C8972" t="inlineStr">
        <is>
          <t>it's a little bit scary
for me to say that in public,</t>
        </is>
      </c>
      <c r="D8972">
        <f>HYPERLINK("https://www.youtube.com/watch?v=nOHbn8Q1fBM&amp;t=950s", "Go to time")</f>
        <v/>
      </c>
    </row>
    <row r="8973">
      <c r="A8973">
        <f>HYPERLINK("https://www.youtube.com/watch?v=hJP5GqnTrNo", "Video")</f>
        <v/>
      </c>
      <c r="B8973" t="inlineStr">
        <is>
          <t>2:22</t>
        </is>
      </c>
      <c r="C8973" t="inlineStr">
        <is>
          <t>and maybe a little bit
of where it is actually going.</t>
        </is>
      </c>
      <c r="D8973">
        <f>HYPERLINK("https://www.youtube.com/watch?v=hJP5GqnTrNo&amp;t=142s", "Go to time")</f>
        <v/>
      </c>
    </row>
    <row r="8974">
      <c r="A8974">
        <f>HYPERLINK("https://www.youtube.com/watch?v=hJP5GqnTrNo", "Video")</f>
        <v/>
      </c>
      <c r="B8974" t="inlineStr">
        <is>
          <t>11:58</t>
        </is>
      </c>
      <c r="C8974" t="inlineStr">
        <is>
          <t>I think what you saw
with Khanmigo a little bit,</t>
        </is>
      </c>
      <c r="D8974">
        <f>HYPERLINK("https://www.youtube.com/watch?v=hJP5GqnTrNo&amp;t=718s", "Go to time")</f>
        <v/>
      </c>
    </row>
    <row r="8975">
      <c r="A8975">
        <f>HYPERLINK("https://www.youtube.com/watch?v=hJP5GqnTrNo", "Video")</f>
        <v/>
      </c>
      <c r="B8975" t="inlineStr">
        <is>
          <t>12:03</t>
        </is>
      </c>
      <c r="C8975" t="inlineStr">
        <is>
          <t>It was a little bit more magical,
it was more Socratic,</t>
        </is>
      </c>
      <c r="D8975">
        <f>HYPERLINK("https://www.youtube.com/watch?v=hJP5GqnTrNo&amp;t=723s", "Go to time")</f>
        <v/>
      </c>
    </row>
    <row r="8976">
      <c r="A8976">
        <f>HYPERLINK("https://www.youtube.com/watch?v=hJP5GqnTrNo", "Video")</f>
        <v/>
      </c>
      <c r="B8976" t="inlineStr">
        <is>
          <t>14:45</t>
        </is>
      </c>
      <c r="C8976" t="inlineStr">
        <is>
          <t>But I'll also, you know,
talk to the optimists a little bit.</t>
        </is>
      </c>
      <c r="D8976">
        <f>HYPERLINK("https://www.youtube.com/watch?v=hJP5GqnTrNo&amp;t=885s", "Go to time")</f>
        <v/>
      </c>
    </row>
    <row r="8977">
      <c r="A8977">
        <f>HYPERLINK("https://www.youtube.com/watch?v=WJo98LfIfEA", "Video")</f>
        <v/>
      </c>
      <c r="B8977" t="inlineStr">
        <is>
          <t>2:24</t>
        </is>
      </c>
      <c r="C8977" t="inlineStr">
        <is>
          <t>They're basically these little
salty licorice bits in the shape of feet.</t>
        </is>
      </c>
      <c r="D8977">
        <f>HYPERLINK("https://www.youtube.com/watch?v=WJo98LfIfEA&amp;t=144s", "Go to time")</f>
        <v/>
      </c>
    </row>
    <row r="8978">
      <c r="A8978">
        <f>HYPERLINK("https://www.youtube.com/watch?v=WJo98LfIfEA", "Video")</f>
        <v/>
      </c>
      <c r="B8978" t="inlineStr">
        <is>
          <t>2:57</t>
        </is>
      </c>
      <c r="C8978" t="inlineStr">
        <is>
          <t>you little black bitch,
you little Paki bitch,</t>
        </is>
      </c>
      <c r="D8978">
        <f>HYPERLINK("https://www.youtube.com/watch?v=WJo98LfIfEA&amp;t=177s", "Go to time")</f>
        <v/>
      </c>
    </row>
    <row r="8979">
      <c r="A8979">
        <f>HYPERLINK("https://www.youtube.com/watch?v=BrnZMrjsf6w", "Video")</f>
        <v/>
      </c>
      <c r="B8979" t="inlineStr">
        <is>
          <t>4:57</t>
        </is>
      </c>
      <c r="C8979" t="inlineStr">
        <is>
          <t>How many of you have done
a bit of cleaning, a bit of vacuuming,</t>
        </is>
      </c>
      <c r="D8979">
        <f>HYPERLINK("https://www.youtube.com/watch?v=BrnZMrjsf6w&amp;t=297s", "Go to time")</f>
        <v/>
      </c>
    </row>
    <row r="8980">
      <c r="A8980">
        <f>HYPERLINK("https://www.youtube.com/watch?v=BrnZMrjsf6w", "Video")</f>
        <v/>
      </c>
      <c r="B8980" t="inlineStr">
        <is>
          <t>5:00</t>
        </is>
      </c>
      <c r="C8980" t="inlineStr">
        <is>
          <t>a bit of sweeping,
a bit of tidying up the kitchen?</t>
        </is>
      </c>
      <c r="D8980">
        <f>HYPERLINK("https://www.youtube.com/watch?v=BrnZMrjsf6w&amp;t=300s", "Go to time")</f>
        <v/>
      </c>
    </row>
    <row r="8981">
      <c r="A8981">
        <f>HYPERLINK("https://www.youtube.com/watch?v=BrnZMrjsf6w", "Video")</f>
        <v/>
      </c>
      <c r="B8981" t="inlineStr">
        <is>
          <t>6:48</t>
        </is>
      </c>
      <c r="C8981" t="inlineStr">
        <is>
          <t>but there's no debit side.</t>
        </is>
      </c>
      <c r="D8981">
        <f>HYPERLINK("https://www.youtube.com/watch?v=BrnZMrjsf6w&amp;t=408s", "Go to time")</f>
        <v/>
      </c>
    </row>
    <row r="8982">
      <c r="A8982">
        <f>HYPERLINK("https://www.youtube.com/watch?v=9w0PL2_-oAE", "Video")</f>
        <v/>
      </c>
      <c r="B8982" t="inlineStr">
        <is>
          <t>0:57</t>
        </is>
      </c>
      <c r="C8982" t="inlineStr">
        <is>
          <t>them a little bit of pleasure</t>
        </is>
      </c>
      <c r="D8982">
        <f>HYPERLINK("https://www.youtube.com/watch?v=9w0PL2_-oAE&amp;t=57s", "Go to time")</f>
        <v/>
      </c>
    </row>
    <row r="8983">
      <c r="A8983">
        <f>HYPERLINK("https://www.youtube.com/watch?v=9w0PL2_-oAE", "Video")</f>
        <v/>
      </c>
      <c r="B8983" t="inlineStr">
        <is>
          <t>1:21</t>
        </is>
      </c>
      <c r="C8983" t="inlineStr">
        <is>
          <t>got sports that's on a little bit so</t>
        </is>
      </c>
      <c r="D8983">
        <f>HYPERLINK("https://www.youtube.com/watch?v=9w0PL2_-oAE&amp;t=81s", "Go to time")</f>
        <v/>
      </c>
    </row>
    <row r="8984">
      <c r="A8984">
        <f>HYPERLINK("https://www.youtube.com/watch?v=9w0PL2_-oAE", "Video")</f>
        <v/>
      </c>
      <c r="B8984" t="inlineStr">
        <is>
          <t>2:04</t>
        </is>
      </c>
      <c r="C8984" t="inlineStr">
        <is>
          <t>reid tell me a bit more about you before</t>
        </is>
      </c>
      <c r="D8984">
        <f>HYPERLINK("https://www.youtube.com/watch?v=9w0PL2_-oAE&amp;t=124s", "Go to time")</f>
        <v/>
      </c>
    </row>
    <row r="8985">
      <c r="A8985">
        <f>HYPERLINK("https://www.youtube.com/watch?v=9w0PL2_-oAE", "Video")</f>
        <v/>
      </c>
      <c r="B8985" t="inlineStr">
        <is>
          <t>8:48</t>
        </is>
      </c>
      <c r="C8985" t="inlineStr">
        <is>
          <t>difference in everyone's ambition in</t>
        </is>
      </c>
      <c r="D8985">
        <f>HYPERLINK("https://www.youtube.com/watch?v=9w0PL2_-oAE&amp;t=528s", "Go to time")</f>
        <v/>
      </c>
    </row>
    <row r="8986">
      <c r="A8986">
        <f>HYPERLINK("https://www.youtube.com/watch?v=9w0PL2_-oAE", "Video")</f>
        <v/>
      </c>
      <c r="B8986" t="inlineStr">
        <is>
          <t>10:09</t>
        </is>
      </c>
      <c r="C8986" t="inlineStr">
        <is>
          <t>so talk a bit more about that because</t>
        </is>
      </c>
      <c r="D8986">
        <f>HYPERLINK("https://www.youtube.com/watch?v=9w0PL2_-oAE&amp;t=609s", "Go to time")</f>
        <v/>
      </c>
    </row>
    <row r="8987">
      <c r="A8987">
        <f>HYPERLINK("https://www.youtube.com/watch?v=9w0PL2_-oAE", "Video")</f>
        <v/>
      </c>
      <c r="B8987" t="inlineStr">
        <is>
          <t>12:19</t>
        </is>
      </c>
      <c r="C8987" t="inlineStr">
        <is>
          <t>focusing on inspiration so talk a bit</t>
        </is>
      </c>
      <c r="D8987">
        <f>HYPERLINK("https://www.youtube.com/watch?v=9w0PL2_-oAE&amp;t=739s", "Go to time")</f>
        <v/>
      </c>
    </row>
    <row r="8988">
      <c r="A8988">
        <f>HYPERLINK("https://www.youtube.com/watch?v=9w0PL2_-oAE", "Video")</f>
        <v/>
      </c>
      <c r="B8988" t="inlineStr">
        <is>
          <t>24:18</t>
        </is>
      </c>
      <c r="C8988" t="inlineStr">
        <is>
          <t>come back to bite you no it has come</t>
        </is>
      </c>
      <c r="D8988">
        <f>HYPERLINK("https://www.youtube.com/watch?v=9w0PL2_-oAE&amp;t=1458s", "Go to time")</f>
        <v/>
      </c>
    </row>
    <row r="8989">
      <c r="A8989">
        <f>HYPERLINK("https://www.youtube.com/watch?v=9w0PL2_-oAE", "Video")</f>
        <v/>
      </c>
      <c r="B8989" t="inlineStr">
        <is>
          <t>24:21</t>
        </is>
      </c>
      <c r="C8989" t="inlineStr">
        <is>
          <t>back to bite us so</t>
        </is>
      </c>
      <c r="D8989">
        <f>HYPERLINK("https://www.youtube.com/watch?v=9w0PL2_-oAE&amp;t=1461s", "Go to time")</f>
        <v/>
      </c>
    </row>
    <row r="8990">
      <c r="A8990">
        <f>HYPERLINK("https://www.youtube.com/watch?v=9w0PL2_-oAE", "Video")</f>
        <v/>
      </c>
      <c r="B8990" t="inlineStr">
        <is>
          <t>24:24</t>
        </is>
      </c>
      <c r="C8990" t="inlineStr">
        <is>
          <t>little bites you get</t>
        </is>
      </c>
      <c r="D8990">
        <f>HYPERLINK("https://www.youtube.com/watch?v=9w0PL2_-oAE&amp;t=1464s", "Go to time")</f>
        <v/>
      </c>
    </row>
    <row r="8991">
      <c r="A8991">
        <f>HYPERLINK("https://www.youtube.com/watch?v=9w0PL2_-oAE", "Video")</f>
        <v/>
      </c>
      <c r="B8991" t="inlineStr">
        <is>
          <t>24:45</t>
        </is>
      </c>
      <c r="C8991" t="inlineStr">
        <is>
          <t>every time there was a small bite i</t>
        </is>
      </c>
      <c r="D8991">
        <f>HYPERLINK("https://www.youtube.com/watch?v=9w0PL2_-oAE&amp;t=1485s", "Go to time")</f>
        <v/>
      </c>
    </row>
    <row r="8992">
      <c r="A8992">
        <f>HYPERLINK("https://www.youtube.com/watch?v=9w0PL2_-oAE", "Video")</f>
        <v/>
      </c>
      <c r="B8992" t="inlineStr">
        <is>
          <t>33:40</t>
        </is>
      </c>
      <c r="C8992" t="inlineStr">
        <is>
          <t>and maybe that'll be a little bit better</t>
        </is>
      </c>
      <c r="D8992">
        <f>HYPERLINK("https://www.youtube.com/watch?v=9w0PL2_-oAE&amp;t=2020s", "Go to time")</f>
        <v/>
      </c>
    </row>
    <row r="8993">
      <c r="A8993">
        <f>HYPERLINK("https://www.youtube.com/watch?v=9w0PL2_-oAE", "Video")</f>
        <v/>
      </c>
      <c r="B8993" t="inlineStr">
        <is>
          <t>35:51</t>
        </is>
      </c>
      <c r="C8993" t="inlineStr">
        <is>
          <t>and it's a little bit chaotic and it's</t>
        </is>
      </c>
      <c r="D8993">
        <f>HYPERLINK("https://www.youtube.com/watch?v=9w0PL2_-oAE&amp;t=2151s", "Go to time")</f>
        <v/>
      </c>
    </row>
    <row r="8994">
      <c r="A8994">
        <f>HYPERLINK("https://www.youtube.com/watch?v=9w0PL2_-oAE", "Video")</f>
        <v/>
      </c>
      <c r="B8994" t="inlineStr">
        <is>
          <t>42:59</t>
        </is>
      </c>
      <c r="C8994" t="inlineStr">
        <is>
          <t>bit about her</t>
        </is>
      </c>
      <c r="D8994">
        <f>HYPERLINK("https://www.youtube.com/watch?v=9w0PL2_-oAE&amp;t=2579s", "Go to time")</f>
        <v/>
      </c>
    </row>
    <row r="8995">
      <c r="A8995">
        <f>HYPERLINK("https://www.youtube.com/watch?v=9w0PL2_-oAE", "Video")</f>
        <v/>
      </c>
      <c r="B8995" t="inlineStr">
        <is>
          <t>44:18</t>
        </is>
      </c>
      <c r="C8995" t="inlineStr">
        <is>
          <t>there's a bit of a dance and a song and</t>
        </is>
      </c>
      <c r="D8995">
        <f>HYPERLINK("https://www.youtube.com/watch?v=9w0PL2_-oAE&amp;t=2658s", "Go to time")</f>
        <v/>
      </c>
    </row>
    <row r="8996">
      <c r="A8996">
        <f>HYPERLINK("https://www.youtube.com/watch?v=9w0PL2_-oAE", "Video")</f>
        <v/>
      </c>
      <c r="B8996" t="inlineStr">
        <is>
          <t>47:44</t>
        </is>
      </c>
      <c r="C8996" t="inlineStr">
        <is>
          <t>um that surprised me a bit it just in</t>
        </is>
      </c>
      <c r="D8996">
        <f>HYPERLINK("https://www.youtube.com/watch?v=9w0PL2_-oAE&amp;t=2864s", "Go to time")</f>
        <v/>
      </c>
    </row>
    <row r="8997">
      <c r="A8997">
        <f>HYPERLINK("https://www.youtube.com/watch?v=9w0PL2_-oAE", "Video")</f>
        <v/>
      </c>
      <c r="B8997" t="inlineStr">
        <is>
          <t>48:57</t>
        </is>
      </c>
      <c r="C8997" t="inlineStr">
        <is>
          <t>talk just a bit about how you think</t>
        </is>
      </c>
      <c r="D8997">
        <f>HYPERLINK("https://www.youtube.com/watch?v=9w0PL2_-oAE&amp;t=2937s", "Go to time")</f>
        <v/>
      </c>
    </row>
    <row r="8998">
      <c r="A8998">
        <f>HYPERLINK("https://www.youtube.com/watch?v=9w0PL2_-oAE", "Video")</f>
        <v/>
      </c>
      <c r="B8998" t="inlineStr">
        <is>
          <t>55:05</t>
        </is>
      </c>
      <c r="C8998" t="inlineStr">
        <is>
          <t>a bit about the future</t>
        </is>
      </c>
      <c r="D8998">
        <f>HYPERLINK("https://www.youtube.com/watch?v=9w0PL2_-oAE&amp;t=3305s", "Go to time")</f>
        <v/>
      </c>
    </row>
    <row r="8999">
      <c r="A8999">
        <f>HYPERLINK("https://www.youtube.com/watch?v=9w0PL2_-oAE", "Video")</f>
        <v/>
      </c>
      <c r="B8999" t="inlineStr">
        <is>
          <t>60:25</t>
        </is>
      </c>
      <c r="C8999" t="inlineStr">
        <is>
          <t>so often people like i have a habit</t>
        </is>
      </c>
      <c r="D8999">
        <f>HYPERLINK("https://www.youtube.com/watch?v=9w0PL2_-oAE&amp;t=3625s", "Go to time")</f>
        <v/>
      </c>
    </row>
    <row r="9000">
      <c r="A9000">
        <f>HYPERLINK("https://www.youtube.com/watch?v=dd1IeIHA0S8", "Video")</f>
        <v/>
      </c>
      <c r="B9000" t="inlineStr">
        <is>
          <t>4:30</t>
        </is>
      </c>
      <c r="C9000" t="inlineStr">
        <is>
          <t>In 1985, we started to tour
all over the world a little bit,</t>
        </is>
      </c>
      <c r="D9000">
        <f>HYPERLINK("https://www.youtube.com/watch?v=dd1IeIHA0S8&amp;t=270s", "Go to time")</f>
        <v/>
      </c>
    </row>
    <row r="9001">
      <c r="A9001">
        <f>HYPERLINK("https://www.youtube.com/watch?v=dd1IeIHA0S8", "Video")</f>
        <v/>
      </c>
      <c r="B9001" t="inlineStr">
        <is>
          <t>5:16</t>
        </is>
      </c>
      <c r="C9001" t="inlineStr">
        <is>
          <t>And if we did want to go or travel
to unhabitual places in space --</t>
        </is>
      </c>
      <c r="D9001">
        <f>HYPERLINK("https://www.youtube.com/watch?v=dd1IeIHA0S8&amp;t=316s", "Go to time")</f>
        <v/>
      </c>
    </row>
    <row r="9002">
      <c r="A9002">
        <f>HYPERLINK("https://www.youtube.com/watch?v=dd1IeIHA0S8", "Video")</f>
        <v/>
      </c>
      <c r="B9002" t="inlineStr">
        <is>
          <t>8:18</t>
        </is>
      </c>
      <c r="C9002" t="inlineStr">
        <is>
          <t>and people get just a little bit braver.</t>
        </is>
      </c>
      <c r="D9002">
        <f>HYPERLINK("https://www.youtube.com/watch?v=dd1IeIHA0S8&amp;t=498s", "Go to time")</f>
        <v/>
      </c>
    </row>
    <row r="9003">
      <c r="A9003">
        <f>HYPERLINK("https://www.youtube.com/watch?v=B4a0NvLTebw", "Video")</f>
        <v/>
      </c>
      <c r="B9003" t="inlineStr">
        <is>
          <t>1:07</t>
        </is>
      </c>
      <c r="C9003" t="inlineStr">
        <is>
          <t>and some is a bit funny but in a sad way.</t>
        </is>
      </c>
      <c r="D9003">
        <f>HYPERLINK("https://www.youtube.com/watch?v=B4a0NvLTebw&amp;t=67s", "Go to time")</f>
        <v/>
      </c>
    </row>
    <row r="9004">
      <c r="A9004">
        <f>HYPERLINK("https://www.youtube.com/watch?v=B4a0NvLTebw", "Video")</f>
        <v/>
      </c>
      <c r="B9004" t="inlineStr">
        <is>
          <t>5:36</t>
        </is>
      </c>
      <c r="C9004" t="inlineStr">
        <is>
          <t>he seems to get them quite a bit wrong.</t>
        </is>
      </c>
      <c r="D9004">
        <f>HYPERLINK("https://www.youtube.com/watch?v=B4a0NvLTebw&amp;t=336s", "Go to time")</f>
        <v/>
      </c>
    </row>
    <row r="9005">
      <c r="A9005">
        <f>HYPERLINK("https://www.youtube.com/watch?v=B4a0NvLTebw", "Video")</f>
        <v/>
      </c>
      <c r="B9005" t="inlineStr">
        <is>
          <t>9:05</t>
        </is>
      </c>
      <c r="C9005" t="inlineStr">
        <is>
          <t>And this is where things
get a bit difficult.</t>
        </is>
      </c>
      <c r="D9005">
        <f>HYPERLINK("https://www.youtube.com/watch?v=B4a0NvLTebw&amp;t=545s", "Go to time")</f>
        <v/>
      </c>
    </row>
    <row r="9006">
      <c r="A9006">
        <f>HYPERLINK("https://www.youtube.com/watch?v=yBdyFKqwKy0", "Video")</f>
        <v/>
      </c>
      <c r="B9006" t="inlineStr">
        <is>
          <t>0:36</t>
        </is>
      </c>
      <c r="C9006" t="inlineStr">
        <is>
          <t>So we look for planets that orbit
at just the right distance</t>
        </is>
      </c>
      <c r="D9006">
        <f>HYPERLINK("https://www.youtube.com/watch?v=yBdyFKqwKy0&amp;t=36s", "Go to time")</f>
        <v/>
      </c>
    </row>
    <row r="9007">
      <c r="A9007">
        <f>HYPERLINK("https://www.youtube.com/watch?v=yBdyFKqwKy0", "Video")</f>
        <v/>
      </c>
      <c r="B9007" t="inlineStr">
        <is>
          <t>3:16</t>
        </is>
      </c>
      <c r="C9007" t="inlineStr">
        <is>
          <t>from many types of atmospheres
and orientations of its orbit.</t>
        </is>
      </c>
      <c r="D9007">
        <f>HYPERLINK("https://www.youtube.com/watch?v=yBdyFKqwKy0&amp;t=196s", "Go to time")</f>
        <v/>
      </c>
    </row>
    <row r="9008">
      <c r="A9008">
        <f>HYPERLINK("https://www.youtube.com/watch?v=yBdyFKqwKy0", "Video")</f>
        <v/>
      </c>
      <c r="B9008" t="inlineStr">
        <is>
          <t>3:50</t>
        </is>
      </c>
      <c r="C9008" t="inlineStr">
        <is>
          <t>My models show that planets
orbiting cooler stars</t>
        </is>
      </c>
      <c r="D9008">
        <f>HYPERLINK("https://www.youtube.com/watch?v=yBdyFKqwKy0&amp;t=230s", "Go to time")</f>
        <v/>
      </c>
    </row>
    <row r="9009">
      <c r="A9009">
        <f>HYPERLINK("https://www.youtube.com/watch?v=yBdyFKqwKy0", "Video")</f>
        <v/>
      </c>
      <c r="B9009" t="inlineStr">
        <is>
          <t>3:53</t>
        </is>
      </c>
      <c r="C9009" t="inlineStr">
        <is>
          <t>could actually be warmer
than planets orbiting hotter stars.</t>
        </is>
      </c>
      <c r="D9009">
        <f>HYPERLINK("https://www.youtube.com/watch?v=yBdyFKqwKy0&amp;t=233s", "Go to time")</f>
        <v/>
      </c>
    </row>
    <row r="9010">
      <c r="A9010">
        <f>HYPERLINK("https://www.youtube.com/watch?v=qNvDRuGK84I", "Video")</f>
        <v/>
      </c>
      <c r="B9010" t="inlineStr">
        <is>
          <t>12:21</t>
        </is>
      </c>
      <c r="C9010" t="inlineStr">
        <is>
          <t>a bit like a general,
where you're holding your troops back:</t>
        </is>
      </c>
      <c r="D9010">
        <f>HYPERLINK("https://www.youtube.com/watch?v=qNvDRuGK84I&amp;t=741s", "Go to time")</f>
        <v/>
      </c>
    </row>
    <row r="9011">
      <c r="A9011">
        <f>HYPERLINK("https://www.youtube.com/watch?v=p7u1n54_yQc", "Video")</f>
        <v/>
      </c>
      <c r="B9011" t="inlineStr">
        <is>
          <t>0:19</t>
        </is>
      </c>
      <c r="C9011" t="inlineStr">
        <is>
          <t>our characters looked
more like 8-bit Laura, OK?</t>
        </is>
      </c>
      <c r="D9011">
        <f>HYPERLINK("https://www.youtube.com/watch?v=p7u1n54_yQc&amp;t=19s", "Go to time")</f>
        <v/>
      </c>
    </row>
    <row r="9012">
      <c r="A9012">
        <f>HYPERLINK("https://www.youtube.com/watch?v=wQmBsbt9blg", "Video")</f>
        <v/>
      </c>
      <c r="B9012" t="inlineStr">
        <is>
          <t>1:08</t>
        </is>
      </c>
      <c r="C9012" t="inlineStr">
        <is>
          <t>And if you like, give us
a bit of a Gaza 101.</t>
        </is>
      </c>
      <c r="D9012">
        <f>HYPERLINK("https://www.youtube.com/watch?v=wQmBsbt9blg&amp;t=68s", "Go to time")</f>
        <v/>
      </c>
    </row>
    <row r="9013">
      <c r="A9013">
        <f>HYPERLINK("https://www.youtube.com/watch?v=wQmBsbt9blg", "Video")</f>
        <v/>
      </c>
      <c r="B9013" t="inlineStr">
        <is>
          <t>7:28</t>
        </is>
      </c>
      <c r="C9013" t="inlineStr">
        <is>
          <t>HW: So let's dig in a little bit
into the idea that you bring up</t>
        </is>
      </c>
      <c r="D9013">
        <f>HYPERLINK("https://www.youtube.com/watch?v=wQmBsbt9blg&amp;t=448s", "Go to time")</f>
        <v/>
      </c>
    </row>
    <row r="9014">
      <c r="A9014">
        <f>HYPERLINK("https://www.youtube.com/watch?v=wQmBsbt9blg", "Video")</f>
        <v/>
      </c>
      <c r="B9014" t="inlineStr">
        <is>
          <t>13:38</t>
        </is>
      </c>
      <c r="C9014" t="inlineStr">
        <is>
          <t>But I want to just play out the 9/11
reference a little bit if you can,</t>
        </is>
      </c>
      <c r="D9014">
        <f>HYPERLINK("https://www.youtube.com/watch?v=wQmBsbt9blg&amp;t=818s", "Go to time")</f>
        <v/>
      </c>
    </row>
    <row r="9015">
      <c r="A9015">
        <f>HYPERLINK("https://www.youtube.com/watch?v=wQmBsbt9blg", "Video")</f>
        <v/>
      </c>
      <c r="B9015" t="inlineStr">
        <is>
          <t>40:05</t>
        </is>
      </c>
      <c r="C9015" t="inlineStr">
        <is>
          <t>HW: I want to talk a little bit
about the media coverage of the attacks</t>
        </is>
      </c>
      <c r="D9015">
        <f>HYPERLINK("https://www.youtube.com/watch?v=wQmBsbt9blg&amp;t=2405s", "Go to time")</f>
        <v/>
      </c>
    </row>
    <row r="9016">
      <c r="A9016">
        <f>HYPERLINK("https://www.youtube.com/watch?v=Q6U69HbAF9Y", "Video")</f>
        <v/>
      </c>
      <c r="B9016" t="inlineStr">
        <is>
          <t>2:05</t>
        </is>
      </c>
      <c r="C9016" t="inlineStr">
        <is>
          <t>So then we thought well, let's try
and spread the load a bit.</t>
        </is>
      </c>
      <c r="D9016">
        <f>HYPERLINK("https://www.youtube.com/watch?v=Q6U69HbAF9Y&amp;t=125s", "Go to time")</f>
        <v/>
      </c>
    </row>
    <row r="9017">
      <c r="A9017">
        <f>HYPERLINK("https://www.youtube.com/watch?v=Q6U69HbAF9Y", "Video")</f>
        <v/>
      </c>
      <c r="B9017" t="inlineStr">
        <is>
          <t>2:10</t>
        </is>
      </c>
      <c r="C9017" t="inlineStr">
        <is>
          <t>so why don't we spread it out a bit?</t>
        </is>
      </c>
      <c r="D9017">
        <f>HYPERLINK("https://www.youtube.com/watch?v=Q6U69HbAF9Y&amp;t=130s", "Go to time")</f>
        <v/>
      </c>
    </row>
    <row r="9018">
      <c r="A9018">
        <f>HYPERLINK("https://www.youtube.com/watch?v=Q6U69HbAF9Y", "Video")</f>
        <v/>
      </c>
      <c r="B9018" t="inlineStr">
        <is>
          <t>2:12</t>
        </is>
      </c>
      <c r="C9018" t="inlineStr">
        <is>
          <t>That bit was good.</t>
        </is>
      </c>
      <c r="D9018">
        <f>HYPERLINK("https://www.youtube.com/watch?v=Q6U69HbAF9Y&amp;t=132s", "Go to time")</f>
        <v/>
      </c>
    </row>
    <row r="9019">
      <c r="A9019">
        <f>HYPERLINK("https://www.youtube.com/watch?v=Q6U69HbAF9Y", "Video")</f>
        <v/>
      </c>
      <c r="B9019" t="inlineStr">
        <is>
          <t>4:07</t>
        </is>
      </c>
      <c r="C9019" t="inlineStr">
        <is>
          <t>After a while, the jet engine
noise is a bit annoying.</t>
        </is>
      </c>
      <c r="D9019">
        <f>HYPERLINK("https://www.youtube.com/watch?v=Q6U69HbAF9Y&amp;t=247s", "Go to time")</f>
        <v/>
      </c>
    </row>
    <row r="9020">
      <c r="A9020">
        <f>HYPERLINK("https://www.youtube.com/watch?v=Q6U69HbAF9Y", "Video")</f>
        <v/>
      </c>
      <c r="B9020" t="inlineStr">
        <is>
          <t>4:32</t>
        </is>
      </c>
      <c r="C9020" t="inlineStr">
        <is>
          <t>and a bit like riding a bike,</t>
        </is>
      </c>
      <c r="D9020">
        <f>HYPERLINK("https://www.youtube.com/watch?v=Q6U69HbAF9Y&amp;t=272s", "Go to time")</f>
        <v/>
      </c>
    </row>
    <row r="9021">
      <c r="A9021">
        <f>HYPERLINK("https://www.youtube.com/watch?v=Q6U69HbAF9Y", "Video")</f>
        <v/>
      </c>
      <c r="B9021" t="inlineStr">
        <is>
          <t>5:11</t>
        </is>
      </c>
      <c r="C9021" t="inlineStr">
        <is>
          <t>fly up and down the coastline
of it, rise up a bit higher,</t>
        </is>
      </c>
      <c r="D9021">
        <f>HYPERLINK("https://www.youtube.com/watch?v=Q6U69HbAF9Y&amp;t=311s", "Go to time")</f>
        <v/>
      </c>
    </row>
    <row r="9022">
      <c r="A9022">
        <f>HYPERLINK("https://www.youtube.com/watch?v=Q6U69HbAF9Y", "Video")</f>
        <v/>
      </c>
      <c r="B9022" t="inlineStr">
        <is>
          <t>5:46</t>
        </is>
      </c>
      <c r="C9022" t="inlineStr">
        <is>
          <t>and left an awful lot
of unfulfilled ambition.</t>
        </is>
      </c>
      <c r="D9022">
        <f>HYPERLINK("https://www.youtube.com/watch?v=Q6U69HbAF9Y&amp;t=346s", "Go to time")</f>
        <v/>
      </c>
    </row>
    <row r="9023">
      <c r="A9023">
        <f>HYPERLINK("https://www.youtube.com/watch?v=xiwIvp7aKRk", "Video")</f>
        <v/>
      </c>
      <c r="B9023" t="inlineStr">
        <is>
          <t>1:47</t>
        </is>
      </c>
      <c r="C9023" t="inlineStr">
        <is>
          <t>make the invisible a bit more visible,</t>
        </is>
      </c>
      <c r="D9023">
        <f>HYPERLINK("https://www.youtube.com/watch?v=xiwIvp7aKRk&amp;t=107s", "Go to time")</f>
        <v/>
      </c>
    </row>
    <row r="9024">
      <c r="A9024">
        <f>HYPERLINK("https://www.youtube.com/watch?v=xiwIvp7aKRk", "Video")</f>
        <v/>
      </c>
      <c r="B9024" t="inlineStr">
        <is>
          <t>1:50</t>
        </is>
      </c>
      <c r="C9024" t="inlineStr">
        <is>
          <t>make the unheard a bit more heard,</t>
        </is>
      </c>
      <c r="D9024">
        <f>HYPERLINK("https://www.youtube.com/watch?v=xiwIvp7aKRk&amp;t=110s", "Go to time")</f>
        <v/>
      </c>
    </row>
    <row r="9025">
      <c r="A9025">
        <f>HYPERLINK("https://www.youtube.com/watch?v=UI6IKlHh-pQ", "Video")</f>
        <v/>
      </c>
      <c r="B9025" t="inlineStr">
        <is>
          <t>7:27</t>
        </is>
      </c>
      <c r="C9025" t="inlineStr">
        <is>
          <t>some were a bit tentative at first,</t>
        </is>
      </c>
      <c r="D9025">
        <f>HYPERLINK("https://www.youtube.com/watch?v=UI6IKlHh-pQ&amp;t=447s", "Go to time")</f>
        <v/>
      </c>
    </row>
    <row r="9026">
      <c r="A9026">
        <f>HYPERLINK("https://www.youtube.com/watch?v=6ElobAhlQo0", "Video")</f>
        <v/>
      </c>
      <c r="B9026" t="inlineStr">
        <is>
          <t>14:16</t>
        </is>
      </c>
      <c r="C9026" t="inlineStr">
        <is>
          <t>as a means for making the planet
more habitable for humans.</t>
        </is>
      </c>
      <c r="D9026">
        <f>HYPERLINK("https://www.youtube.com/watch?v=6ElobAhlQo0&amp;t=856s", "Go to time")</f>
        <v/>
      </c>
    </row>
    <row r="9027">
      <c r="A9027">
        <f>HYPERLINK("https://www.youtube.com/watch?v=RB0zvhRZu-0", "Video")</f>
        <v/>
      </c>
      <c r="B9027" t="inlineStr">
        <is>
          <t>2:21</t>
        </is>
      </c>
      <c r="C9027" t="inlineStr">
        <is>
          <t>we're launching a similarly
ambitious effort</t>
        </is>
      </c>
      <c r="D9027">
        <f>HYPERLINK("https://www.youtube.com/watch?v=RB0zvhRZu-0&amp;t=141s", "Go to time")</f>
        <v/>
      </c>
    </row>
    <row r="9028">
      <c r="A9028">
        <f>HYPERLINK("https://www.youtube.com/watch?v=YW1-7OFolJg", "Video")</f>
        <v/>
      </c>
      <c r="B9028" t="inlineStr">
        <is>
          <t>3:10</t>
        </is>
      </c>
      <c r="C9028" t="inlineStr">
        <is>
          <t>Cities form a completely new habitat
that we have created.</t>
        </is>
      </c>
      <c r="D9028">
        <f>HYPERLINK("https://www.youtube.com/watch?v=YW1-7OFolJg&amp;t=190s", "Go to time")</f>
        <v/>
      </c>
    </row>
    <row r="9029">
      <c r="A9029">
        <f>HYPERLINK("https://www.youtube.com/watch?v=YW1-7OFolJg", "Video")</f>
        <v/>
      </c>
      <c r="B9029" t="inlineStr">
        <is>
          <t>5:08</t>
        </is>
      </c>
      <c r="C9029" t="inlineStr">
        <is>
          <t>A bit like a modern-day version
of Darwin's finches on the Galapagos.</t>
        </is>
      </c>
      <c r="D9029">
        <f>HYPERLINK("https://www.youtube.com/watch?v=YW1-7OFolJg&amp;t=308s", "Go to time")</f>
        <v/>
      </c>
    </row>
    <row r="9030">
      <c r="A9030">
        <f>HYPERLINK("https://www.youtube.com/watch?v=YW1-7OFolJg", "Video")</f>
        <v/>
      </c>
      <c r="B9030" t="inlineStr">
        <is>
          <t>9:03</t>
        </is>
      </c>
      <c r="C9030" t="inlineStr">
        <is>
          <t>that have evolved to suit
this new habitat,</t>
        </is>
      </c>
      <c r="D9030">
        <f>HYPERLINK("https://www.youtube.com/watch?v=YW1-7OFolJg&amp;t=543s", "Go to time")</f>
        <v/>
      </c>
    </row>
    <row r="9031">
      <c r="A9031">
        <f>HYPERLINK("https://www.youtube.com/watch?v=YW1-7OFolJg", "Video")</f>
        <v/>
      </c>
      <c r="B9031" t="inlineStr">
        <is>
          <t>9:06</t>
        </is>
      </c>
      <c r="C9031" t="inlineStr">
        <is>
          <t>this city habitat that we have created.</t>
        </is>
      </c>
      <c r="D9031">
        <f>HYPERLINK("https://www.youtube.com/watch?v=YW1-7OFolJg&amp;t=546s", "Go to time")</f>
        <v/>
      </c>
    </row>
    <row r="9032">
      <c r="A9032">
        <f>HYPERLINK("https://www.youtube.com/watch?v=YW1-7OFolJg", "Video")</f>
        <v/>
      </c>
      <c r="B9032" t="inlineStr">
        <is>
          <t>10:02</t>
        </is>
      </c>
      <c r="C9032" t="inlineStr">
        <is>
          <t>that is evolving and adapting
to a habitat that we have created.</t>
        </is>
      </c>
      <c r="D9032">
        <f>HYPERLINK("https://www.youtube.com/watch?v=YW1-7OFolJg&amp;t=602s", "Go to time")</f>
        <v/>
      </c>
    </row>
    <row r="9033">
      <c r="A9033">
        <f>HYPERLINK("https://www.youtube.com/watch?v=n3eROozZg10", "Video")</f>
        <v/>
      </c>
      <c r="B9033" t="inlineStr">
        <is>
          <t>4:28</t>
        </is>
      </c>
      <c r="C9033" t="inlineStr">
        <is>
          <t>Now maybe this word sounds a bit complex.</t>
        </is>
      </c>
      <c r="D9033">
        <f>HYPERLINK("https://www.youtube.com/watch?v=n3eROozZg10&amp;t=268s", "Go to time")</f>
        <v/>
      </c>
    </row>
    <row r="9034">
      <c r="A9034">
        <f>HYPERLINK("https://www.youtube.com/watch?v=n3eROozZg10", "Video")</f>
        <v/>
      </c>
      <c r="B9034" t="inlineStr">
        <is>
          <t>6:14</t>
        </is>
      </c>
      <c r="C9034" t="inlineStr">
        <is>
          <t>And a bit more of technical details.</t>
        </is>
      </c>
      <c r="D9034">
        <f>HYPERLINK("https://www.youtube.com/watch?v=n3eROozZg10&amp;t=374s", "Go to time")</f>
        <v/>
      </c>
    </row>
    <row r="9035">
      <c r="A9035">
        <f>HYPERLINK("https://www.youtube.com/watch?v=n3eROozZg10", "Video")</f>
        <v/>
      </c>
      <c r="B9035" t="inlineStr">
        <is>
          <t>9:42</t>
        </is>
      </c>
      <c r="C9035" t="inlineStr">
        <is>
          <t>So imagine a future where actually
a robot could be a bit more sensitive,</t>
        </is>
      </c>
      <c r="D9035">
        <f>HYPERLINK("https://www.youtube.com/watch?v=n3eROozZg10&amp;t=582s", "Go to time")</f>
        <v/>
      </c>
    </row>
    <row r="9036">
      <c r="A9036">
        <f>HYPERLINK("https://www.youtube.com/watch?v=n3eROozZg10", "Video")</f>
        <v/>
      </c>
      <c r="B9036" t="inlineStr">
        <is>
          <t>9:47</t>
        </is>
      </c>
      <c r="C9036" t="inlineStr">
        <is>
          <t>a bit smarter.</t>
        </is>
      </c>
      <c r="D9036">
        <f>HYPERLINK("https://www.youtube.com/watch?v=n3eROozZg10&amp;t=587s", "Go to time")</f>
        <v/>
      </c>
    </row>
    <row r="9037">
      <c r="A9037">
        <f>HYPERLINK("https://www.youtube.com/watch?v=9EBkS2kE7uk", "Video")</f>
        <v/>
      </c>
      <c r="B9037" t="inlineStr">
        <is>
          <t>7:23</t>
        </is>
      </c>
      <c r="C9037" t="inlineStr">
        <is>
          <t>A little bit of melanin, a dash of queer,</t>
        </is>
      </c>
      <c r="D9037">
        <f>HYPERLINK("https://www.youtube.com/watch?v=9EBkS2kE7uk&amp;t=443s", "Go to time")</f>
        <v/>
      </c>
    </row>
    <row r="9038">
      <c r="A9038">
        <f>HYPERLINK("https://www.youtube.com/watch?v=qrVHoobmZLw", "Video")</f>
        <v/>
      </c>
      <c r="B9038" t="inlineStr">
        <is>
          <t>3:37</t>
        </is>
      </c>
      <c r="C9038" t="inlineStr">
        <is>
          <t>because we develop the habits
of doing the same things over and over.</t>
        </is>
      </c>
      <c r="D9038">
        <f>HYPERLINK("https://www.youtube.com/watch?v=qrVHoobmZLw&amp;t=217s", "Go to time")</f>
        <v/>
      </c>
    </row>
    <row r="9039">
      <c r="A9039">
        <f>HYPERLINK("https://www.youtube.com/watch?v=JrjjOGI6YB4", "Video")</f>
        <v/>
      </c>
      <c r="B9039" t="inlineStr">
        <is>
          <t>8:26</t>
        </is>
      </c>
      <c r="C9039" t="inlineStr">
        <is>
          <t>So, right now, it's a little bit difficult
to switch to renewables and stuff, right,</t>
        </is>
      </c>
      <c r="D9039">
        <f>HYPERLINK("https://www.youtube.com/watch?v=JrjjOGI6YB4&amp;t=506s", "Go to time")</f>
        <v/>
      </c>
    </row>
    <row r="9040">
      <c r="A9040">
        <f>HYPERLINK("https://www.youtube.com/watch?v=JrjjOGI6YB4", "Video")</f>
        <v/>
      </c>
      <c r="B9040" t="inlineStr">
        <is>
          <t>19:25</t>
        </is>
      </c>
      <c r="C9040" t="inlineStr">
        <is>
          <t>Now, I think with a bit of coordination,</t>
        </is>
      </c>
      <c r="D9040">
        <f>HYPERLINK("https://www.youtube.com/watch?v=JrjjOGI6YB4&amp;t=1165s", "Go to time")</f>
        <v/>
      </c>
    </row>
    <row r="9041">
      <c r="A9041">
        <f>HYPERLINK("https://www.youtube.com/watch?v=JrjjOGI6YB4", "Video")</f>
        <v/>
      </c>
      <c r="B9041" t="inlineStr">
        <is>
          <t>20:10</t>
        </is>
      </c>
      <c r="C9041" t="inlineStr">
        <is>
          <t>It's actually a little bit tricky.</t>
        </is>
      </c>
      <c r="D9041">
        <f>HYPERLINK("https://www.youtube.com/watch?v=JrjjOGI6YB4&amp;t=1210s", "Go to time")</f>
        <v/>
      </c>
    </row>
    <row r="9042">
      <c r="A9042">
        <f>HYPERLINK("https://www.youtube.com/watch?v=fAIJAezZg1A", "Video")</f>
        <v/>
      </c>
      <c r="B9042" t="inlineStr">
        <is>
          <t>9:31</t>
        </is>
      </c>
      <c r="C9042" t="inlineStr">
        <is>
          <t>I understand you may
still feel a bit skeptical</t>
        </is>
      </c>
      <c r="D9042">
        <f>HYPERLINK("https://www.youtube.com/watch?v=fAIJAezZg1A&amp;t=571s", "Go to time")</f>
        <v/>
      </c>
    </row>
    <row r="9043">
      <c r="A9043">
        <f>HYPERLINK("https://www.youtube.com/watch?v=1BXYSGepx7Q", "Video")</f>
        <v/>
      </c>
      <c r="B9043" t="inlineStr">
        <is>
          <t>1:14</t>
        </is>
      </c>
      <c r="C9043" t="inlineStr">
        <is>
          <t>So what I want to do is drill down
a little bit deeper</t>
        </is>
      </c>
      <c r="D9043">
        <f>HYPERLINK("https://www.youtube.com/watch?v=1BXYSGepx7Q&amp;t=74s", "Go to time")</f>
        <v/>
      </c>
    </row>
    <row r="9044">
      <c r="A9044">
        <f>HYPERLINK("https://www.youtube.com/watch?v=1BXYSGepx7Q", "Video")</f>
        <v/>
      </c>
      <c r="B9044" t="inlineStr">
        <is>
          <t>5:08</t>
        </is>
      </c>
      <c r="C9044" t="inlineStr">
        <is>
          <t>We're going to explore that a little bit.</t>
        </is>
      </c>
      <c r="D9044">
        <f>HYPERLINK("https://www.youtube.com/watch?v=1BXYSGepx7Q&amp;t=308s", "Go to time")</f>
        <v/>
      </c>
    </row>
    <row r="9045">
      <c r="A9045">
        <f>HYPERLINK("https://www.youtube.com/watch?v=7sqeoYOQ4qg", "Video")</f>
        <v/>
      </c>
      <c r="B9045" t="inlineStr">
        <is>
          <t>2:24</t>
        </is>
      </c>
      <c r="C9045" t="inlineStr">
        <is>
          <t>Let me describe Haryana
a little bit to you.</t>
        </is>
      </c>
      <c r="D9045">
        <f>HYPERLINK("https://www.youtube.com/watch?v=7sqeoYOQ4qg&amp;t=144s", "Go to time")</f>
        <v/>
      </c>
    </row>
    <row r="9046">
      <c r="A9046">
        <f>HYPERLINK("https://www.youtube.com/watch?v=7sqeoYOQ4qg", "Video")</f>
        <v/>
      </c>
      <c r="B9046" t="inlineStr">
        <is>
          <t>11:21</t>
        </is>
      </c>
      <c r="C9046" t="inlineStr">
        <is>
          <t>It was a little bit ridiculous.</t>
        </is>
      </c>
      <c r="D9046">
        <f>HYPERLINK("https://www.youtube.com/watch?v=7sqeoYOQ4qg&amp;t=681s", "Go to time")</f>
        <v/>
      </c>
    </row>
    <row r="9047">
      <c r="A9047">
        <f>HYPERLINK("https://www.youtube.com/watch?v=4E_1AB1rsSw", "Video")</f>
        <v/>
      </c>
      <c r="B9047" t="inlineStr">
        <is>
          <t>2:37</t>
        </is>
      </c>
      <c r="C9047" t="inlineStr">
        <is>
          <t>a bit less if there's a wall between.</t>
        </is>
      </c>
      <c r="D9047">
        <f>HYPERLINK("https://www.youtube.com/watch?v=4E_1AB1rsSw&amp;t=157s", "Go to time")</f>
        <v/>
      </c>
    </row>
    <row r="9048">
      <c r="A9048">
        <f>HYPERLINK("https://www.youtube.com/watch?v=4E_1AB1rsSw", "Video")</f>
        <v/>
      </c>
      <c r="B9048" t="inlineStr">
        <is>
          <t>3:03</t>
        </is>
      </c>
      <c r="C9048" t="inlineStr">
        <is>
          <t>and to make this a bit creepier ...</t>
        </is>
      </c>
      <c r="D9048">
        <f>HYPERLINK("https://www.youtube.com/watch?v=4E_1AB1rsSw&amp;t=183s", "Go to time")</f>
        <v/>
      </c>
    </row>
    <row r="9049">
      <c r="A9049">
        <f>HYPERLINK("https://www.youtube.com/watch?v=vWJwa7lntTs", "Video")</f>
        <v/>
      </c>
      <c r="B9049" t="inlineStr">
        <is>
          <t>4:29</t>
        </is>
      </c>
      <c r="C9049" t="inlineStr">
        <is>
          <t>It feels a little bit
like analyzing interactive poetry</t>
        </is>
      </c>
      <c r="D9049">
        <f>HYPERLINK("https://www.youtube.com/watch?v=vWJwa7lntTs&amp;t=269s", "Go to time")</f>
        <v/>
      </c>
    </row>
    <row r="9050">
      <c r="A9050">
        <f>HYPERLINK("https://www.youtube.com/watch?v=vWJwa7lntTs", "Video")</f>
        <v/>
      </c>
      <c r="B9050" t="inlineStr">
        <is>
          <t>9:47</t>
        </is>
      </c>
      <c r="C9050" t="inlineStr">
        <is>
          <t>and it makes my burden of grief
just a little bit lighter</t>
        </is>
      </c>
      <c r="D9050">
        <f>HYPERLINK("https://www.youtube.com/watch?v=vWJwa7lntTs&amp;t=587s", "Go to time")</f>
        <v/>
      </c>
    </row>
    <row r="9051">
      <c r="A9051">
        <f>HYPERLINK("https://www.youtube.com/watch?v=k0GQSJrpVhM", "Video")</f>
        <v/>
      </c>
      <c r="B9051" t="inlineStr">
        <is>
          <t>3:55</t>
        </is>
      </c>
      <c r="C9051" t="inlineStr">
        <is>
          <t>There is a reason we keep going
down one rabbit hole after another,</t>
        </is>
      </c>
      <c r="D9051">
        <f>HYPERLINK("https://www.youtube.com/watch?v=k0GQSJrpVhM&amp;t=235s", "Go to time")</f>
        <v/>
      </c>
    </row>
    <row r="9052">
      <c r="A9052">
        <f>HYPERLINK("https://www.youtube.com/watch?v=qAC-5hTK-4c", "Video")</f>
        <v/>
      </c>
      <c r="B9052" t="inlineStr">
        <is>
          <t>0:54</t>
        </is>
      </c>
      <c r="C9052" t="inlineStr">
        <is>
          <t>It's what we use when we need
to break away from habit,</t>
        </is>
      </c>
      <c r="D9052">
        <f>HYPERLINK("https://www.youtube.com/watch?v=qAC-5hTK-4c&amp;t=54s", "Go to time")</f>
        <v/>
      </c>
    </row>
    <row r="9053">
      <c r="A9053">
        <f>HYPERLINK("https://www.youtube.com/watch?v=qAC-5hTK-4c", "Video")</f>
        <v/>
      </c>
      <c r="B9053" t="inlineStr">
        <is>
          <t>0:58</t>
        </is>
      </c>
      <c r="C9053" t="inlineStr">
        <is>
          <t>inhibit our impulses and plan ahead.</t>
        </is>
      </c>
      <c r="D9053">
        <f>HYPERLINK("https://www.youtube.com/watch?v=qAC-5hTK-4c&amp;t=58s", "Go to time")</f>
        <v/>
      </c>
    </row>
    <row r="9054">
      <c r="A9054">
        <f>HYPERLINK("https://www.youtube.com/watch?v=qAC-5hTK-4c", "Video")</f>
        <v/>
      </c>
      <c r="B9054" t="inlineStr">
        <is>
          <t>3:20</t>
        </is>
      </c>
      <c r="C9054" t="inlineStr">
        <is>
          <t>over and over until they build up a habit.</t>
        </is>
      </c>
      <c r="D9054">
        <f>HYPERLINK("https://www.youtube.com/watch?v=qAC-5hTK-4c&amp;t=200s", "Go to time")</f>
        <v/>
      </c>
    </row>
    <row r="9055">
      <c r="A9055">
        <f>HYPERLINK("https://www.youtube.com/watch?v=ag33QJmknXM", "Video")</f>
        <v/>
      </c>
      <c r="B9055" t="inlineStr">
        <is>
          <t>1:59</t>
        </is>
      </c>
      <c r="C9055" t="inlineStr">
        <is>
          <t>199,000 inhabitants,</t>
        </is>
      </c>
      <c r="D9055">
        <f>HYPERLINK("https://www.youtube.com/watch?v=ag33QJmknXM&amp;t=119s", "Go to time")</f>
        <v/>
      </c>
    </row>
    <row r="9056">
      <c r="A9056">
        <f>HYPERLINK("https://www.youtube.com/watch?v=ag33QJmknXM", "Video")</f>
        <v/>
      </c>
      <c r="B9056" t="inlineStr">
        <is>
          <t>7:58</t>
        </is>
      </c>
      <c r="C9056" t="inlineStr">
        <is>
          <t>of thinking a little bit outwards</t>
        </is>
      </c>
      <c r="D9056">
        <f>HYPERLINK("https://www.youtube.com/watch?v=ag33QJmknXM&amp;t=478s", "Go to time")</f>
        <v/>
      </c>
    </row>
    <row r="9057">
      <c r="A9057">
        <f>HYPERLINK("https://www.youtube.com/watch?v=ag33QJmknXM", "Video")</f>
        <v/>
      </c>
      <c r="B9057" t="inlineStr">
        <is>
          <t>8:07</t>
        </is>
      </c>
      <c r="C9057" t="inlineStr">
        <is>
          <t>the Donald and Hillary show
is a bit of a difficult one to follow,</t>
        </is>
      </c>
      <c r="D9057">
        <f>HYPERLINK("https://www.youtube.com/watch?v=ag33QJmknXM&amp;t=487s", "Go to time")</f>
        <v/>
      </c>
    </row>
    <row r="9058">
      <c r="A9058">
        <f>HYPERLINK("https://www.youtube.com/watch?v=ag33QJmknXM", "Video")</f>
        <v/>
      </c>
      <c r="B9058" t="inlineStr">
        <is>
          <t>10:25</t>
        </is>
      </c>
      <c r="C9058" t="inlineStr">
        <is>
          <t>and compete just a tiny bit less.</t>
        </is>
      </c>
      <c r="D9058">
        <f>HYPERLINK("https://www.youtube.com/watch?v=ag33QJmknXM&amp;t=625s", "Go to time")</f>
        <v/>
      </c>
    </row>
    <row r="9059">
      <c r="A9059">
        <f>HYPERLINK("https://www.youtube.com/watch?v=ag33QJmknXM", "Video")</f>
        <v/>
      </c>
      <c r="B9059" t="inlineStr">
        <is>
          <t>11:03</t>
        </is>
      </c>
      <c r="C9059" t="inlineStr">
        <is>
          <t>That's considered to be a bit macho.</t>
        </is>
      </c>
      <c r="D9059">
        <f>HYPERLINK("https://www.youtube.com/watch?v=ag33QJmknXM&amp;t=663s", "Go to time")</f>
        <v/>
      </c>
    </row>
    <row r="9060">
      <c r="A9060">
        <f>HYPERLINK("https://www.youtube.com/watch?v=-MTRxRO5SRA", "Video")</f>
        <v/>
      </c>
      <c r="B9060" t="inlineStr">
        <is>
          <t>0:37</t>
        </is>
      </c>
      <c r="C9060" t="inlineStr">
        <is>
          <t>and they might have been a little bit
shaky on some of the pre-algebra,</t>
        </is>
      </c>
      <c r="D9060">
        <f>HYPERLINK("https://www.youtube.com/watch?v=-MTRxRO5SRA&amp;t=37s", "Go to time")</f>
        <v/>
      </c>
    </row>
    <row r="9061">
      <c r="A9061">
        <f>HYPERLINK("https://www.youtube.com/watch?v=-MTRxRO5SRA", "Video")</f>
        <v/>
      </c>
      <c r="B9061" t="inlineStr">
        <is>
          <t>0:46</t>
        </is>
      </c>
      <c r="C9061" t="inlineStr">
        <is>
          <t>and they'd be a little bit
shaky on the algebra.</t>
        </is>
      </c>
      <c r="D9061">
        <f>HYPERLINK("https://www.youtube.com/watch?v=-MTRxRO5SRA&amp;t=46s", "Go to time")</f>
        <v/>
      </c>
    </row>
    <row r="9062">
      <c r="A9062">
        <f>HYPERLINK("https://www.youtube.com/watch?v=-MTRxRO5SRA", "Video")</f>
        <v/>
      </c>
      <c r="B9062" t="inlineStr">
        <is>
          <t>1:29</t>
        </is>
      </c>
      <c r="C9062" t="inlineStr">
        <is>
          <t>But when they were a bit older,</t>
        </is>
      </c>
      <c r="D9062">
        <f>HYPERLINK("https://www.youtube.com/watch?v=-MTRxRO5SRA&amp;t=89s", "Go to time")</f>
        <v/>
      </c>
    </row>
    <row r="9063">
      <c r="A9063">
        <f>HYPERLINK("https://www.youtube.com/watch?v=-MTRxRO5SRA", "Video")</f>
        <v/>
      </c>
      <c r="B9063" t="inlineStr">
        <is>
          <t>7:07</t>
        </is>
      </c>
      <c r="C9063" t="inlineStr">
        <is>
          <t>I'd like to give a little bit
of a thought experiment.</t>
        </is>
      </c>
      <c r="D9063">
        <f>HYPERLINK("https://www.youtube.com/watch?v=-MTRxRO5SRA&amp;t=427s", "Go to time")</f>
        <v/>
      </c>
    </row>
    <row r="9064">
      <c r="A9064">
        <f>HYPERLINK("https://www.youtube.com/watch?v=P1sbSJK1LiI", "Video")</f>
        <v/>
      </c>
      <c r="B9064" t="inlineStr">
        <is>
          <t>5:41</t>
        </is>
      </c>
      <c r="C9064" t="inlineStr">
        <is>
          <t>This is not in what we call
the traditional habitable zone,</t>
        </is>
      </c>
      <c r="D9064">
        <f>HYPERLINK("https://www.youtube.com/watch?v=P1sbSJK1LiI&amp;t=341s", "Go to time")</f>
        <v/>
      </c>
    </row>
    <row r="9065">
      <c r="A9065">
        <f>HYPERLINK("https://www.youtube.com/watch?v=P1sbSJK1LiI", "Video")</f>
        <v/>
      </c>
      <c r="B9065" t="inlineStr">
        <is>
          <t>8:31</t>
        </is>
      </c>
      <c r="C9065" t="inlineStr">
        <is>
          <t>which are not in what we call
a traditional habitable zone,</t>
        </is>
      </c>
      <c r="D9065">
        <f>HYPERLINK("https://www.youtube.com/watch?v=P1sbSJK1LiI&amp;t=511s", "Go to time")</f>
        <v/>
      </c>
    </row>
    <row r="9066">
      <c r="A9066">
        <f>HYPERLINK("https://www.youtube.com/watch?v=wlR1ojoiue0", "Video")</f>
        <v/>
      </c>
      <c r="B9066" t="inlineStr">
        <is>
          <t>1:43</t>
        </is>
      </c>
      <c r="C9066" t="inlineStr">
        <is>
          <t>Every day they fail to eat,
they lose a little bit of their future.</t>
        </is>
      </c>
      <c r="D9066">
        <f>HYPERLINK("https://www.youtube.com/watch?v=wlR1ojoiue0&amp;t=103s", "Go to time")</f>
        <v/>
      </c>
    </row>
    <row r="9067">
      <c r="A9067">
        <f>HYPERLINK("https://www.youtube.com/watch?v=wlR1ojoiue0", "Video")</f>
        <v/>
      </c>
      <c r="B9067" t="inlineStr">
        <is>
          <t>4:46</t>
        </is>
      </c>
      <c r="C9067" t="inlineStr">
        <is>
          <t>Currently, they take a little bit
of saved food grain from the prior year,</t>
        </is>
      </c>
      <c r="D9067">
        <f>HYPERLINK("https://www.youtube.com/watch?v=wlR1ojoiue0&amp;t=286s", "Go to time")</f>
        <v/>
      </c>
    </row>
    <row r="9068">
      <c r="A9068">
        <f>HYPERLINK("https://www.youtube.com/watch?v=C6mNITMY7e0", "Video")</f>
        <v/>
      </c>
      <c r="B9068" t="inlineStr">
        <is>
          <t>9:04</t>
        </is>
      </c>
      <c r="C9068" t="inlineStr">
        <is>
          <t>offer him or her a bit of help,</t>
        </is>
      </c>
      <c r="D9068">
        <f>HYPERLINK("https://www.youtube.com/watch?v=C6mNITMY7e0&amp;t=544s", "Go to time")</f>
        <v/>
      </c>
    </row>
    <row r="9069">
      <c r="A9069">
        <f>HYPERLINK("https://www.youtube.com/watch?v=QTau-xHsz80", "Video")</f>
        <v/>
      </c>
      <c r="B9069" t="inlineStr">
        <is>
          <t>10:02</t>
        </is>
      </c>
      <c r="C9069" t="inlineStr">
        <is>
          <t>You can take a bite of him."</t>
        </is>
      </c>
      <c r="D9069">
        <f>HYPERLINK("https://www.youtube.com/watch?v=QTau-xHsz80&amp;t=602s", "Go to time")</f>
        <v/>
      </c>
    </row>
    <row r="9070">
      <c r="A9070">
        <f>HYPERLINK("https://www.youtube.com/watch?v=QTau-xHsz80", "Video")</f>
        <v/>
      </c>
      <c r="B9070" t="inlineStr">
        <is>
          <t>11:22</t>
        </is>
      </c>
      <c r="C9070" t="inlineStr">
        <is>
          <t>saw a little bit of light.</t>
        </is>
      </c>
      <c r="D9070">
        <f>HYPERLINK("https://www.youtube.com/watch?v=QTau-xHsz80&amp;t=682s", "Go to time")</f>
        <v/>
      </c>
    </row>
    <row r="9071">
      <c r="A9071">
        <f>HYPERLINK("https://www.youtube.com/watch?v=dQYfflJ4V5Q", "Video")</f>
        <v/>
      </c>
      <c r="B9071" t="inlineStr">
        <is>
          <t>4:26</t>
        </is>
      </c>
      <c r="C9071" t="inlineStr">
        <is>
          <t>this is a bit harder.</t>
        </is>
      </c>
      <c r="D9071">
        <f>HYPERLINK("https://www.youtube.com/watch?v=dQYfflJ4V5Q&amp;t=266s", "Go to time")</f>
        <v/>
      </c>
    </row>
    <row r="9072">
      <c r="A9072">
        <f>HYPERLINK("https://www.youtube.com/watch?v=dQYfflJ4V5Q", "Video")</f>
        <v/>
      </c>
      <c r="B9072" t="inlineStr">
        <is>
          <t>7:20</t>
        </is>
      </c>
      <c r="C9072" t="inlineStr">
        <is>
          <t>you’re probably beginning to feel
a little bit uncomfortable right now.</t>
        </is>
      </c>
      <c r="D9072">
        <f>HYPERLINK("https://www.youtube.com/watch?v=dQYfflJ4V5Q&amp;t=440s", "Go to time")</f>
        <v/>
      </c>
    </row>
    <row r="9073">
      <c r="A9073">
        <f>HYPERLINK("https://www.youtube.com/watch?v=hBJo_qRDnw8", "Video")</f>
        <v/>
      </c>
      <c r="B9073" t="inlineStr">
        <is>
          <t>1:50</t>
        </is>
      </c>
      <c r="C9073" t="inlineStr">
        <is>
          <t>A little bit of my own history:</t>
        </is>
      </c>
      <c r="D9073">
        <f>HYPERLINK("https://www.youtube.com/watch?v=hBJo_qRDnw8&amp;t=110s", "Go to time")</f>
        <v/>
      </c>
    </row>
    <row r="9074">
      <c r="A9074">
        <f>HYPERLINK("https://www.youtube.com/watch?v=hBJo_qRDnw8", "Video")</f>
        <v/>
      </c>
      <c r="B9074" t="inlineStr">
        <is>
          <t>1:58</t>
        </is>
      </c>
      <c r="C9074" t="inlineStr">
        <is>
          <t>with a little bit of going back and forth
to the UK for boarding school.</t>
        </is>
      </c>
      <c r="D9074">
        <f>HYPERLINK("https://www.youtube.com/watch?v=hBJo_qRDnw8&amp;t=118s", "Go to time")</f>
        <v/>
      </c>
    </row>
    <row r="9075">
      <c r="A9075">
        <f>HYPERLINK("https://www.youtube.com/watch?v=hBJo_qRDnw8", "Video")</f>
        <v/>
      </c>
      <c r="B9075" t="inlineStr">
        <is>
          <t>16:02</t>
        </is>
      </c>
      <c r="C9075" t="inlineStr">
        <is>
          <t>So could you tell us
a little bit about your trip</t>
        </is>
      </c>
      <c r="D9075">
        <f>HYPERLINK("https://www.youtube.com/watch?v=hBJo_qRDnw8&amp;t=962s", "Go to time")</f>
        <v/>
      </c>
    </row>
    <row r="9076">
      <c r="A9076">
        <f>HYPERLINK("https://www.youtube.com/watch?v=KJW3sucsJGs", "Video")</f>
        <v/>
      </c>
      <c r="B9076" t="inlineStr">
        <is>
          <t>2:55</t>
        </is>
      </c>
      <c r="C9076" t="inlineStr">
        <is>
          <t>But it did take a bit of fighting.</t>
        </is>
      </c>
      <c r="D9076">
        <f>HYPERLINK("https://www.youtube.com/watch?v=KJW3sucsJGs&amp;t=175s", "Go to time")</f>
        <v/>
      </c>
    </row>
    <row r="9077">
      <c r="A9077">
        <f>HYPERLINK("https://www.youtube.com/watch?v=dYNc3P4j-t4", "Video")</f>
        <v/>
      </c>
      <c r="B9077" t="inlineStr">
        <is>
          <t>0:52</t>
        </is>
      </c>
      <c r="C9077" t="inlineStr">
        <is>
          <t>and parts of the city
would be uninhabitable for years,</t>
        </is>
      </c>
      <c r="D9077">
        <f>HYPERLINK("https://www.youtube.com/watch?v=dYNc3P4j-t4&amp;t=52s", "Go to time")</f>
        <v/>
      </c>
    </row>
    <row r="9078">
      <c r="A9078">
        <f>HYPERLINK("https://www.youtube.com/watch?v=dYNc3P4j-t4", "Video")</f>
        <v/>
      </c>
      <c r="B9078" t="inlineStr">
        <is>
          <t>2:06</t>
        </is>
      </c>
      <c r="C9078" t="inlineStr">
        <is>
          <t>that we heard about a little bit earlier.</t>
        </is>
      </c>
      <c r="D9078">
        <f>HYPERLINK("https://www.youtube.com/watch?v=dYNc3P4j-t4&amp;t=126s", "Go to time")</f>
        <v/>
      </c>
    </row>
    <row r="9079">
      <c r="A9079">
        <f>HYPERLINK("https://www.youtube.com/watch?v=OIlSXRC-B-I", "Video")</f>
        <v/>
      </c>
      <c r="B9079" t="inlineStr">
        <is>
          <t>0:50</t>
        </is>
      </c>
      <c r="C9079" t="inlineStr">
        <is>
          <t>I felt a bit trapped.</t>
        </is>
      </c>
      <c r="D9079">
        <f>HYPERLINK("https://www.youtube.com/watch?v=OIlSXRC-B-I&amp;t=50s", "Go to time")</f>
        <v/>
      </c>
    </row>
    <row r="9080">
      <c r="A9080">
        <f>HYPERLINK("https://www.youtube.com/watch?v=OIlSXRC-B-I", "Video")</f>
        <v/>
      </c>
      <c r="B9080" t="inlineStr">
        <is>
          <t>9:22</t>
        </is>
      </c>
      <c r="C9080" t="inlineStr">
        <is>
          <t>written long before the days
of bitcoin, fintech and digital technology</t>
        </is>
      </c>
      <c r="D9080">
        <f>HYPERLINK("https://www.youtube.com/watch?v=OIlSXRC-B-I&amp;t=562s", "Go to time")</f>
        <v/>
      </c>
    </row>
    <row r="9081">
      <c r="A9081">
        <f>HYPERLINK("https://www.youtube.com/watch?v=NBMTc71yrpk", "Video")</f>
        <v/>
      </c>
      <c r="B9081" t="inlineStr">
        <is>
          <t>1:37</t>
        </is>
      </c>
      <c r="C9081" t="inlineStr">
        <is>
          <t>It’s sure to create fun,
bite-sized entertainment,</t>
        </is>
      </c>
      <c r="D9081">
        <f>HYPERLINK("https://www.youtube.com/watch?v=NBMTc71yrpk&amp;t=97s", "Go to time")</f>
        <v/>
      </c>
    </row>
    <row r="9082">
      <c r="A9082">
        <f>HYPERLINK("https://www.youtube.com/watch?v=Qm02X0aE8uU", "Video")</f>
        <v/>
      </c>
      <c r="B9082" t="inlineStr">
        <is>
          <t>2:20</t>
        </is>
      </c>
      <c r="C9082" t="inlineStr">
        <is>
          <t>and its inhabitants</t>
        </is>
      </c>
      <c r="D9082">
        <f>HYPERLINK("https://www.youtube.com/watch?v=Qm02X0aE8uU&amp;t=140s", "Go to time")</f>
        <v/>
      </c>
    </row>
    <row r="9083">
      <c r="A9083">
        <f>HYPERLINK("https://www.youtube.com/watch?v=lWnr-99DNeE", "Video")</f>
        <v/>
      </c>
      <c r="B9083" t="inlineStr">
        <is>
          <t>3:59</t>
        </is>
      </c>
      <c r="C9083" t="inlineStr">
        <is>
          <t>may be inhabited.</t>
        </is>
      </c>
      <c r="D9083">
        <f>HYPERLINK("https://www.youtube.com/watch?v=lWnr-99DNeE&amp;t=239s", "Go to time")</f>
        <v/>
      </c>
    </row>
    <row r="9084">
      <c r="A9084">
        <f>HYPERLINK("https://www.youtube.com/watch?v=NSJKi4eWO8s", "Video")</f>
        <v/>
      </c>
      <c r="B9084" t="inlineStr">
        <is>
          <t>2:02</t>
        </is>
      </c>
      <c r="C9084" t="inlineStr">
        <is>
          <t>So I've actually done
quite a bit of study of this question</t>
        </is>
      </c>
      <c r="D9084">
        <f>HYPERLINK("https://www.youtube.com/watch?v=NSJKi4eWO8s&amp;t=122s", "Go to time")</f>
        <v/>
      </c>
    </row>
    <row r="9085">
      <c r="A9085">
        <f>HYPERLINK("https://www.youtube.com/watch?v=k0Fx6igxRv8", "Video")</f>
        <v/>
      </c>
      <c r="B9085" t="inlineStr">
        <is>
          <t>17:20</t>
        </is>
      </c>
      <c r="C9085" t="inlineStr">
        <is>
          <t>are starting to worry about quite a bit.</t>
        </is>
      </c>
      <c r="D9085">
        <f>HYPERLINK("https://www.youtube.com/watch?v=k0Fx6igxRv8&amp;t=1040s", "Go to time")</f>
        <v/>
      </c>
    </row>
    <row r="9086">
      <c r="A9086">
        <f>HYPERLINK("https://www.youtube.com/watch?v=k0Fx6igxRv8", "Video")</f>
        <v/>
      </c>
      <c r="B9086" t="inlineStr">
        <is>
          <t>28:18</t>
        </is>
      </c>
      <c r="C9086" t="inlineStr">
        <is>
          <t>BG: Let's talk a bit about China.</t>
        </is>
      </c>
      <c r="D9086">
        <f>HYPERLINK("https://www.youtube.com/watch?v=k0Fx6igxRv8&amp;t=1698s", "Go to time")</f>
        <v/>
      </c>
    </row>
    <row r="9087">
      <c r="A9087">
        <f>HYPERLINK("https://www.youtube.com/watch?v=j_GzkjHtFiA", "Video")</f>
        <v/>
      </c>
      <c r="B9087" t="inlineStr">
        <is>
          <t>0:15</t>
        </is>
      </c>
      <c r="C9087" t="inlineStr">
        <is>
          <t>when my dad took me
to an exhibition on space,</t>
        </is>
      </c>
      <c r="D9087">
        <f>HYPERLINK("https://www.youtube.com/watch?v=j_GzkjHtFiA&amp;t=15s", "Go to time")</f>
        <v/>
      </c>
    </row>
    <row r="9088">
      <c r="A9088">
        <f>HYPERLINK("https://www.youtube.com/watch?v=j_GzkjHtFiA", "Video")</f>
        <v/>
      </c>
      <c r="B9088" t="inlineStr">
        <is>
          <t>0:27</t>
        </is>
      </c>
      <c r="C9088" t="inlineStr">
        <is>
          <t>There was a bit of an upmanship going on
between the Americans and the Russians</t>
        </is>
      </c>
      <c r="D9088">
        <f>HYPERLINK("https://www.youtube.com/watch?v=j_GzkjHtFiA&amp;t=27s", "Go to time")</f>
        <v/>
      </c>
    </row>
    <row r="9089">
      <c r="A9089">
        <f>HYPERLINK("https://www.youtube.com/watch?v=j_GzkjHtFiA", "Video")</f>
        <v/>
      </c>
      <c r="B9089" t="inlineStr">
        <is>
          <t>0:31</t>
        </is>
      </c>
      <c r="C9089" t="inlineStr">
        <is>
          <t>bringing bits to that exhibition.</t>
        </is>
      </c>
      <c r="D9089">
        <f>HYPERLINK("https://www.youtube.com/watch?v=j_GzkjHtFiA&amp;t=31s", "Go to time")</f>
        <v/>
      </c>
    </row>
    <row r="9090">
      <c r="A9090">
        <f>HYPERLINK("https://www.youtube.com/watch?v=j_GzkjHtFiA", "Video")</f>
        <v/>
      </c>
      <c r="B9090" t="inlineStr">
        <is>
          <t>2:00</t>
        </is>
      </c>
      <c r="C9090" t="inlineStr">
        <is>
          <t>they asked us to design a Moon habitat --</t>
        </is>
      </c>
      <c r="D9090">
        <f>HYPERLINK("https://www.youtube.com/watch?v=j_GzkjHtFiA&amp;t=120s", "Go to time")</f>
        <v/>
      </c>
    </row>
    <row r="9091">
      <c r="A9091">
        <f>HYPERLINK("https://www.youtube.com/watch?v=j_GzkjHtFiA", "Video")</f>
        <v/>
      </c>
      <c r="B9091" t="inlineStr">
        <is>
          <t>2:06</t>
        </is>
      </c>
      <c r="C9091" t="inlineStr">
        <is>
          <t>a competition to look
at a habitation on Mars.</t>
        </is>
      </c>
      <c r="D9091">
        <f>HYPERLINK("https://www.youtube.com/watch?v=j_GzkjHtFiA&amp;t=126s", "Go to time")</f>
        <v/>
      </c>
    </row>
    <row r="9092">
      <c r="A9092">
        <f>HYPERLINK("https://www.youtube.com/watch?v=j_GzkjHtFiA", "Video")</f>
        <v/>
      </c>
      <c r="B9092" t="inlineStr">
        <is>
          <t>9:46</t>
        </is>
      </c>
      <c r="C9092" t="inlineStr">
        <is>
          <t>And it's a bit like
a termite's mound, you know?</t>
        </is>
      </c>
      <c r="D9092">
        <f>HYPERLINK("https://www.youtube.com/watch?v=j_GzkjHtFiA&amp;t=586s", "Go to time")</f>
        <v/>
      </c>
    </row>
    <row r="9093">
      <c r="A9093">
        <f>HYPERLINK("https://www.youtube.com/watch?v=j_GzkjHtFiA", "Video")</f>
        <v/>
      </c>
      <c r="B9093" t="inlineStr">
        <is>
          <t>9:56</t>
        </is>
      </c>
      <c r="C9093" t="inlineStr">
        <is>
          <t>It might take a little bit longer.</t>
        </is>
      </c>
      <c r="D9093">
        <f>HYPERLINK("https://www.youtube.com/watch?v=j_GzkjHtFiA&amp;t=596s", "Go to time")</f>
        <v/>
      </c>
    </row>
    <row r="9094">
      <c r="A9094">
        <f>HYPERLINK("https://www.youtube.com/watch?v=j_GzkjHtFiA", "Video")</f>
        <v/>
      </c>
      <c r="B9094" t="inlineStr">
        <is>
          <t>10:02</t>
        </is>
      </c>
      <c r="C9094" t="inlineStr">
        <is>
          <t>well, it will take a bit longer,
but you will still be able to do it.</t>
        </is>
      </c>
      <c r="D9094">
        <f>HYPERLINK("https://www.youtube.com/watch?v=j_GzkjHtFiA&amp;t=602s", "Go to time")</f>
        <v/>
      </c>
    </row>
    <row r="9095">
      <c r="A9095">
        <f>HYPERLINK("https://www.youtube.com/watch?v=j_GzkjHtFiA", "Video")</f>
        <v/>
      </c>
      <c r="B9095" t="inlineStr">
        <is>
          <t>11:42</t>
        </is>
      </c>
      <c r="C9095" t="inlineStr">
        <is>
          <t>It was also with the habitats.</t>
        </is>
      </c>
      <c r="D9095">
        <f>HYPERLINK("https://www.youtube.com/watch?v=j_GzkjHtFiA&amp;t=702s", "Go to time")</f>
        <v/>
      </c>
    </row>
    <row r="9096">
      <c r="A9096">
        <f>HYPERLINK("https://www.youtube.com/watch?v=j_GzkjHtFiA", "Video")</f>
        <v/>
      </c>
      <c r="B9096" t="inlineStr">
        <is>
          <t>12:36</t>
        </is>
      </c>
      <c r="C9096" t="inlineStr">
        <is>
          <t>in projects like
interplanetary habitation.</t>
        </is>
      </c>
      <c r="D9096">
        <f>HYPERLINK("https://www.youtube.com/watch?v=j_GzkjHtFiA&amp;t=756s", "Go to time")</f>
        <v/>
      </c>
    </row>
    <row r="9097">
      <c r="A9097">
        <f>HYPERLINK("https://www.youtube.com/watch?v=KCr8s57hdzY", "Video")</f>
        <v/>
      </c>
      <c r="B9097" t="inlineStr">
        <is>
          <t>0:43</t>
        </is>
      </c>
      <c r="C9097" t="inlineStr">
        <is>
          <t>But she cut me off, a bit impatiently,
and said, "Yeah, I know all of that.</t>
        </is>
      </c>
      <c r="D9097">
        <f>HYPERLINK("https://www.youtube.com/watch?v=KCr8s57hdzY&amp;t=43s", "Go to time")</f>
        <v/>
      </c>
    </row>
    <row r="9098">
      <c r="A9098">
        <f>HYPERLINK("https://www.youtube.com/watch?v=KCr8s57hdzY", "Video")</f>
        <v/>
      </c>
      <c r="B9098" t="inlineStr">
        <is>
          <t>2:57</t>
        </is>
      </c>
      <c r="C9098" t="inlineStr">
        <is>
          <t>like cinnamon, a bit of rose water</t>
        </is>
      </c>
      <c r="D9098">
        <f>HYPERLINK("https://www.youtube.com/watch?v=KCr8s57hdzY&amp;t=177s", "Go to time")</f>
        <v/>
      </c>
    </row>
    <row r="9099">
      <c r="A9099">
        <f>HYPERLINK("https://www.youtube.com/watch?v=KCr8s57hdzY", "Video")</f>
        <v/>
      </c>
      <c r="B9099" t="inlineStr">
        <is>
          <t>3:11</t>
        </is>
      </c>
      <c r="C9099" t="inlineStr">
        <is>
          <t>is a mixture of sweet and bitter.</t>
        </is>
      </c>
      <c r="D9099">
        <f>HYPERLINK("https://www.youtube.com/watch?v=KCr8s57hdzY&amp;t=191s", "Go to time")</f>
        <v/>
      </c>
    </row>
    <row r="9100">
      <c r="A9100">
        <f>HYPERLINK("https://www.youtube.com/watch?v=XTHUcQuybEk", "Video")</f>
        <v/>
      </c>
      <c r="B9100" t="inlineStr">
        <is>
          <t>7:26</t>
        </is>
      </c>
      <c r="C9100" t="inlineStr">
        <is>
          <t>We'll come back to this
in just a little bit.</t>
        </is>
      </c>
      <c r="D9100">
        <f>HYPERLINK("https://www.youtube.com/watch?v=XTHUcQuybEk&amp;t=446s", "Go to time")</f>
        <v/>
      </c>
    </row>
    <row r="9101">
      <c r="A9101">
        <f>HYPERLINK("https://www.youtube.com/watch?v=Tu01sNfs5SQ", "Video")</f>
        <v/>
      </c>
      <c r="B9101" t="inlineStr">
        <is>
          <t>1:26</t>
        </is>
      </c>
      <c r="C9101" t="inlineStr">
        <is>
          <t>except foxes feed on rabbits,</t>
        </is>
      </c>
      <c r="D9101">
        <f>HYPERLINK("https://www.youtube.com/watch?v=Tu01sNfs5SQ&amp;t=86s", "Go to time")</f>
        <v/>
      </c>
    </row>
    <row r="9102">
      <c r="A9102">
        <f>HYPERLINK("https://www.youtube.com/watch?v=Tu01sNfs5SQ", "Video")</f>
        <v/>
      </c>
      <c r="B9102" t="inlineStr">
        <is>
          <t>1:39</t>
        </is>
      </c>
      <c r="C9102" t="inlineStr">
        <is>
          <t>will describe interactions
between foxes and rabbits</t>
        </is>
      </c>
      <c r="D9102">
        <f>HYPERLINK("https://www.youtube.com/watch?v=Tu01sNfs5SQ&amp;t=99s", "Go to time")</f>
        <v/>
      </c>
    </row>
    <row r="9103">
      <c r="A9103">
        <f>HYPERLINK("https://www.youtube.com/watch?v=Tu01sNfs5SQ", "Video")</f>
        <v/>
      </c>
      <c r="B9103" t="inlineStr">
        <is>
          <t>3:08</t>
        </is>
      </c>
      <c r="C9103" t="inlineStr">
        <is>
          <t>This means that if you abstract a bit,</t>
        </is>
      </c>
      <c r="D9103">
        <f>HYPERLINK("https://www.youtube.com/watch?v=Tu01sNfs5SQ&amp;t=188s", "Go to time")</f>
        <v/>
      </c>
    </row>
    <row r="9104">
      <c r="A9104">
        <f>HYPERLINK("https://www.youtube.com/watch?v=Dn1nYrnsmr4", "Video")</f>
        <v/>
      </c>
      <c r="B9104" t="inlineStr">
        <is>
          <t>2:54</t>
        </is>
      </c>
      <c r="C9104" t="inlineStr">
        <is>
          <t>little bit more hard-nosed with</t>
        </is>
      </c>
      <c r="D9104">
        <f>HYPERLINK("https://www.youtube.com/watch?v=Dn1nYrnsmr4&amp;t=174s", "Go to time")</f>
        <v/>
      </c>
    </row>
    <row r="9105">
      <c r="A9105">
        <f>HYPERLINK("https://www.youtube.com/watch?v=Dn1nYrnsmr4", "Video")</f>
        <v/>
      </c>
      <c r="B9105" t="inlineStr">
        <is>
          <t>3:37</t>
        </is>
      </c>
      <c r="C9105" t="inlineStr">
        <is>
          <t>to actually work a little bit harder at</t>
        </is>
      </c>
      <c r="D9105">
        <f>HYPERLINK("https://www.youtube.com/watch?v=Dn1nYrnsmr4&amp;t=217s", "Go to time")</f>
        <v/>
      </c>
    </row>
    <row r="9106">
      <c r="A9106">
        <f>HYPERLINK("https://www.youtube.com/watch?v=Dn1nYrnsmr4", "Video")</f>
        <v/>
      </c>
      <c r="B9106" t="inlineStr">
        <is>
          <t>8:35</t>
        </is>
      </c>
      <c r="C9106" t="inlineStr">
        <is>
          <t>want to ask you is to talk a bit more</t>
        </is>
      </c>
      <c r="D9106">
        <f>HYPERLINK("https://www.youtube.com/watch?v=Dn1nYrnsmr4&amp;t=515s", "Go to time")</f>
        <v/>
      </c>
    </row>
    <row r="9107">
      <c r="A9107">
        <f>HYPERLINK("https://www.youtube.com/watch?v=Dn1nYrnsmr4", "Video")</f>
        <v/>
      </c>
      <c r="B9107" t="inlineStr">
        <is>
          <t>9:09</t>
        </is>
      </c>
      <c r="C9107" t="inlineStr">
        <is>
          <t>you can talk a little bit more about</t>
        </is>
      </c>
      <c r="D9107">
        <f>HYPERLINK("https://www.youtube.com/watch?v=Dn1nYrnsmr4&amp;t=549s", "Go to time")</f>
        <v/>
      </c>
    </row>
    <row r="9108">
      <c r="A9108">
        <f>HYPERLINK("https://www.youtube.com/watch?v=Dn1nYrnsmr4", "Video")</f>
        <v/>
      </c>
      <c r="B9108" t="inlineStr">
        <is>
          <t>20:52</t>
        </is>
      </c>
      <c r="C9108" t="inlineStr">
        <is>
          <t>the bit that I find it doesn't quite</t>
        </is>
      </c>
      <c r="D9108">
        <f>HYPERLINK("https://www.youtube.com/watch?v=Dn1nYrnsmr4&amp;t=1252s", "Go to time")</f>
        <v/>
      </c>
    </row>
    <row r="9109">
      <c r="A9109">
        <f>HYPERLINK("https://www.youtube.com/watch?v=PkGCtSkbnjQ", "Video")</f>
        <v/>
      </c>
      <c r="B9109" t="inlineStr">
        <is>
          <t>2:33</t>
        </is>
      </c>
      <c r="C9109" t="inlineStr">
        <is>
          <t>This feels a bit more like dreams, right?</t>
        </is>
      </c>
      <c r="D9109">
        <f>HYPERLINK("https://www.youtube.com/watch?v=PkGCtSkbnjQ&amp;t=153s", "Go to time")</f>
        <v/>
      </c>
    </row>
    <row r="9110">
      <c r="A9110">
        <f>HYPERLINK("https://www.youtube.com/watch?v=PkGCtSkbnjQ", "Video")</f>
        <v/>
      </c>
      <c r="B9110" t="inlineStr">
        <is>
          <t>7:07</t>
        </is>
      </c>
      <c r="C9110" t="inlineStr">
        <is>
          <t>but it could be a way of making
the journey a bit less daunting.</t>
        </is>
      </c>
      <c r="D9110">
        <f>HYPERLINK("https://www.youtube.com/watch?v=PkGCtSkbnjQ&amp;t=427s", "Go to time")</f>
        <v/>
      </c>
    </row>
    <row r="9111">
      <c r="A9111">
        <f>HYPERLINK("https://www.youtube.com/watch?v=PkGCtSkbnjQ", "Video")</f>
        <v/>
      </c>
      <c r="B9111" t="inlineStr">
        <is>
          <t>7:12</t>
        </is>
      </c>
      <c r="C9111" t="inlineStr">
        <is>
          <t>"It feels a bit like finding
your glasses on your head</t>
        </is>
      </c>
      <c r="D9111">
        <f>HYPERLINK("https://www.youtube.com/watch?v=PkGCtSkbnjQ&amp;t=432s", "Go to time")</f>
        <v/>
      </c>
    </row>
    <row r="9112">
      <c r="A9112">
        <f>HYPERLINK("https://www.youtube.com/watch?v=hiWgbXibGSE", "Video")</f>
        <v/>
      </c>
      <c r="B9112" t="inlineStr">
        <is>
          <t>3:41</t>
        </is>
      </c>
      <c r="C9112" t="inlineStr">
        <is>
          <t>Such was the habit of politicians,
fraternal orders, colleges,</t>
        </is>
      </c>
      <c r="D9112">
        <f>HYPERLINK("https://www.youtube.com/watch?v=hiWgbXibGSE&amp;t=221s", "Go to time")</f>
        <v/>
      </c>
    </row>
    <row r="9113">
      <c r="A9113">
        <f>HYPERLINK("https://www.youtube.com/watch?v=AMVgX8cXsHA", "Video")</f>
        <v/>
      </c>
      <c r="B9113" t="inlineStr">
        <is>
          <t>8:27</t>
        </is>
      </c>
      <c r="C9113" t="inlineStr">
        <is>
          <t>and tasted the bitter herbs of slavery.</t>
        </is>
      </c>
      <c r="D9113">
        <f>HYPERLINK("https://www.youtube.com/watch?v=AMVgX8cXsHA&amp;t=507s", "Go to time")</f>
        <v/>
      </c>
    </row>
    <row r="9114">
      <c r="A9114">
        <f>HYPERLINK("https://www.youtube.com/watch?v=c0bsKc4tiuY", "Video")</f>
        <v/>
      </c>
      <c r="B9114" t="inlineStr">
        <is>
          <t>0:47</t>
        </is>
      </c>
      <c r="C9114" t="inlineStr">
        <is>
          <t>just to even things out a little bit.</t>
        </is>
      </c>
      <c r="D9114">
        <f>HYPERLINK("https://www.youtube.com/watch?v=c0bsKc4tiuY&amp;t=47s", "Go to time")</f>
        <v/>
      </c>
    </row>
    <row r="9115">
      <c r="A9115">
        <f>HYPERLINK("https://www.youtube.com/watch?v=c0bsKc4tiuY", "Video")</f>
        <v/>
      </c>
      <c r="B9115" t="inlineStr">
        <is>
          <t>4:00</t>
        </is>
      </c>
      <c r="C9115" t="inlineStr">
        <is>
          <t>But I was a super ambitious
student growing up.</t>
        </is>
      </c>
      <c r="D9115">
        <f>HYPERLINK("https://www.youtube.com/watch?v=c0bsKc4tiuY&amp;t=240s", "Go to time")</f>
        <v/>
      </c>
    </row>
    <row r="9116">
      <c r="A9116">
        <f>HYPERLINK("https://www.youtube.com/watch?v=c0bsKc4tiuY", "Video")</f>
        <v/>
      </c>
      <c r="B9116" t="inlineStr">
        <is>
          <t>8:08</t>
        </is>
      </c>
      <c r="C9116" t="inlineStr">
        <is>
          <t>but I think some sort of
"head orbit device,"</t>
        </is>
      </c>
      <c r="D9116">
        <f>HYPERLINK("https://www.youtube.com/watch?v=c0bsKc4tiuY&amp;t=488s", "Go to time")</f>
        <v/>
      </c>
    </row>
    <row r="9117">
      <c r="A9117">
        <f>HYPERLINK("https://www.youtube.com/watch?v=c0bsKc4tiuY", "Video")</f>
        <v/>
      </c>
      <c r="B9117" t="inlineStr">
        <is>
          <t>8:33</t>
        </is>
      </c>
      <c r="C9117" t="inlineStr">
        <is>
          <t>And you just put a little bit like that.</t>
        </is>
      </c>
      <c r="D9117">
        <f>HYPERLINK("https://www.youtube.com/watch?v=c0bsKc4tiuY&amp;t=513s", "Go to time")</f>
        <v/>
      </c>
    </row>
    <row r="9118">
      <c r="A9118">
        <f>HYPERLINK("https://www.youtube.com/watch?v=c0bsKc4tiuY", "Video")</f>
        <v/>
      </c>
      <c r="B9118" t="inlineStr">
        <is>
          <t>9:19</t>
        </is>
      </c>
      <c r="C9118" t="inlineStr">
        <is>
          <t>so if you guys could
just clap your hands a little bit more --</t>
        </is>
      </c>
      <c r="D9118">
        <f>HYPERLINK("https://www.youtube.com/watch?v=c0bsKc4tiuY&amp;t=559s", "Go to time")</f>
        <v/>
      </c>
    </row>
    <row r="9119">
      <c r="A9119">
        <f>HYPERLINK("https://www.youtube.com/watch?v=c0bsKc4tiuY", "Video")</f>
        <v/>
      </c>
      <c r="B9119" t="inlineStr">
        <is>
          <t>9:44</t>
        </is>
      </c>
      <c r="C9119" t="inlineStr">
        <is>
          <t>But I still need to work
on this machine a little bit</t>
        </is>
      </c>
      <c r="D9119">
        <f>HYPERLINK("https://www.youtube.com/watch?v=c0bsKc4tiuY&amp;t=584s", "Go to time")</f>
        <v/>
      </c>
    </row>
    <row r="9120">
      <c r="A9120">
        <f>HYPERLINK("https://www.youtube.com/watch?v=c0bsKc4tiuY", "Video")</f>
        <v/>
      </c>
      <c r="B9120" t="inlineStr">
        <is>
          <t>9:52</t>
        </is>
      </c>
      <c r="C9120" t="inlineStr">
        <is>
          <t>but if your hands
are shaking a little bit,</t>
        </is>
      </c>
      <c r="D9120">
        <f>HYPERLINK("https://www.youtube.com/watch?v=c0bsKc4tiuY&amp;t=592s", "Go to time")</f>
        <v/>
      </c>
    </row>
    <row r="9121">
      <c r="A9121">
        <f>HYPERLINK("https://www.youtube.com/watch?v=c0bsKc4tiuY", "Video")</f>
        <v/>
      </c>
      <c r="B9121" t="inlineStr">
        <is>
          <t>10:12</t>
        </is>
      </c>
      <c r="C9121" t="inlineStr">
        <is>
          <t>It just gets stuck a little bit.</t>
        </is>
      </c>
      <c r="D9121">
        <f>HYPERLINK("https://www.youtube.com/watch?v=c0bsKc4tiuY&amp;t=612s", "Go to time")</f>
        <v/>
      </c>
    </row>
    <row r="9122">
      <c r="A9122">
        <f>HYPERLINK("https://www.youtube.com/watch?v=c0bsKc4tiuY", "Video")</f>
        <v/>
      </c>
      <c r="B9122" t="inlineStr">
        <is>
          <t>10:17</t>
        </is>
      </c>
      <c r="C9122" t="inlineStr">
        <is>
          <t>Oh wait, let's go back a little bit,</t>
        </is>
      </c>
      <c r="D9122">
        <f>HYPERLINK("https://www.youtube.com/watch?v=c0bsKc4tiuY&amp;t=617s", "Go to time")</f>
        <v/>
      </c>
    </row>
    <row r="9123">
      <c r="A9123">
        <f>HYPERLINK("https://www.youtube.com/watch?v=RplnSVTzvnU", "Video")</f>
        <v/>
      </c>
      <c r="B9123" t="inlineStr">
        <is>
          <t>5:00</t>
        </is>
      </c>
      <c r="C9123" t="inlineStr">
        <is>
          <t>for assets like
the digital currency Bitcoin,</t>
        </is>
      </c>
      <c r="D9123">
        <f>HYPERLINK("https://www.youtube.com/watch?v=RplnSVTzvnU&amp;t=300s", "Go to time")</f>
        <v/>
      </c>
    </row>
    <row r="9124">
      <c r="A9124">
        <f>HYPERLINK("https://www.youtube.com/watch?v=WlFsUeYzezk", "Video")</f>
        <v/>
      </c>
      <c r="B9124" t="inlineStr">
        <is>
          <t>2:38</t>
        </is>
      </c>
      <c r="C9124" t="inlineStr">
        <is>
          <t>I was a bit nervous about my landlord.</t>
        </is>
      </c>
      <c r="D9124">
        <f>HYPERLINK("https://www.youtube.com/watch?v=WlFsUeYzezk&amp;t=158s", "Go to time")</f>
        <v/>
      </c>
    </row>
    <row r="9125">
      <c r="A9125">
        <f>HYPERLINK("https://www.youtube.com/watch?v=WlFsUeYzezk", "Video")</f>
        <v/>
      </c>
      <c r="B9125" t="inlineStr">
        <is>
          <t>5:12</t>
        </is>
      </c>
      <c r="C9125" t="inlineStr">
        <is>
          <t>and habitat loss.</t>
        </is>
      </c>
      <c r="D9125">
        <f>HYPERLINK("https://www.youtube.com/watch?v=WlFsUeYzezk&amp;t=312s", "Go to time")</f>
        <v/>
      </c>
    </row>
    <row r="9126">
      <c r="A9126">
        <f>HYPERLINK("https://www.youtube.com/watch?v=WlFsUeYzezk", "Video")</f>
        <v/>
      </c>
      <c r="B9126" t="inlineStr">
        <is>
          <t>7:04</t>
        </is>
      </c>
      <c r="C9126" t="inlineStr">
        <is>
          <t>The habitat hypothesis.</t>
        </is>
      </c>
      <c r="D9126">
        <f>HYPERLINK("https://www.youtube.com/watch?v=WlFsUeYzezk&amp;t=424s", "Go to time")</f>
        <v/>
      </c>
    </row>
    <row r="9127">
      <c r="A9127">
        <f>HYPERLINK("https://www.youtube.com/watch?v=WlFsUeYzezk", "Video")</f>
        <v/>
      </c>
      <c r="B9127" t="inlineStr">
        <is>
          <t>7:06</t>
        </is>
      </c>
      <c r="C9127" t="inlineStr">
        <is>
          <t>This said that areas where bees
are thriving have a better habitat --</t>
        </is>
      </c>
      <c r="D9127">
        <f>HYPERLINK("https://www.youtube.com/watch?v=WlFsUeYzezk&amp;t=426s", "Go to time")</f>
        <v/>
      </c>
    </row>
    <row r="9128">
      <c r="A9128">
        <f>HYPERLINK("https://www.youtube.com/watch?v=WlFsUeYzezk", "Video")</f>
        <v/>
      </c>
      <c r="B9128" t="inlineStr">
        <is>
          <t>9:04</t>
        </is>
      </c>
      <c r="C9128" t="inlineStr">
        <is>
          <t>These are the numbers that we need
to test the habitat hypothesis.</t>
        </is>
      </c>
      <c r="D9128">
        <f>HYPERLINK("https://www.youtube.com/watch?v=WlFsUeYzezk&amp;t=544s", "Go to time")</f>
        <v/>
      </c>
    </row>
    <row r="9129">
      <c r="A9129">
        <f>HYPERLINK("https://www.youtube.com/watch?v=WlFsUeYzezk", "Video")</f>
        <v/>
      </c>
      <c r="B9129" t="inlineStr">
        <is>
          <t>9:40</t>
        </is>
      </c>
      <c r="C9129" t="inlineStr">
        <is>
          <t>to diversify your habitat,</t>
        </is>
      </c>
      <c r="D9129">
        <f>HYPERLINK("https://www.youtube.com/watch?v=WlFsUeYzezk&amp;t=580s", "Go to time")</f>
        <v/>
      </c>
    </row>
    <row r="9130">
      <c r="A9130">
        <f>HYPERLINK("https://www.youtube.com/watch?v=WlFsUeYzezk", "Video")</f>
        <v/>
      </c>
      <c r="B9130" t="inlineStr">
        <is>
          <t>9:46</t>
        </is>
      </c>
      <c r="C9130" t="inlineStr">
        <is>
          <t>Urban areas have
the most habitat, best habitat,</t>
        </is>
      </c>
      <c r="D9130">
        <f>HYPERLINK("https://www.youtube.com/watch?v=WlFsUeYzezk&amp;t=586s", "Go to time")</f>
        <v/>
      </c>
    </row>
    <row r="9131">
      <c r="A9131">
        <f>HYPERLINK("https://www.youtube.com/watch?v=WlFsUeYzezk", "Video")</f>
        <v/>
      </c>
      <c r="B9131" t="inlineStr">
        <is>
          <t>9:53</t>
        </is>
      </c>
      <c r="C9131" t="inlineStr">
        <is>
          <t>We have, for the first time ever,
support for the habitat hypothesis.</t>
        </is>
      </c>
      <c r="D9131">
        <f>HYPERLINK("https://www.youtube.com/watch?v=WlFsUeYzezk&amp;t=593s", "Go to time")</f>
        <v/>
      </c>
    </row>
    <row r="9132">
      <c r="A9132">
        <f>HYPERLINK("https://www.youtube.com/watch?v=WlFsUeYzezk", "Video")</f>
        <v/>
      </c>
      <c r="B9132" t="inlineStr">
        <is>
          <t>10:00</t>
        </is>
      </c>
      <c r="C9132" t="inlineStr">
        <is>
          <t>The City of Boston has
eight times better habitat</t>
        </is>
      </c>
      <c r="D9132">
        <f>HYPERLINK("https://www.youtube.com/watch?v=WlFsUeYzezk&amp;t=600s", "Go to time")</f>
        <v/>
      </c>
    </row>
    <row r="9133">
      <c r="A9133">
        <f>HYPERLINK("https://www.youtube.com/watch?v=WlFsUeYzezk", "Video")</f>
        <v/>
      </c>
      <c r="B9133" t="inlineStr">
        <is>
          <t>10:34</t>
        </is>
      </c>
      <c r="C9133" t="inlineStr">
        <is>
          <t>to start restoring habitat
and securing food systems.</t>
        </is>
      </c>
      <c r="D9133">
        <f>HYPERLINK("https://www.youtube.com/watch?v=WlFsUeYzezk&amp;t=634s", "Go to time")</f>
        <v/>
      </c>
    </row>
    <row r="9134">
      <c r="A9134">
        <f>HYPERLINK("https://www.youtube.com/watch?v=WlFsUeYzezk", "Video")</f>
        <v/>
      </c>
      <c r="B9134" t="inlineStr">
        <is>
          <t>10:51</t>
        </is>
      </c>
      <c r="C9134" t="inlineStr">
        <is>
          <t>to restore their habitat
and secure their food systems.</t>
        </is>
      </c>
      <c r="D9134">
        <f>HYPERLINK("https://www.youtube.com/watch?v=WlFsUeYzezk&amp;t=651s", "Go to time")</f>
        <v/>
      </c>
    </row>
    <row r="9135">
      <c r="A9135">
        <f>HYPERLINK("https://www.youtube.com/watch?v=WlFsUeYzezk", "Video")</f>
        <v/>
      </c>
      <c r="B9135" t="inlineStr">
        <is>
          <t>11:00</t>
        </is>
      </c>
      <c r="C9135" t="inlineStr">
        <is>
          <t>we now know how we can have
a baseline measure of any habitat</t>
        </is>
      </c>
      <c r="D9135">
        <f>HYPERLINK("https://www.youtube.com/watch?v=WlFsUeYzezk&amp;t=660s", "Go to time")</f>
        <v/>
      </c>
    </row>
    <row r="9136">
      <c r="A9136">
        <f>HYPERLINK("https://www.youtube.com/watch?v=WlFsUeYzezk", "Video")</f>
        <v/>
      </c>
      <c r="B9136" t="inlineStr">
        <is>
          <t>12:32</t>
        </is>
      </c>
      <c r="C9136" t="inlineStr">
        <is>
          <t>by planting diverse habitat.</t>
        </is>
      </c>
      <c r="D9136">
        <f>HYPERLINK("https://www.youtube.com/watch?v=WlFsUeYzezk&amp;t=752s", "Go to time")</f>
        <v/>
      </c>
    </row>
    <row r="9137">
      <c r="A9137">
        <f>HYPERLINK("https://www.youtube.com/watch?v=pvBlSFVmoaw", "Video")</f>
        <v/>
      </c>
      <c r="B9137" t="inlineStr">
        <is>
          <t>0:56</t>
        </is>
      </c>
      <c r="C9137" t="inlineStr">
        <is>
          <t>because this could actually
help describe a little bit</t>
        </is>
      </c>
      <c r="D9137">
        <f>HYPERLINK("https://www.youtube.com/watch?v=pvBlSFVmoaw&amp;t=56s", "Go to time")</f>
        <v/>
      </c>
    </row>
    <row r="9138">
      <c r="A9138">
        <f>HYPERLINK("https://www.youtube.com/watch?v=pvBlSFVmoaw", "Video")</f>
        <v/>
      </c>
      <c r="B9138" t="inlineStr">
        <is>
          <t>5:46</t>
        </is>
      </c>
      <c r="C9138" t="inlineStr">
        <is>
          <t>we need to know a little bit more
about the behavior of the flytrap.</t>
        </is>
      </c>
      <c r="D9138">
        <f>HYPERLINK("https://www.youtube.com/watch?v=pvBlSFVmoaw&amp;t=346s", "Go to time")</f>
        <v/>
      </c>
    </row>
    <row r="9139">
      <c r="A9139">
        <f>HYPERLINK("https://www.youtube.com/watch?v=pvBlSFVmoaw", "Video")</f>
        <v/>
      </c>
      <c r="B9139" t="inlineStr">
        <is>
          <t>9:15</t>
        </is>
      </c>
      <c r="C9139" t="inlineStr">
        <is>
          <t>So I hope you learned a little bit,
something about plants today,</t>
        </is>
      </c>
      <c r="D9139">
        <f>HYPERLINK("https://www.youtube.com/watch?v=pvBlSFVmoaw&amp;t=555s", "Go to time")</f>
        <v/>
      </c>
    </row>
    <row r="9140">
      <c r="A9140">
        <f>HYPERLINK("https://www.youtube.com/watch?v=GqGksNRYu8s", "Video")</f>
        <v/>
      </c>
      <c r="B9140" t="inlineStr">
        <is>
          <t>0:35</t>
        </is>
      </c>
      <c r="C9140" t="inlineStr">
        <is>
          <t>Who owns Bitcoin?</t>
        </is>
      </c>
      <c r="D9140">
        <f>HYPERLINK("https://www.youtube.com/watch?v=GqGksNRYu8s&amp;t=35s", "Go to time")</f>
        <v/>
      </c>
    </row>
    <row r="9141">
      <c r="A9141">
        <f>HYPERLINK("https://www.youtube.com/watch?v=GqGksNRYu8s", "Video")</f>
        <v/>
      </c>
      <c r="B9141" t="inlineStr">
        <is>
          <t>2:02</t>
        </is>
      </c>
      <c r="C9141" t="inlineStr">
        <is>
          <t>bla bla, you want a nice bit of chitchat,</t>
        </is>
      </c>
      <c r="D9141">
        <f>HYPERLINK("https://www.youtube.com/watch?v=GqGksNRYu8s&amp;t=122s", "Go to time")</f>
        <v/>
      </c>
    </row>
    <row r="9142">
      <c r="A9142">
        <f>HYPERLINK("https://www.youtube.com/watch?v=GqGksNRYu8s", "Video")</f>
        <v/>
      </c>
      <c r="B9142" t="inlineStr">
        <is>
          <t>6:26</t>
        </is>
      </c>
      <c r="C9142" t="inlineStr">
        <is>
          <t>And the third level is about
using little bits of information</t>
        </is>
      </c>
      <c r="D9142">
        <f>HYPERLINK("https://www.youtube.com/watch?v=GqGksNRYu8s&amp;t=386s", "Go to time")</f>
        <v/>
      </c>
    </row>
    <row r="9143">
      <c r="A9143">
        <f>HYPERLINK("https://www.youtube.com/watch?v=GqGksNRYu8s", "Video")</f>
        <v/>
      </c>
      <c r="B9143" t="inlineStr">
        <is>
          <t>10:35</t>
        </is>
      </c>
      <c r="C9143" t="inlineStr">
        <is>
          <t>and he looked at me a bit strangely,</t>
        </is>
      </c>
      <c r="D9143">
        <f>HYPERLINK("https://www.youtube.com/watch?v=GqGksNRYu8s&amp;t=635s", "Go to time")</f>
        <v/>
      </c>
    </row>
    <row r="9144">
      <c r="A9144">
        <f>HYPERLINK("https://www.youtube.com/watch?v=GqGksNRYu8s", "Video")</f>
        <v/>
      </c>
      <c r="B9144" t="inlineStr">
        <is>
          <t>12:04</t>
        </is>
      </c>
      <c r="C9144" t="inlineStr">
        <is>
          <t>the innovative ledger technology
underpinning Bitcoin.</t>
        </is>
      </c>
      <c r="D9144">
        <f>HYPERLINK("https://www.youtube.com/watch?v=GqGksNRYu8s&amp;t=724s", "Go to time")</f>
        <v/>
      </c>
    </row>
    <row r="9145">
      <c r="A9145">
        <f>HYPERLINK("https://www.youtube.com/watch?v=zJcYAqNfgtA", "Video")</f>
        <v/>
      </c>
      <c r="B9145" t="inlineStr">
        <is>
          <t>8:07</t>
        </is>
      </c>
      <c r="C9145" t="inlineStr">
        <is>
          <t>and no one takes a blind bit of notice
until Peter repeats it ten minutes later</t>
        </is>
      </c>
      <c r="D9145">
        <f>HYPERLINK("https://www.youtube.com/watch?v=zJcYAqNfgtA&amp;t=487s", "Go to time")</f>
        <v/>
      </c>
    </row>
    <row r="9146">
      <c r="A9146">
        <f>HYPERLINK("https://www.youtube.com/watch?v=QtnBMSSk9Ok", "Video")</f>
        <v/>
      </c>
      <c r="B9146" t="inlineStr">
        <is>
          <t>7:35</t>
        </is>
      </c>
      <c r="C9146" t="inlineStr">
        <is>
          <t>I think that maybe each time
I lose a bit of myself I put it back on</t>
        </is>
      </c>
      <c r="D9146">
        <f>HYPERLINK("https://www.youtube.com/watch?v=QtnBMSSk9Ok&amp;t=455s", "Go to time")</f>
        <v/>
      </c>
    </row>
    <row r="9147">
      <c r="A9147">
        <f>HYPERLINK("https://www.youtube.com/watch?v=rFpDK2KhAgw", "Video")</f>
        <v/>
      </c>
      <c r="B9147" t="inlineStr">
        <is>
          <t>8:47</t>
        </is>
      </c>
      <c r="C9147" t="inlineStr">
        <is>
          <t>Sometimes breaking the rules a little bit
is where the action is.</t>
        </is>
      </c>
      <c r="D9147">
        <f>HYPERLINK("https://www.youtube.com/watch?v=rFpDK2KhAgw&amp;t=527s", "Go to time")</f>
        <v/>
      </c>
    </row>
    <row r="9148">
      <c r="A9148">
        <f>HYPERLINK("https://www.youtube.com/watch?v=kADwVHIP8zs", "Video")</f>
        <v/>
      </c>
      <c r="B9148" t="inlineStr">
        <is>
          <t>6:11</t>
        </is>
      </c>
      <c r="C9148" t="inlineStr">
        <is>
          <t>They're working on erosion control
and wildlife habitat</t>
        </is>
      </c>
      <c r="D9148">
        <f>HYPERLINK("https://www.youtube.com/watch?v=kADwVHIP8zs&amp;t=371s", "Go to time")</f>
        <v/>
      </c>
    </row>
    <row r="9149">
      <c r="A9149">
        <f>HYPERLINK("https://www.youtube.com/watch?v=XbLDeWYBZw4", "Video")</f>
        <v/>
      </c>
      <c r="B9149" t="inlineStr">
        <is>
          <t>0:19</t>
        </is>
      </c>
      <c r="C9149" t="inlineStr">
        <is>
          <t>at the rate we need
to keep this planet habitable.</t>
        </is>
      </c>
      <c r="D9149">
        <f>HYPERLINK("https://www.youtube.com/watch?v=XbLDeWYBZw4&amp;t=19s", "Go to time")</f>
        <v/>
      </c>
    </row>
    <row r="9150">
      <c r="A9150">
        <f>HYPERLINK("https://www.youtube.com/watch?v=XbLDeWYBZw4", "Video")</f>
        <v/>
      </c>
      <c r="B9150" t="inlineStr">
        <is>
          <t>6:08</t>
        </is>
      </c>
      <c r="C9150" t="inlineStr">
        <is>
          <t>where a little bit of government money
can go a long way.</t>
        </is>
      </c>
      <c r="D9150">
        <f>HYPERLINK("https://www.youtube.com/watch?v=XbLDeWYBZw4&amp;t=368s", "Go to time")</f>
        <v/>
      </c>
    </row>
    <row r="9151">
      <c r="A9151">
        <f>HYPERLINK("https://www.youtube.com/watch?v=XbLDeWYBZw4", "Video")</f>
        <v/>
      </c>
      <c r="B9151" t="inlineStr">
        <is>
          <t>6:27</t>
        </is>
      </c>
      <c r="C9151" t="inlineStr">
        <is>
          <t>They have bold ambitions.</t>
        </is>
      </c>
      <c r="D9151">
        <f>HYPERLINK("https://www.youtube.com/watch?v=XbLDeWYBZw4&amp;t=387s", "Go to time")</f>
        <v/>
      </c>
    </row>
    <row r="9152">
      <c r="A9152">
        <f>HYPERLINK("https://www.youtube.com/watch?v=XbLDeWYBZw4", "Video")</f>
        <v/>
      </c>
      <c r="B9152" t="inlineStr">
        <is>
          <t>6:36</t>
        </is>
      </c>
      <c r="C9152" t="inlineStr">
        <is>
          <t>And as we worked
to bring this ambition to life,</t>
        </is>
      </c>
      <c r="D9152">
        <f>HYPERLINK("https://www.youtube.com/watch?v=XbLDeWYBZw4&amp;t=396s", "Go to time")</f>
        <v/>
      </c>
    </row>
    <row r="9153">
      <c r="A9153">
        <f>HYPERLINK("https://www.youtube.com/watch?v=XbLDeWYBZw4", "Video")</f>
        <v/>
      </c>
      <c r="B9153" t="inlineStr">
        <is>
          <t>7:34</t>
        </is>
      </c>
      <c r="C9153" t="inlineStr">
        <is>
          <t>Right now, it's a little bit
of a complicated time for many countries,</t>
        </is>
      </c>
      <c r="D9153">
        <f>HYPERLINK("https://www.youtube.com/watch?v=XbLDeWYBZw4&amp;t=454s", "Go to time")</f>
        <v/>
      </c>
    </row>
    <row r="9154">
      <c r="A9154">
        <f>HYPERLINK("https://www.youtube.com/watch?v=ODLg_00f9BE", "Video")</f>
        <v/>
      </c>
      <c r="B9154" t="inlineStr">
        <is>
          <t>2:27</t>
        </is>
      </c>
      <c r="C9154" t="inlineStr">
        <is>
          <t>is that it's either a bit utopian
or even threatening.</t>
        </is>
      </c>
      <c r="D9154">
        <f>HYPERLINK("https://www.youtube.com/watch?v=ODLg_00f9BE&amp;t=147s", "Go to time")</f>
        <v/>
      </c>
    </row>
    <row r="9155">
      <c r="A9155">
        <f>HYPERLINK("https://www.youtube.com/watch?v=ODLg_00f9BE", "Video")</f>
        <v/>
      </c>
      <c r="B9155" t="inlineStr">
        <is>
          <t>6:07</t>
        </is>
      </c>
      <c r="C9155" t="inlineStr">
        <is>
          <t>I got a little bit excited
that day, as you can see.</t>
        </is>
      </c>
      <c r="D9155">
        <f>HYPERLINK("https://www.youtube.com/watch?v=ODLg_00f9BE&amp;t=367s", "Go to time")</f>
        <v/>
      </c>
    </row>
    <row r="9156">
      <c r="A9156">
        <f>HYPERLINK("https://www.youtube.com/watch?v=v9f6twy70iM", "Video")</f>
        <v/>
      </c>
      <c r="B9156" t="inlineStr">
        <is>
          <t>3:49</t>
        </is>
      </c>
      <c r="C9156" t="inlineStr">
        <is>
          <t>to live a little bit
during the very end of life,</t>
        </is>
      </c>
      <c r="D9156">
        <f>HYPERLINK("https://www.youtube.com/watch?v=v9f6twy70iM&amp;t=229s", "Go to time")</f>
        <v/>
      </c>
    </row>
    <row r="9157">
      <c r="A9157">
        <f>HYPERLINK("https://www.youtube.com/watch?v=v9f6twy70iM", "Video")</f>
        <v/>
      </c>
      <c r="B9157" t="inlineStr">
        <is>
          <t>4:34</t>
        </is>
      </c>
      <c r="C9157" t="inlineStr">
        <is>
          <t>She was self-contained,
she was a little bit aloof.</t>
        </is>
      </c>
      <c r="D9157">
        <f>HYPERLINK("https://www.youtube.com/watch?v=v9f6twy70iM&amp;t=274s", "Go to time")</f>
        <v/>
      </c>
    </row>
    <row r="9158">
      <c r="A9158">
        <f>HYPERLINK("https://www.youtube.com/watch?v=v9f6twy70iM", "Video")</f>
        <v/>
      </c>
      <c r="B9158" t="inlineStr">
        <is>
          <t>4:38</t>
        </is>
      </c>
      <c r="C9158" t="inlineStr">
        <is>
          <t>In fact, she was a little bit scary.</t>
        </is>
      </c>
      <c r="D9158">
        <f>HYPERLINK("https://www.youtube.com/watch?v=v9f6twy70iM&amp;t=278s", "Go to time")</f>
        <v/>
      </c>
    </row>
    <row r="9159">
      <c r="A9159">
        <f>HYPERLINK("https://www.youtube.com/watch?v=v9f6twy70iM", "Video")</f>
        <v/>
      </c>
      <c r="B9159" t="inlineStr">
        <is>
          <t>8:20</t>
        </is>
      </c>
      <c r="C9159" t="inlineStr">
        <is>
          <t>"the only bit that's still working
is the bit that drives the breathing.</t>
        </is>
      </c>
      <c r="D9159">
        <f>HYPERLINK("https://www.youtube.com/watch?v=v9f6twy70iM&amp;t=500s", "Go to time")</f>
        <v/>
      </c>
    </row>
    <row r="9160">
      <c r="A9160">
        <f>HYPERLINK("https://www.youtube.com/watch?v=rfA1ThekjGM", "Video")</f>
        <v/>
      </c>
      <c r="B9160" t="inlineStr">
        <is>
          <t>10:11</t>
        </is>
      </c>
      <c r="C9160" t="inlineStr">
        <is>
          <t>from your Fitbit, Spotify,</t>
        </is>
      </c>
      <c r="D9160">
        <f>HYPERLINK("https://www.youtube.com/watch?v=rfA1ThekjGM&amp;t=611s", "Go to time")</f>
        <v/>
      </c>
    </row>
    <row r="9161">
      <c r="A9161">
        <f>HYPERLINK("https://www.youtube.com/watch?v=D-_Az5nZBBM", "Video")</f>
        <v/>
      </c>
      <c r="B9161" t="inlineStr">
        <is>
          <t>1:42</t>
        </is>
      </c>
      <c r="C9161" t="inlineStr">
        <is>
          <t>What aspects of our society
are making that more bitter,</t>
        </is>
      </c>
      <c r="D9161">
        <f>HYPERLINK("https://www.youtube.com/watch?v=D-_Az5nZBBM&amp;t=102s", "Go to time")</f>
        <v/>
      </c>
    </row>
    <row r="9162">
      <c r="A9162">
        <f>HYPERLINK("https://www.youtube.com/watch?v=Rr7iEH3eeQo", "Video")</f>
        <v/>
      </c>
      <c r="B9162" t="inlineStr">
        <is>
          <t>9:03</t>
        </is>
      </c>
      <c r="C9162" t="inlineStr">
        <is>
          <t>And this altogether
may sound a little bit hard,</t>
        </is>
      </c>
      <c r="D9162">
        <f>HYPERLINK("https://www.youtube.com/watch?v=Rr7iEH3eeQo&amp;t=543s", "Go to time")</f>
        <v/>
      </c>
    </row>
    <row r="9163">
      <c r="A9163">
        <f>HYPERLINK("https://www.youtube.com/watch?v=Rr7iEH3eeQo", "Video")</f>
        <v/>
      </c>
      <c r="B9163" t="inlineStr">
        <is>
          <t>9:07</t>
        </is>
      </c>
      <c r="C9163" t="inlineStr">
        <is>
          <t>it may sound a little bit complex,</t>
        </is>
      </c>
      <c r="D9163">
        <f>HYPERLINK("https://www.youtube.com/watch?v=Rr7iEH3eeQo&amp;t=547s", "Go to time")</f>
        <v/>
      </c>
    </row>
    <row r="9164">
      <c r="A9164">
        <f>HYPERLINK("https://www.youtube.com/watch?v=jTVWtrMleI0", "Video")</f>
        <v/>
      </c>
      <c r="B9164" t="inlineStr">
        <is>
          <t>5:44</t>
        </is>
      </c>
      <c r="C9164" t="inlineStr">
        <is>
          <t>PM: There is no question
that this legend is a bit of a rebel,</t>
        </is>
      </c>
      <c r="D9164">
        <f>HYPERLINK("https://www.youtube.com/watch?v=jTVWtrMleI0&amp;t=344s", "Go to time")</f>
        <v/>
      </c>
    </row>
    <row r="9165">
      <c r="A9165">
        <f>HYPERLINK("https://www.youtube.com/watch?v=GFpciGYBELo", "Video")</f>
        <v/>
      </c>
      <c r="B9165" t="inlineStr">
        <is>
          <t>1:22</t>
        </is>
      </c>
      <c r="C9165" t="inlineStr">
        <is>
          <t>bit hello Matt how are you I am good</t>
        </is>
      </c>
      <c r="D9165">
        <f>HYPERLINK("https://www.youtube.com/watch?v=GFpciGYBELo&amp;t=82s", "Go to time")</f>
        <v/>
      </c>
    </row>
    <row r="9166">
      <c r="A9166">
        <f>HYPERLINK("https://www.youtube.com/watch?v=GFpciGYBELo", "Video")</f>
        <v/>
      </c>
      <c r="B9166" t="inlineStr">
        <is>
          <t>5:11</t>
        </is>
      </c>
      <c r="C9166" t="inlineStr">
        <is>
          <t>there let's let's spend a bit more time</t>
        </is>
      </c>
      <c r="D9166">
        <f>HYPERLINK("https://www.youtube.com/watch?v=GFpciGYBELo&amp;t=311s", "Go to time")</f>
        <v/>
      </c>
    </row>
    <row r="9167">
      <c r="A9167">
        <f>HYPERLINK("https://www.youtube.com/watch?v=GFpciGYBELo", "Video")</f>
        <v/>
      </c>
      <c r="B9167" t="inlineStr">
        <is>
          <t>6:07</t>
        </is>
      </c>
      <c r="C9167" t="inlineStr">
        <is>
          <t>bit like a a dry sponge ready to</t>
        </is>
      </c>
      <c r="D9167">
        <f>HYPERLINK("https://www.youtube.com/watch?v=GFpciGYBELo&amp;t=367s", "Go to time")</f>
        <v/>
      </c>
    </row>
    <row r="9168">
      <c r="A9168">
        <f>HYPERLINK("https://www.youtube.com/watch?v=GFpciGYBELo", "Video")</f>
        <v/>
      </c>
      <c r="B9168" t="inlineStr">
        <is>
          <t>7:12</t>
        </is>
      </c>
      <c r="C9168" t="inlineStr">
        <is>
          <t>little bit like memory alchemy at night</t>
        </is>
      </c>
      <c r="D9168">
        <f>HYPERLINK("https://www.youtube.com/watch?v=GFpciGYBELo&amp;t=432s", "Go to time")</f>
        <v/>
      </c>
    </row>
    <row r="9169">
      <c r="A9169">
        <f>HYPERLINK("https://www.youtube.com/watch?v=GFpciGYBELo", "Video")</f>
        <v/>
      </c>
      <c r="B9169" t="inlineStr">
        <is>
          <t>12:15</t>
        </is>
      </c>
      <c r="C9169" t="inlineStr">
        <is>
          <t>bit stressed is to imagine more and more</t>
        </is>
      </c>
      <c r="D9169">
        <f>HYPERLINK("https://www.youtube.com/watch?v=GFpciGYBELo&amp;t=735s", "Go to time")</f>
        <v/>
      </c>
    </row>
    <row r="9170">
      <c r="A9170">
        <f>HYPERLINK("https://www.youtube.com/watch?v=GFpciGYBELo", "Video")</f>
        <v/>
      </c>
      <c r="B9170" t="inlineStr">
        <is>
          <t>13:03</t>
        </is>
      </c>
      <c r="C9170" t="inlineStr">
        <is>
          <t>say that they almost sound like hobbits</t>
        </is>
      </c>
      <c r="D9170">
        <f>HYPERLINK("https://www.youtube.com/watch?v=GFpciGYBELo&amp;t=783s", "Go to time")</f>
        <v/>
      </c>
    </row>
    <row r="9171">
      <c r="A9171">
        <f>HYPERLINK("https://www.youtube.com/watch?v=GFpciGYBELo", "Video")</f>
        <v/>
      </c>
      <c r="B9171" t="inlineStr">
        <is>
          <t>15:57</t>
        </is>
      </c>
      <c r="C9171" t="inlineStr">
        <is>
          <t>bit of olive oil and salt it's not so</t>
        </is>
      </c>
      <c r="D9171">
        <f>HYPERLINK("https://www.youtube.com/watch?v=GFpciGYBELo&amp;t=957s", "Go to time")</f>
        <v/>
      </c>
    </row>
    <row r="9172">
      <c r="A9172">
        <f>HYPERLINK("https://www.youtube.com/watch?v=GFpciGYBELo", "Video")</f>
        <v/>
      </c>
      <c r="B9172" t="inlineStr">
        <is>
          <t>23:54</t>
        </is>
      </c>
      <c r="C9172" t="inlineStr">
        <is>
          <t>it's a little bit like trying to</t>
        </is>
      </c>
      <c r="D9172">
        <f>HYPERLINK("https://www.youtube.com/watch?v=GFpciGYBELo&amp;t=1434s", "Go to time")</f>
        <v/>
      </c>
    </row>
    <row r="9173">
      <c r="A9173">
        <f>HYPERLINK("https://www.youtube.com/watch?v=GFpciGYBELo", "Video")</f>
        <v/>
      </c>
      <c r="B9173" t="inlineStr">
        <is>
          <t>31:56</t>
        </is>
      </c>
      <c r="C9173" t="inlineStr">
        <is>
          <t>talk a bit Matt about just that the role</t>
        </is>
      </c>
      <c r="D9173">
        <f>HYPERLINK("https://www.youtube.com/watch?v=GFpciGYBELo&amp;t=1916s", "Go to time")</f>
        <v/>
      </c>
    </row>
    <row r="9174">
      <c r="A9174">
        <f>HYPERLINK("https://www.youtube.com/watch?v=GFpciGYBELo", "Video")</f>
        <v/>
      </c>
      <c r="B9174" t="inlineStr">
        <is>
          <t>35:31</t>
        </is>
      </c>
      <c r="C9174" t="inlineStr">
        <is>
          <t>a little bit further so you don't train</t>
        </is>
      </c>
      <c r="D9174">
        <f>HYPERLINK("https://www.youtube.com/watch?v=GFpciGYBELo&amp;t=2131s", "Go to time")</f>
        <v/>
      </c>
    </row>
    <row r="9175">
      <c r="A9175">
        <f>HYPERLINK("https://www.youtube.com/watch?v=GFpciGYBELo", "Video")</f>
        <v/>
      </c>
      <c r="B9175" t="inlineStr">
        <is>
          <t>37:11</t>
        </is>
      </c>
      <c r="C9175" t="inlineStr">
        <is>
          <t>little bit careful because melatonin is</t>
        </is>
      </c>
      <c r="D9175">
        <f>HYPERLINK("https://www.youtube.com/watch?v=GFpciGYBELo&amp;t=2231s", "Go to time")</f>
        <v/>
      </c>
    </row>
    <row r="9176">
      <c r="A9176">
        <f>HYPERLINK("https://www.youtube.com/watch?v=GFpciGYBELo", "Video")</f>
        <v/>
      </c>
      <c r="B9176" t="inlineStr">
        <is>
          <t>37:38</t>
        </is>
      </c>
      <c r="C9176" t="inlineStr">
        <is>
          <t>so I think one needs to be a little bit</t>
        </is>
      </c>
      <c r="D9176">
        <f>HYPERLINK("https://www.youtube.com/watch?v=GFpciGYBELo&amp;t=2258s", "Go to time")</f>
        <v/>
      </c>
    </row>
    <row r="9177">
      <c r="A9177">
        <f>HYPERLINK("https://www.youtube.com/watch?v=GFpciGYBELo", "Video")</f>
        <v/>
      </c>
      <c r="B9177" t="inlineStr">
        <is>
          <t>42:10</t>
        </is>
      </c>
      <c r="C9177" t="inlineStr">
        <is>
          <t>were is a little bit different but</t>
        </is>
      </c>
      <c r="D9177">
        <f>HYPERLINK("https://www.youtube.com/watch?v=GFpciGYBELo&amp;t=2530s", "Go to time")</f>
        <v/>
      </c>
    </row>
    <row r="9178">
      <c r="A9178">
        <f>HYPERLINK("https://www.youtube.com/watch?v=GFpciGYBELo", "Video")</f>
        <v/>
      </c>
      <c r="B9178" t="inlineStr">
        <is>
          <t>46:30</t>
        </is>
      </c>
      <c r="C9178" t="inlineStr">
        <is>
          <t>little bit about this of blue and those</t>
        </is>
      </c>
      <c r="D9178">
        <f>HYPERLINK("https://www.youtube.com/watch?v=GFpciGYBELo&amp;t=2790s", "Go to time")</f>
        <v/>
      </c>
    </row>
    <row r="9179">
      <c r="A9179">
        <f>HYPERLINK("https://www.youtube.com/watch?v=GFpciGYBELo", "Video")</f>
        <v/>
      </c>
      <c r="B9179" t="inlineStr">
        <is>
          <t>50:51</t>
        </is>
      </c>
      <c r="C9179" t="inlineStr">
        <is>
          <t>well I'm certainly relieved a bit to</t>
        </is>
      </c>
      <c r="D9179">
        <f>HYPERLINK("https://www.youtube.com/watch?v=GFpciGYBELo&amp;t=3051s", "Go to time")</f>
        <v/>
      </c>
    </row>
    <row r="9180">
      <c r="A9180">
        <f>HYPERLINK("https://www.youtube.com/watch?v=GFpciGYBELo", "Video")</f>
        <v/>
      </c>
      <c r="B9180" t="inlineStr">
        <is>
          <t>52:01</t>
        </is>
      </c>
      <c r="C9180" t="inlineStr">
        <is>
          <t>bit of cardboard cutout of sleep</t>
        </is>
      </c>
      <c r="D9180">
        <f>HYPERLINK("https://www.youtube.com/watch?v=GFpciGYBELo&amp;t=3121s", "Go to time")</f>
        <v/>
      </c>
    </row>
    <row r="9181">
      <c r="A9181">
        <f>HYPERLINK("https://www.youtube.com/watch?v=GFpciGYBELo", "Video")</f>
        <v/>
      </c>
      <c r="B9181" t="inlineStr">
        <is>
          <t>57:25</t>
        </is>
      </c>
      <c r="C9181" t="inlineStr">
        <is>
          <t>is a little bit of evidence to suggest</t>
        </is>
      </c>
      <c r="D9181">
        <f>HYPERLINK("https://www.youtube.com/watch?v=GFpciGYBELo&amp;t=3445s", "Go to time")</f>
        <v/>
      </c>
    </row>
    <row r="9182">
      <c r="A9182">
        <f>HYPERLINK("https://www.youtube.com/watch?v=GFpciGYBELo", "Video")</f>
        <v/>
      </c>
      <c r="B9182" t="inlineStr">
        <is>
          <t>58:08</t>
        </is>
      </c>
      <c r="C9182" t="inlineStr">
        <is>
          <t>insomnia though there is a little bit of</t>
        </is>
      </c>
      <c r="D9182">
        <f>HYPERLINK("https://www.youtube.com/watch?v=GFpciGYBELo&amp;t=3488s", "Go to time")</f>
        <v/>
      </c>
    </row>
    <row r="9183">
      <c r="A9183">
        <f>HYPERLINK("https://www.youtube.com/watch?v=ogeGJS0GEF4", "Video")</f>
        <v/>
      </c>
      <c r="B9183" t="inlineStr">
        <is>
          <t>10:39</t>
        </is>
      </c>
      <c r="C9183" t="inlineStr">
        <is>
          <t>this was all a little bit old
and not necessarily new.</t>
        </is>
      </c>
      <c r="D9183">
        <f>HYPERLINK("https://www.youtube.com/watch?v=ogeGJS0GEF4&amp;t=639s", "Go to time")</f>
        <v/>
      </c>
    </row>
    <row r="9184">
      <c r="A9184">
        <f>HYPERLINK("https://www.youtube.com/watch?v=ogeGJS0GEF4", "Video")</f>
        <v/>
      </c>
      <c r="B9184" t="inlineStr">
        <is>
          <t>11:02</t>
        </is>
      </c>
      <c r="C9184" t="inlineStr">
        <is>
          <t>It was a long-held ambition of mine
to bring down a statistics website</t>
        </is>
      </c>
      <c r="D9184">
        <f>HYPERLINK("https://www.youtube.com/watch?v=ogeGJS0GEF4&amp;t=662s", "Go to time")</f>
        <v/>
      </c>
    </row>
    <row r="9185">
      <c r="A9185">
        <f>HYPERLINK("https://www.youtube.com/watch?v=oupHYHv_me0", "Video")</f>
        <v/>
      </c>
      <c r="B9185" t="inlineStr">
        <is>
          <t>3:58</t>
        </is>
      </c>
      <c r="C9185" t="inlineStr">
        <is>
          <t>and one Bitcoin is equivalent
to another Bitcoin.</t>
        </is>
      </c>
      <c r="D9185">
        <f>HYPERLINK("https://www.youtube.com/watch?v=oupHYHv_me0&amp;t=238s", "Go to time")</f>
        <v/>
      </c>
    </row>
    <row r="9186">
      <c r="A9186">
        <f>HYPERLINK("https://www.youtube.com/watch?v=oupHYHv_me0", "Video")</f>
        <v/>
      </c>
      <c r="B9186" t="inlineStr">
        <is>
          <t>4:04</t>
        </is>
      </c>
      <c r="C9186" t="inlineStr">
        <is>
          <t>that enabled digital currencies
such as Bitcoin</t>
        </is>
      </c>
      <c r="D9186">
        <f>HYPERLINK("https://www.youtube.com/watch?v=oupHYHv_me0&amp;t=244s", "Go to time")</f>
        <v/>
      </c>
    </row>
    <row r="9187">
      <c r="A9187">
        <f>HYPERLINK("https://www.youtube.com/watch?v=oupHYHv_me0", "Video")</f>
        <v/>
      </c>
      <c r="B9187" t="inlineStr">
        <is>
          <t>4:21</t>
        </is>
      </c>
      <c r="C9187" t="inlineStr">
        <is>
          <t>And like Bitcoin, the record
of ownership of an NFT</t>
        </is>
      </c>
      <c r="D9187">
        <f>HYPERLINK("https://www.youtube.com/watch?v=oupHYHv_me0&amp;t=261s", "Go to time")</f>
        <v/>
      </c>
    </row>
    <row r="9188">
      <c r="A9188">
        <f>HYPERLINK("https://www.youtube.com/watch?v=5knT5m2Kmrc", "Video")</f>
        <v/>
      </c>
      <c r="B9188" t="inlineStr">
        <is>
          <t>2:17</t>
        </is>
      </c>
      <c r="C9188" t="inlineStr">
        <is>
          <t>who I think are sort of
poisoning the well a little bit</t>
        </is>
      </c>
      <c r="D9188">
        <f>HYPERLINK("https://www.youtube.com/watch?v=5knT5m2Kmrc&amp;t=137s", "Go to time")</f>
        <v/>
      </c>
    </row>
    <row r="9189">
      <c r="A9189">
        <f>HYPERLINK("https://www.youtube.com/watch?v=5knT5m2Kmrc", "Video")</f>
        <v/>
      </c>
      <c r="B9189" t="inlineStr">
        <is>
          <t>3:03</t>
        </is>
      </c>
      <c r="C9189" t="inlineStr">
        <is>
          <t>So let's dive in a bit further.</t>
        </is>
      </c>
      <c r="D9189">
        <f>HYPERLINK("https://www.youtube.com/watch?v=5knT5m2Kmrc&amp;t=183s", "Go to time")</f>
        <v/>
      </c>
    </row>
    <row r="9190">
      <c r="A9190">
        <f>HYPERLINK("https://www.youtube.com/watch?v=5knT5m2Kmrc", "Video")</f>
        <v/>
      </c>
      <c r="B9190" t="inlineStr">
        <is>
          <t>6:38</t>
        </is>
      </c>
      <c r="C9190" t="inlineStr">
        <is>
          <t>Maybe just, you know,
piggyback a little bit</t>
        </is>
      </c>
      <c r="D9190">
        <f>HYPERLINK("https://www.youtube.com/watch?v=5knT5m2Kmrc&amp;t=398s", "Go to time")</f>
        <v/>
      </c>
    </row>
    <row r="9191">
      <c r="A9191">
        <f>HYPERLINK("https://www.youtube.com/watch?v=5knT5m2Kmrc", "Video")</f>
        <v/>
      </c>
      <c r="B9191" t="inlineStr">
        <is>
          <t>9:25</t>
        </is>
      </c>
      <c r="C9191" t="inlineStr">
        <is>
          <t>And Ami, you're sort of
touching on this a bit,</t>
        </is>
      </c>
      <c r="D9191">
        <f>HYPERLINK("https://www.youtube.com/watch?v=5knT5m2Kmrc&amp;t=565s", "Go to time")</f>
        <v/>
      </c>
    </row>
    <row r="9192">
      <c r="A9192">
        <f>HYPERLINK("https://www.youtube.com/watch?v=oyjIqtEVVB0", "Video")</f>
        <v/>
      </c>
      <c r="B9192" t="inlineStr">
        <is>
          <t>0:54</t>
        </is>
      </c>
      <c r="C9192" t="inlineStr">
        <is>
          <t>ambition</t>
        </is>
      </c>
      <c r="D9192">
        <f>HYPERLINK("https://www.youtube.com/watch?v=oyjIqtEVVB0&amp;t=54s", "Go to time")</f>
        <v/>
      </c>
    </row>
    <row r="9193">
      <c r="A9193">
        <f>HYPERLINK("https://www.youtube.com/watch?v=oyjIqtEVVB0", "Video")</f>
        <v/>
      </c>
      <c r="B9193" t="inlineStr">
        <is>
          <t>3:20</t>
        </is>
      </c>
      <c r="C9193" t="inlineStr">
        <is>
          <t>to set their most ambitious targets</t>
        </is>
      </c>
      <c r="D9193">
        <f>HYPERLINK("https://www.youtube.com/watch?v=oyjIqtEVVB0&amp;t=200s", "Go to time")</f>
        <v/>
      </c>
    </row>
    <row r="9194">
      <c r="A9194">
        <f>HYPERLINK("https://www.youtube.com/watch?v=oyjIqtEVVB0", "Video")</f>
        <v/>
      </c>
      <c r="B9194" t="inlineStr">
        <is>
          <t>3:23</t>
        </is>
      </c>
      <c r="C9194" t="inlineStr">
        <is>
          <t>ambition first time around</t>
        </is>
      </c>
      <c r="D9194">
        <f>HYPERLINK("https://www.youtube.com/watch?v=oyjIqtEVVB0&amp;t=203s", "Go to time")</f>
        <v/>
      </c>
    </row>
    <row r="9195">
      <c r="A9195">
        <f>HYPERLINK("https://www.youtube.com/watch?v=oyjIqtEVVB0", "Video")</f>
        <v/>
      </c>
      <c r="B9195" t="inlineStr">
        <is>
          <t>3:47</t>
        </is>
      </c>
      <c r="C9195" t="inlineStr">
        <is>
          <t>to ratchet our ambition that's what</t>
        </is>
      </c>
      <c r="D9195">
        <f>HYPERLINK("https://www.youtube.com/watch?v=oyjIqtEVVB0&amp;t=227s", "Go to time")</f>
        <v/>
      </c>
    </row>
    <row r="9196">
      <c r="A9196">
        <f>HYPERLINK("https://www.youtube.com/watch?v=oyjIqtEVVB0", "Video")</f>
        <v/>
      </c>
      <c r="B9196" t="inlineStr">
        <is>
          <t>4:47</t>
        </is>
      </c>
      <c r="C9196" t="inlineStr">
        <is>
          <t>to keep driving ambition alongside the</t>
        </is>
      </c>
      <c r="D9196">
        <f>HYPERLINK("https://www.youtube.com/watch?v=oyjIqtEVVB0&amp;t=287s", "Go to time")</f>
        <v/>
      </c>
    </row>
    <row r="9197">
      <c r="A9197">
        <f>HYPERLINK("https://www.youtube.com/watch?v=oyjIqtEVVB0", "Video")</f>
        <v/>
      </c>
      <c r="B9197" t="inlineStr">
        <is>
          <t>7:15</t>
        </is>
      </c>
      <c r="C9197" t="inlineStr">
        <is>
          <t>that it's something a bit uh</t>
        </is>
      </c>
      <c r="D9197">
        <f>HYPERLINK("https://www.youtube.com/watch?v=oyjIqtEVVB0&amp;t=435s", "Go to time")</f>
        <v/>
      </c>
    </row>
    <row r="9198">
      <c r="A9198">
        <f>HYPERLINK("https://www.youtube.com/watch?v=oyjIqtEVVB0", "Video")</f>
        <v/>
      </c>
      <c r="B9198" t="inlineStr">
        <is>
          <t>8:51</t>
        </is>
      </c>
      <c r="C9198" t="inlineStr">
        <is>
          <t>massive ratchet in ambition</t>
        </is>
      </c>
      <c r="D9198">
        <f>HYPERLINK("https://www.youtube.com/watch?v=oyjIqtEVVB0&amp;t=531s", "Go to time")</f>
        <v/>
      </c>
    </row>
    <row r="9199">
      <c r="A9199">
        <f>HYPERLINK("https://www.youtube.com/watch?v=oyjIqtEVVB0", "Video")</f>
        <v/>
      </c>
      <c r="B9199" t="inlineStr">
        <is>
          <t>9:16</t>
        </is>
      </c>
      <c r="C9199" t="inlineStr">
        <is>
          <t>the failure to negotiate some small bits</t>
        </is>
      </c>
      <c r="D9199">
        <f>HYPERLINK("https://www.youtube.com/watch?v=oyjIqtEVVB0&amp;t=556s", "Go to time")</f>
        <v/>
      </c>
    </row>
    <row r="9200">
      <c r="A9200">
        <f>HYPERLINK("https://www.youtube.com/watch?v=oyjIqtEVVB0", "Video")</f>
        <v/>
      </c>
      <c r="B9200" t="inlineStr">
        <is>
          <t>9:41</t>
        </is>
      </c>
      <c r="C9200" t="inlineStr">
        <is>
          <t>increase in ambition since paris and</t>
        </is>
      </c>
      <c r="D9200">
        <f>HYPERLINK("https://www.youtube.com/watch?v=oyjIqtEVVB0&amp;t=581s", "Go to time")</f>
        <v/>
      </c>
    </row>
    <row r="9201">
      <c r="A9201">
        <f>HYPERLINK("https://www.youtube.com/watch?v=oyjIqtEVVB0", "Video")</f>
        <v/>
      </c>
      <c r="B9201" t="inlineStr">
        <is>
          <t>10:03</t>
        </is>
      </c>
      <c r="C9201" t="inlineStr">
        <is>
          <t>pressure on to ratchet ambition</t>
        </is>
      </c>
      <c r="D9201">
        <f>HYPERLINK("https://www.youtube.com/watch?v=oyjIqtEVVB0&amp;t=603s", "Go to time")</f>
        <v/>
      </c>
    </row>
    <row r="9202">
      <c r="A9202">
        <f>HYPERLINK("https://www.youtube.com/watch?v=oyjIqtEVVB0", "Video")</f>
        <v/>
      </c>
      <c r="B9202" t="inlineStr">
        <is>
          <t>14:29</t>
        </is>
      </c>
      <c r="C9202" t="inlineStr">
        <is>
          <t>open water with bits of ice floating out</t>
        </is>
      </c>
      <c r="D9202">
        <f>HYPERLINK("https://www.youtube.com/watch?v=oyjIqtEVVB0&amp;t=869s", "Go to time")</f>
        <v/>
      </c>
    </row>
    <row r="9203">
      <c r="A9203">
        <f>HYPERLINK("https://www.youtube.com/watch?v=oyjIqtEVVB0", "Video")</f>
        <v/>
      </c>
      <c r="B9203" t="inlineStr">
        <is>
          <t>18:46</t>
        </is>
      </c>
      <c r="C9203" t="inlineStr">
        <is>
          <t>be more ambitious or to change their</t>
        </is>
      </c>
      <c r="D9203">
        <f>HYPERLINK("https://www.youtube.com/watch?v=oyjIqtEVVB0&amp;t=1126s", "Go to time")</f>
        <v/>
      </c>
    </row>
    <row r="9204">
      <c r="A9204">
        <f>HYPERLINK("https://www.youtube.com/watch?v=oyjIqtEVVB0", "Video")</f>
        <v/>
      </c>
      <c r="B9204" t="inlineStr">
        <is>
          <t>20:07</t>
        </is>
      </c>
      <c r="C9204" t="inlineStr">
        <is>
          <t>the mathematics to calculate the orbital</t>
        </is>
      </c>
      <c r="D9204">
        <f>HYPERLINK("https://www.youtube.com/watch?v=oyjIqtEVVB0&amp;t=1207s", "Go to time")</f>
        <v/>
      </c>
    </row>
    <row r="9205">
      <c r="A9205">
        <f>HYPERLINK("https://www.youtube.com/watch?v=oyjIqtEVVB0", "Video")</f>
        <v/>
      </c>
      <c r="B9205" t="inlineStr">
        <is>
          <t>20:31</t>
        </is>
      </c>
      <c r="C9205" t="inlineStr">
        <is>
          <t>orbital dynamics and they did and we</t>
        </is>
      </c>
      <c r="D9205">
        <f>HYPERLINK("https://www.youtube.com/watch?v=oyjIqtEVVB0&amp;t=1231s", "Go to time")</f>
        <v/>
      </c>
    </row>
    <row r="9206">
      <c r="A9206">
        <f>HYPERLINK("https://www.youtube.com/watch?v=oyjIqtEVVB0", "Video")</f>
        <v/>
      </c>
      <c r="B9206" t="inlineStr">
        <is>
          <t>24:18</t>
        </is>
      </c>
      <c r="C9206" t="inlineStr">
        <is>
          <t>of climate ambition one is it's a</t>
        </is>
      </c>
      <c r="D9206">
        <f>HYPERLINK("https://www.youtube.com/watch?v=oyjIqtEVVB0&amp;t=1458s", "Go to time")</f>
        <v/>
      </c>
    </row>
    <row r="9207">
      <c r="A9207">
        <f>HYPERLINK("https://www.youtube.com/watch?v=oyjIqtEVVB0", "Video")</f>
        <v/>
      </c>
      <c r="B9207" t="inlineStr">
        <is>
          <t>26:02</t>
        </is>
      </c>
      <c r="C9207" t="inlineStr">
        <is>
          <t>got one of the most ambitious plans to</t>
        </is>
      </c>
      <c r="D9207">
        <f>HYPERLINK("https://www.youtube.com/watch?v=oyjIqtEVVB0&amp;t=1562s", "Go to time")</f>
        <v/>
      </c>
    </row>
    <row r="9208">
      <c r="A9208">
        <f>HYPERLINK("https://www.youtube.com/watch?v=oyjIqtEVVB0", "Video")</f>
        <v/>
      </c>
      <c r="B9208" t="inlineStr">
        <is>
          <t>33:04</t>
        </is>
      </c>
      <c r="C9208" t="inlineStr">
        <is>
          <t>bit of science read the ipcc summary</t>
        </is>
      </c>
      <c r="D9208">
        <f>HYPERLINK("https://www.youtube.com/watch?v=oyjIqtEVVB0&amp;t=1984s", "Go to time")</f>
        <v/>
      </c>
    </row>
    <row r="9209">
      <c r="A9209">
        <f>HYPERLINK("https://www.youtube.com/watch?v=oyjIqtEVVB0", "Video")</f>
        <v/>
      </c>
      <c r="B9209" t="inlineStr">
        <is>
          <t>33:37</t>
        </is>
      </c>
      <c r="C9209" t="inlineStr">
        <is>
          <t>that we are getting more ambitious the</t>
        </is>
      </c>
      <c r="D9209">
        <f>HYPERLINK("https://www.youtube.com/watch?v=oyjIqtEVVB0&amp;t=2017s", "Go to time")</f>
        <v/>
      </c>
    </row>
    <row r="9210">
      <c r="A9210">
        <f>HYPERLINK("https://www.youtube.com/watch?v=oyjIqtEVVB0", "Video")</f>
        <v/>
      </c>
      <c r="B9210" t="inlineStr">
        <is>
          <t>36:16</t>
        </is>
      </c>
      <c r="C9210" t="inlineStr">
        <is>
          <t>little bit of a tech glitch with showing</t>
        </is>
      </c>
      <c r="D9210">
        <f>HYPERLINK("https://www.youtube.com/watch?v=oyjIqtEVVB0&amp;t=2176s", "Go to time")</f>
        <v/>
      </c>
    </row>
    <row r="9211">
      <c r="A9211">
        <f>HYPERLINK("https://www.youtube.com/watch?v=uq-6T6TAu74", "Video")</f>
        <v/>
      </c>
      <c r="B9211" t="inlineStr">
        <is>
          <t>0:14</t>
        </is>
      </c>
      <c r="C9211" t="inlineStr">
        <is>
          <t>who looks a little bit
like the actor Idris Elba,</t>
        </is>
      </c>
      <c r="D9211">
        <f>HYPERLINK("https://www.youtube.com/watch?v=uq-6T6TAu74&amp;t=14s", "Go to time")</f>
        <v/>
      </c>
    </row>
    <row r="9212">
      <c r="A9212">
        <f>HYPERLINK("https://www.youtube.com/watch?v=uq-6T6TAu74", "Video")</f>
        <v/>
      </c>
      <c r="B9212" t="inlineStr">
        <is>
          <t>4:41</t>
        </is>
      </c>
      <c r="C9212" t="inlineStr">
        <is>
          <t>pretty reliably exhibit
three characteristics.</t>
        </is>
      </c>
      <c r="D9212">
        <f>HYPERLINK("https://www.youtube.com/watch?v=uq-6T6TAu74&amp;t=281s", "Go to time")</f>
        <v/>
      </c>
    </row>
    <row r="9213">
      <c r="A9213">
        <f>HYPERLINK("https://www.youtube.com/watch?v=IStsehNAOL8", "Video")</f>
        <v/>
      </c>
      <c r="B9213" t="inlineStr">
        <is>
          <t>3:35</t>
        </is>
      </c>
      <c r="C9213" t="inlineStr">
        <is>
          <t>and I might start sweating a little bit</t>
        </is>
      </c>
      <c r="D9213">
        <f>HYPERLINK("https://www.youtube.com/watch?v=IStsehNAOL8&amp;t=215s", "Go to time")</f>
        <v/>
      </c>
    </row>
    <row r="9214">
      <c r="A9214">
        <f>HYPERLINK("https://www.youtube.com/watch?v=IStsehNAOL8", "Video")</f>
        <v/>
      </c>
      <c r="B9214" t="inlineStr">
        <is>
          <t>12:12</t>
        </is>
      </c>
      <c r="C9214" t="inlineStr">
        <is>
          <t>But could you tell us a little bit
more about the study,</t>
        </is>
      </c>
      <c r="D9214">
        <f>HYPERLINK("https://www.youtube.com/watch?v=IStsehNAOL8&amp;t=732s", "Go to time")</f>
        <v/>
      </c>
    </row>
    <row r="9215">
      <c r="A9215">
        <f>HYPERLINK("https://www.youtube.com/watch?v=IStsehNAOL8", "Video")</f>
        <v/>
      </c>
      <c r="B9215" t="inlineStr">
        <is>
          <t>16:46</t>
        </is>
      </c>
      <c r="C9215" t="inlineStr">
        <is>
          <t>Everybody needs a little
bit of connection.</t>
        </is>
      </c>
      <c r="D9215">
        <f>HYPERLINK("https://www.youtube.com/watch?v=IStsehNAOL8&amp;t=1006s", "Go to time")</f>
        <v/>
      </c>
    </row>
    <row r="9216">
      <c r="A9216">
        <f>HYPERLINK("https://www.youtube.com/watch?v=IStsehNAOL8", "Video")</f>
        <v/>
      </c>
      <c r="B9216" t="inlineStr">
        <is>
          <t>26:55</t>
        </is>
      </c>
      <c r="C9216" t="inlineStr">
        <is>
          <t>which is something we've all been
talking about a bit here.</t>
        </is>
      </c>
      <c r="D9216">
        <f>HYPERLINK("https://www.youtube.com/watch?v=IStsehNAOL8&amp;t=1615s", "Go to time")</f>
        <v/>
      </c>
    </row>
    <row r="9217">
      <c r="A9217">
        <f>HYPERLINK("https://www.youtube.com/watch?v=C_78DM8fG6E", "Video")</f>
        <v/>
      </c>
      <c r="B9217" t="inlineStr">
        <is>
          <t>13:54</t>
        </is>
      </c>
      <c r="C9217" t="inlineStr">
        <is>
          <t>So we'll see, this is
the kind of ambitious one.</t>
        </is>
      </c>
      <c r="D9217">
        <f>HYPERLINK("https://www.youtube.com/watch?v=C_78DM8fG6E&amp;t=834s", "Go to time")</f>
        <v/>
      </c>
    </row>
    <row r="9218">
      <c r="A9218">
        <f>HYPERLINK("https://www.youtube.com/watch?v=C_78DM8fG6E", "Video")</f>
        <v/>
      </c>
      <c r="B9218" t="inlineStr">
        <is>
          <t>14:07</t>
        </is>
      </c>
      <c r="C9218" t="inlineStr">
        <is>
          <t>maybe it's a little bit
of an overreach for it</t>
        </is>
      </c>
      <c r="D9218">
        <f>HYPERLINK("https://www.youtube.com/watch?v=C_78DM8fG6E&amp;t=847s", "Go to time")</f>
        <v/>
      </c>
    </row>
    <row r="9219">
      <c r="A9219">
        <f>HYPERLINK("https://www.youtube.com/watch?v=C_78DM8fG6E", "Video")</f>
        <v/>
      </c>
      <c r="B9219" t="inlineStr">
        <is>
          <t>20:36</t>
        </is>
      </c>
      <c r="C9219" t="inlineStr">
        <is>
          <t>Oh, I can sort of generalize this
to adding arbitrary numbers</t>
        </is>
      </c>
      <c r="D9219">
        <f>HYPERLINK("https://www.youtube.com/watch?v=C_78DM8fG6E&amp;t=1236s", "Go to time")</f>
        <v/>
      </c>
    </row>
    <row r="9220">
      <c r="A9220">
        <f>HYPERLINK("https://www.youtube.com/watch?v=C_78DM8fG6E", "Video")</f>
        <v/>
      </c>
      <c r="B9220" t="inlineStr">
        <is>
          <t>20:39</t>
        </is>
      </c>
      <c r="C9220" t="inlineStr">
        <is>
          <t>of arbitrary lengths.</t>
        </is>
      </c>
      <c r="D9220">
        <f>HYPERLINK("https://www.youtube.com/watch?v=C_78DM8fG6E&amp;t=1239s", "Go to time")</f>
        <v/>
      </c>
    </row>
    <row r="9221">
      <c r="A9221">
        <f>HYPERLINK("https://www.youtube.com/watch?v=qYvXk_bqlBk", "Video")</f>
        <v/>
      </c>
      <c r="B9221" t="inlineStr">
        <is>
          <t>4:21</t>
        </is>
      </c>
      <c r="C9221" t="inlineStr">
        <is>
          <t>Let me deal in a bit more detail
with extroversion,</t>
        </is>
      </c>
      <c r="D9221">
        <f>HYPERLINK("https://www.youtube.com/watch?v=qYvXk_bqlBk&amp;t=261s", "Go to time")</f>
        <v/>
      </c>
    </row>
    <row r="9222">
      <c r="A9222">
        <f>HYPERLINK("https://www.youtube.com/watch?v=qYvXk_bqlBk", "Video")</f>
        <v/>
      </c>
      <c r="B9222" t="inlineStr">
        <is>
          <t>13:29</t>
        </is>
      </c>
      <c r="C9222" t="inlineStr">
        <is>
          <t>the students need a little bit of humor,</t>
        </is>
      </c>
      <c r="D9222">
        <f>HYPERLINK("https://www.youtube.com/watch?v=qYvXk_bqlBk&amp;t=809s", "Go to time")</f>
        <v/>
      </c>
    </row>
    <row r="9223">
      <c r="A9223">
        <f>HYPERLINK("https://www.youtube.com/watch?v=qYvXk_bqlBk", "Video")</f>
        <v/>
      </c>
      <c r="B9223" t="inlineStr">
        <is>
          <t>13:31</t>
        </is>
      </c>
      <c r="C9223" t="inlineStr">
        <is>
          <t>a little bit of engagement
to keep them going</t>
        </is>
      </c>
      <c r="D9223">
        <f>HYPERLINK("https://www.youtube.com/watch?v=qYvXk_bqlBk&amp;t=811s", "Go to time")</f>
        <v/>
      </c>
    </row>
    <row r="9224">
      <c r="A9224">
        <f>HYPERLINK("https://www.youtube.com/watch?v=1Bj-zXkVi68", "Video")</f>
        <v/>
      </c>
      <c r="B9224" t="inlineStr">
        <is>
          <t>0:45</t>
        </is>
      </c>
      <c r="C9224" t="inlineStr">
        <is>
          <t>But to be honest,
I felt a little bit jealous</t>
        </is>
      </c>
      <c r="D9224">
        <f>HYPERLINK("https://www.youtube.com/watch?v=1Bj-zXkVi68&amp;t=45s", "Go to time")</f>
        <v/>
      </c>
    </row>
    <row r="9225">
      <c r="A9225">
        <f>HYPERLINK("https://www.youtube.com/watch?v=SThQy3S1hnk", "Video")</f>
        <v/>
      </c>
      <c r="B9225" t="inlineStr">
        <is>
          <t>3:22</t>
        </is>
      </c>
      <c r="C9225" t="inlineStr">
        <is>
          <t>This telescope's not
in low earth orbit like Hubble.</t>
        </is>
      </c>
      <c r="D9225">
        <f>HYPERLINK("https://www.youtube.com/watch?v=SThQy3S1hnk&amp;t=202s", "Go to time")</f>
        <v/>
      </c>
    </row>
    <row r="9226">
      <c r="A9226">
        <f>HYPERLINK("https://www.youtube.com/watch?v=SThQy3S1hnk", "Video")</f>
        <v/>
      </c>
      <c r="B9226" t="inlineStr">
        <is>
          <t>3:54</t>
        </is>
      </c>
      <c r="C9226" t="inlineStr">
        <is>
          <t>So we couldn't put it in low earth orbit</t>
        </is>
      </c>
      <c r="D9226">
        <f>HYPERLINK("https://www.youtube.com/watch?v=SThQy3S1hnk&amp;t=234s", "Go to time")</f>
        <v/>
      </c>
    </row>
    <row r="9227">
      <c r="A9227">
        <f>HYPERLINK("https://www.youtube.com/watch?v=SThQy3S1hnk", "Video")</f>
        <v/>
      </c>
      <c r="B9227" t="inlineStr">
        <is>
          <t>13:54</t>
        </is>
      </c>
      <c r="C9227" t="inlineStr">
        <is>
          <t>that there are at least
seven planets orbiting this star.</t>
        </is>
      </c>
      <c r="D9227">
        <f>HYPERLINK("https://www.youtube.com/watch?v=SThQy3S1hnk&amp;t=834s", "Go to time")</f>
        <v/>
      </c>
    </row>
    <row r="9228">
      <c r="A9228">
        <f>HYPERLINK("https://www.youtube.com/watch?v=SThQy3S1hnk", "Video")</f>
        <v/>
      </c>
      <c r="B9228" t="inlineStr">
        <is>
          <t>14:16</t>
        </is>
      </c>
      <c r="C9228" t="inlineStr">
        <is>
          <t>We call that the habitable zone.</t>
        </is>
      </c>
      <c r="D9228">
        <f>HYPERLINK("https://www.youtube.com/watch?v=SThQy3S1hnk&amp;t=856s", "Go to time")</f>
        <v/>
      </c>
    </row>
    <row r="9229">
      <c r="A9229">
        <f>HYPERLINK("https://www.youtube.com/watch?v=SThQy3S1hnk", "Video")</f>
        <v/>
      </c>
      <c r="B9229" t="inlineStr">
        <is>
          <t>14:18</t>
        </is>
      </c>
      <c r="C9229" t="inlineStr">
        <is>
          <t>And you and I could have a long talk
about what habitability actually means.</t>
        </is>
      </c>
      <c r="D9229">
        <f>HYPERLINK("https://www.youtube.com/watch?v=SThQy3S1hnk&amp;t=858s", "Go to time")</f>
        <v/>
      </c>
    </row>
    <row r="9230">
      <c r="A9230">
        <f>HYPERLINK("https://www.youtube.com/watch?v=SThQy3S1hnk", "Video")</f>
        <v/>
      </c>
      <c r="B9230" t="inlineStr">
        <is>
          <t>14:29</t>
        </is>
      </c>
      <c r="C9230" t="inlineStr">
        <is>
          <t>And so when we're talking
about looking for habitable planets,</t>
        </is>
      </c>
      <c r="D9230">
        <f>HYPERLINK("https://www.youtube.com/watch?v=SThQy3S1hnk&amp;t=869s", "Go to time")</f>
        <v/>
      </c>
    </row>
    <row r="9231">
      <c r="A9231">
        <f>HYPERLINK("https://www.youtube.com/watch?v=SThQy3S1hnk", "Video")</f>
        <v/>
      </c>
      <c r="B9231" t="inlineStr">
        <is>
          <t>14:43</t>
        </is>
      </c>
      <c r="C9231" t="inlineStr">
        <is>
          <t>in potentially habitable region,</t>
        </is>
      </c>
      <c r="D9231">
        <f>HYPERLINK("https://www.youtube.com/watch?v=SThQy3S1hnk&amp;t=883s", "Go to time")</f>
        <v/>
      </c>
    </row>
    <row r="9232">
      <c r="A9232">
        <f>HYPERLINK("https://www.youtube.com/watch?v=SThQy3S1hnk", "Video")</f>
        <v/>
      </c>
      <c r="B9232" t="inlineStr">
        <is>
          <t>17:08</t>
        </is>
      </c>
      <c r="C9232" t="inlineStr">
        <is>
          <t>and our orbiters that are doing
really exquisite orbital imaging,</t>
        </is>
      </c>
      <c r="D9232">
        <f>HYPERLINK("https://www.youtube.com/watch?v=SThQy3S1hnk&amp;t=1028s", "Go to time")</f>
        <v/>
      </c>
    </row>
    <row r="9233">
      <c r="A9233">
        <f>HYPERLINK("https://www.youtube.com/watch?v=SThQy3S1hnk", "Video")</f>
        <v/>
      </c>
      <c r="B9233" t="inlineStr">
        <is>
          <t>18:08</t>
        </is>
      </c>
      <c r="C9233" t="inlineStr">
        <is>
          <t>and maybe inward a little bit,</t>
        </is>
      </c>
      <c r="D9233">
        <f>HYPERLINK("https://www.youtube.com/watch?v=SThQy3S1hnk&amp;t=1088s", "Go to time")</f>
        <v/>
      </c>
    </row>
    <row r="9234">
      <c r="A9234">
        <f>HYPERLINK("https://www.youtube.com/watch?v=SThQy3S1hnk", "Video")</f>
        <v/>
      </c>
      <c r="B9234" t="inlineStr">
        <is>
          <t>20:05</t>
        </is>
      </c>
      <c r="C9234" t="inlineStr">
        <is>
          <t>They do like a little resonant dance
with each other as they orbit Jupiter.</t>
        </is>
      </c>
      <c r="D9234">
        <f>HYPERLINK("https://www.youtube.com/watch?v=SThQy3S1hnk&amp;t=1205s", "Go to time")</f>
        <v/>
      </c>
    </row>
    <row r="9235">
      <c r="A9235">
        <f>HYPERLINK("https://www.youtube.com/watch?v=SThQy3S1hnk", "Video")</f>
        <v/>
      </c>
      <c r="B9235" t="inlineStr">
        <is>
          <t>20:10</t>
        </is>
      </c>
      <c r="C9235" t="inlineStr">
        <is>
          <t>And as they orbit one another
and interact with one another,</t>
        </is>
      </c>
      <c r="D9235">
        <f>HYPERLINK("https://www.youtube.com/watch?v=SThQy3S1hnk&amp;t=1210s", "Go to time")</f>
        <v/>
      </c>
    </row>
    <row r="9236">
      <c r="A9236">
        <f>HYPERLINK("https://www.youtube.com/watch?v=SThQy3S1hnk", "Video")</f>
        <v/>
      </c>
      <c r="B9236" t="inlineStr">
        <is>
          <t>20:40</t>
        </is>
      </c>
      <c r="C9236" t="inlineStr">
        <is>
          <t>So for Europa in orbit around Jupiter,</t>
        </is>
      </c>
      <c r="D9236">
        <f>HYPERLINK("https://www.youtube.com/watch?v=SThQy3S1hnk&amp;t=1240s", "Go to time")</f>
        <v/>
      </c>
    </row>
    <row r="9237">
      <c r="A9237">
        <f>HYPERLINK("https://www.youtube.com/watch?v=SThQy3S1hnk", "Video")</f>
        <v/>
      </c>
      <c r="B9237" t="inlineStr">
        <is>
          <t>21:12</t>
        </is>
      </c>
      <c r="C9237" t="inlineStr">
        <is>
          <t>and it's going to orbit Jupiter,</t>
        </is>
      </c>
      <c r="D9237">
        <f>HYPERLINK("https://www.youtube.com/watch?v=SThQy3S1hnk&amp;t=1272s", "Go to time")</f>
        <v/>
      </c>
    </row>
    <row r="9238">
      <c r="A9238">
        <f>HYPERLINK("https://www.youtube.com/watch?v=SThQy3S1hnk", "Video")</f>
        <v/>
      </c>
      <c r="B9238" t="inlineStr">
        <is>
          <t>21:47</t>
        </is>
      </c>
      <c r="C9238" t="inlineStr">
        <is>
          <t>It goes in a retrograde orbit
backwards around the planet.</t>
        </is>
      </c>
      <c r="D9238">
        <f>HYPERLINK("https://www.youtube.com/watch?v=SThQy3S1hnk&amp;t=1307s", "Go to time")</f>
        <v/>
      </c>
    </row>
    <row r="9239">
      <c r="A9239">
        <f>HYPERLINK("https://www.youtube.com/watch?v=SThQy3S1hnk", "Video")</f>
        <v/>
      </c>
      <c r="B9239" t="inlineStr">
        <is>
          <t>22:08</t>
        </is>
      </c>
      <c r="C9239" t="inlineStr">
        <is>
          <t>So it's like a planet
in orbit around another planet.</t>
        </is>
      </c>
      <c r="D9239">
        <f>HYPERLINK("https://www.youtube.com/watch?v=SThQy3S1hnk&amp;t=1328s", "Go to time")</f>
        <v/>
      </c>
    </row>
    <row r="9240">
      <c r="A9240">
        <f>HYPERLINK("https://www.youtube.com/watch?v=SThQy3S1hnk", "Video")</f>
        <v/>
      </c>
      <c r="B9240" t="inlineStr">
        <is>
          <t>25:54</t>
        </is>
      </c>
      <c r="C9240" t="inlineStr">
        <is>
          <t>how did it in particular come to be
and how did it come to be habitable?</t>
        </is>
      </c>
      <c r="D9240">
        <f>HYPERLINK("https://www.youtube.com/watch?v=SThQy3S1hnk&amp;t=1554s", "Go to time")</f>
        <v/>
      </c>
    </row>
    <row r="9241">
      <c r="A9241">
        <f>HYPERLINK("https://www.youtube.com/watch?v=SThQy3S1hnk", "Video")</f>
        <v/>
      </c>
      <c r="B9241" t="inlineStr">
        <is>
          <t>26:02</t>
        </is>
      </c>
      <c r="C9241" t="inlineStr">
        <is>
          <t>the only system that we know
is inhabited, right,</t>
        </is>
      </c>
      <c r="D9241">
        <f>HYPERLINK("https://www.youtube.com/watch?v=SThQy3S1hnk&amp;t=1562s", "Go to time")</f>
        <v/>
      </c>
    </row>
    <row r="9242">
      <c r="A9242">
        <f>HYPERLINK("https://www.youtube.com/watch?v=SThQy3S1hnk", "Video")</f>
        <v/>
      </c>
      <c r="B9242" t="inlineStr">
        <is>
          <t>26:13</t>
        </is>
      </c>
      <c r="C9242" t="inlineStr">
        <is>
          <t>to make habitability?</t>
        </is>
      </c>
      <c r="D9242">
        <f>HYPERLINK("https://www.youtube.com/watch?v=SThQy3S1hnk&amp;t=1573s", "Go to time")</f>
        <v/>
      </c>
    </row>
    <row r="9243">
      <c r="A9243">
        <f>HYPERLINK("https://www.youtube.com/watch?v=SThQy3S1hnk", "Video")</f>
        <v/>
      </c>
      <c r="B9243" t="inlineStr">
        <is>
          <t>26:17</t>
        </is>
      </c>
      <c r="C9243" t="inlineStr">
        <is>
          <t>Did you have to have a Jupiter
to make it habitable?</t>
        </is>
      </c>
      <c r="D9243">
        <f>HYPERLINK("https://www.youtube.com/watch?v=SThQy3S1hnk&amp;t=1577s", "Go to time")</f>
        <v/>
      </c>
    </row>
    <row r="9244">
      <c r="A9244">
        <f>HYPERLINK("https://www.youtube.com/watch?v=bHgfcA6Vy24", "Video")</f>
        <v/>
      </c>
      <c r="B9244" t="inlineStr">
        <is>
          <t>2:20</t>
        </is>
      </c>
      <c r="C9244" t="inlineStr">
        <is>
          <t>to limit my ambitions and dreams,</t>
        </is>
      </c>
      <c r="D9244">
        <f>HYPERLINK("https://www.youtube.com/watch?v=bHgfcA6Vy24&amp;t=140s", "Go to time")</f>
        <v/>
      </c>
    </row>
    <row r="9245">
      <c r="A9245">
        <f>HYPERLINK("https://www.youtube.com/watch?v=bHgfcA6Vy24", "Video")</f>
        <v/>
      </c>
      <c r="B9245" t="inlineStr">
        <is>
          <t>2:38</t>
        </is>
      </c>
      <c r="C9245" t="inlineStr">
        <is>
          <t>was putting limitations
on my dreams and ambitions</t>
        </is>
      </c>
      <c r="D9245">
        <f>HYPERLINK("https://www.youtube.com/watch?v=bHgfcA6Vy24&amp;t=158s", "Go to time")</f>
        <v/>
      </c>
    </row>
    <row r="9246">
      <c r="A9246">
        <f>HYPERLINK("https://www.youtube.com/watch?v=PJkoLzVNAEY", "Video")</f>
        <v/>
      </c>
      <c r="B9246" t="inlineStr">
        <is>
          <t>4:14</t>
        </is>
      </c>
      <c r="C9246" t="inlineStr">
        <is>
          <t>ambitious levels of change through
their collective supply chains.</t>
        </is>
      </c>
      <c r="D9246">
        <f>HYPERLINK("https://www.youtube.com/watch?v=PJkoLzVNAEY&amp;t=254s", "Go to time")</f>
        <v/>
      </c>
    </row>
    <row r="9247">
      <c r="A9247">
        <f>HYPERLINK("https://www.youtube.com/watch?v=3-UcGCnJ14c", "Video")</f>
        <v/>
      </c>
      <c r="B9247" t="inlineStr">
        <is>
          <t>1:17</t>
        </is>
      </c>
      <c r="C9247" t="inlineStr">
        <is>
          <t>which prohibits state governments
from abusing its citizens,</t>
        </is>
      </c>
      <c r="D9247">
        <f>HYPERLINK("https://www.youtube.com/watch?v=3-UcGCnJ14c&amp;t=77s", "Go to time")</f>
        <v/>
      </c>
    </row>
    <row r="9248">
      <c r="A9248">
        <f>HYPERLINK("https://www.youtube.com/watch?v=3-UcGCnJ14c", "Video")</f>
        <v/>
      </c>
      <c r="B9248" t="inlineStr">
        <is>
          <t>3:26</t>
        </is>
      </c>
      <c r="C9248" t="inlineStr">
        <is>
          <t>Rather, it prohibits all forms
of sex discrimination,</t>
        </is>
      </c>
      <c r="D9248">
        <f>HYPERLINK("https://www.youtube.com/watch?v=3-UcGCnJ14c&amp;t=206s", "Go to time")</f>
        <v/>
      </c>
    </row>
    <row r="9249">
      <c r="A9249">
        <f>HYPERLINK("https://www.youtube.com/watch?v=3-UcGCnJ14c", "Video")</f>
        <v/>
      </c>
      <c r="B9249" t="inlineStr">
        <is>
          <t>5:11</t>
        </is>
      </c>
      <c r="C9249" t="inlineStr">
        <is>
          <t>as a prohibitive form
of sex discrimination.</t>
        </is>
      </c>
      <c r="D9249">
        <f>HYPERLINK("https://www.youtube.com/watch?v=3-UcGCnJ14c&amp;t=311s", "Go to time")</f>
        <v/>
      </c>
    </row>
    <row r="9250">
      <c r="A9250">
        <f>HYPERLINK("https://www.youtube.com/watch?v=KCxbl5QgFZw", "Video")</f>
        <v/>
      </c>
      <c r="B9250" t="inlineStr">
        <is>
          <t>4:11</t>
        </is>
      </c>
      <c r="C9250" t="inlineStr">
        <is>
          <t>and you've been speaking a bit</t>
        </is>
      </c>
      <c r="D9250">
        <f>HYPERLINK("https://www.youtube.com/watch?v=KCxbl5QgFZw&amp;t=251s", "Go to time")</f>
        <v/>
      </c>
    </row>
    <row r="9251">
      <c r="A9251">
        <f>HYPERLINK("https://www.youtube.com/watch?v=KCxbl5QgFZw", "Video")</f>
        <v/>
      </c>
      <c r="B9251" t="inlineStr">
        <is>
          <t>4:23</t>
        </is>
      </c>
      <c r="C9251" t="inlineStr">
        <is>
          <t>I'm curious if you
could talk a little bit more</t>
        </is>
      </c>
      <c r="D9251">
        <f>HYPERLINK("https://www.youtube.com/watch?v=KCxbl5QgFZw&amp;t=263s", "Go to time")</f>
        <v/>
      </c>
    </row>
    <row r="9252">
      <c r="A9252">
        <f>HYPERLINK("https://www.youtube.com/watch?v=KCxbl5QgFZw", "Video")</f>
        <v/>
      </c>
      <c r="B9252" t="inlineStr">
        <is>
          <t>6:27</t>
        </is>
      </c>
      <c r="C9252" t="inlineStr">
        <is>
          <t>I guess, could you talk a little bit
more about that and break that down?</t>
        </is>
      </c>
      <c r="D9252">
        <f>HYPERLINK("https://www.youtube.com/watch?v=KCxbl5QgFZw&amp;t=387s", "Go to time")</f>
        <v/>
      </c>
    </row>
    <row r="9253">
      <c r="A9253">
        <f>HYPERLINK("https://www.youtube.com/watch?v=KCxbl5QgFZw", "Video")</f>
        <v/>
      </c>
      <c r="B9253" t="inlineStr">
        <is>
          <t>10:12</t>
        </is>
      </c>
      <c r="C9253" t="inlineStr">
        <is>
          <t>And so could you speak a little bit
to how the black community</t>
        </is>
      </c>
      <c r="D9253">
        <f>HYPERLINK("https://www.youtube.com/watch?v=KCxbl5QgFZw&amp;t=612s", "Go to time")</f>
        <v/>
      </c>
    </row>
    <row r="9254">
      <c r="A9254">
        <f>HYPERLINK("https://www.youtube.com/watch?v=KCxbl5QgFZw", "Video")</f>
        <v/>
      </c>
      <c r="B9254" t="inlineStr">
        <is>
          <t>12:49</t>
        </is>
      </c>
      <c r="C9254" t="inlineStr">
        <is>
          <t>CS: You touched on this a bit
in your beginning talk here,</t>
        </is>
      </c>
      <c r="D9254">
        <f>HYPERLINK("https://www.youtube.com/watch?v=KCxbl5QgFZw&amp;t=769s", "Go to time")</f>
        <v/>
      </c>
    </row>
    <row r="9255">
      <c r="A9255">
        <f>HYPERLINK("https://www.youtube.com/watch?v=3wxBTEo8-T8", "Video")</f>
        <v/>
      </c>
      <c r="B9255" t="inlineStr">
        <is>
          <t>0:55</t>
        </is>
      </c>
      <c r="C9255" t="inlineStr">
        <is>
          <t>Cord was sad for a bit,</t>
        </is>
      </c>
      <c r="D9255">
        <f>HYPERLINK("https://www.youtube.com/watch?v=3wxBTEo8-T8&amp;t=55s", "Go to time")</f>
        <v/>
      </c>
    </row>
    <row r="9256">
      <c r="A9256">
        <f>HYPERLINK("https://www.youtube.com/watch?v=x5mAqRx62rk", "Video")</f>
        <v/>
      </c>
      <c r="B9256" t="inlineStr">
        <is>
          <t>12:50</t>
        </is>
      </c>
      <c r="C9256" t="inlineStr">
        <is>
          <t>and altered its orbit,</t>
        </is>
      </c>
      <c r="D9256">
        <f>HYPERLINK("https://www.youtube.com/watch?v=x5mAqRx62rk&amp;t=770s", "Go to time")</f>
        <v/>
      </c>
    </row>
    <row r="9257">
      <c r="A9257">
        <f>HYPERLINK("https://www.youtube.com/watch?v=L5rE-Ur9pSI", "Video")</f>
        <v/>
      </c>
      <c r="B9257" t="inlineStr">
        <is>
          <t>4:15</t>
        </is>
      </c>
      <c r="C9257" t="inlineStr">
        <is>
          <t>With so much shame
and inhibition around sex</t>
        </is>
      </c>
      <c r="D9257">
        <f>HYPERLINK("https://www.youtube.com/watch?v=L5rE-Ur9pSI&amp;t=255s", "Go to time")</f>
        <v/>
      </c>
    </row>
    <row r="9258">
      <c r="A9258">
        <f>HYPERLINK("https://www.youtube.com/watch?v=L5rE-Ur9pSI", "Video")</f>
        <v/>
      </c>
      <c r="B9258" t="inlineStr">
        <is>
          <t>9:13</t>
        </is>
      </c>
      <c r="C9258" t="inlineStr">
        <is>
          <t>in the intermediate section
a little bit, you know,</t>
        </is>
      </c>
      <c r="D9258">
        <f>HYPERLINK("https://www.youtube.com/watch?v=L5rE-Ur9pSI&amp;t=553s", "Go to time")</f>
        <v/>
      </c>
    </row>
    <row r="9259">
      <c r="A9259">
        <f>HYPERLINK("https://www.youtube.com/watch?v=L5rE-Ur9pSI", "Video")</f>
        <v/>
      </c>
      <c r="B9259" t="inlineStr">
        <is>
          <t>9:15</t>
        </is>
      </c>
      <c r="C9259" t="inlineStr">
        <is>
          <t>like splash around a little bit,
get comfortable,</t>
        </is>
      </c>
      <c r="D9259">
        <f>HYPERLINK("https://www.youtube.com/watch?v=L5rE-Ur9pSI&amp;t=555s", "Go to time")</f>
        <v/>
      </c>
    </row>
    <row r="9260">
      <c r="A9260">
        <f>HYPERLINK("https://www.youtube.com/watch?v=6SZHUHkMYr4", "Video")</f>
        <v/>
      </c>
      <c r="B9260" t="inlineStr">
        <is>
          <t>1:55</t>
        </is>
      </c>
      <c r="C9260" t="inlineStr">
        <is>
          <t>Bit of a shocker?</t>
        </is>
      </c>
      <c r="D9260">
        <f>HYPERLINK("https://www.youtube.com/watch?v=6SZHUHkMYr4&amp;t=115s", "Go to time")</f>
        <v/>
      </c>
    </row>
    <row r="9261">
      <c r="A9261">
        <f>HYPERLINK("https://www.youtube.com/watch?v=a_yYWpiC3t0", "Video")</f>
        <v/>
      </c>
      <c r="B9261" t="inlineStr">
        <is>
          <t>5:33</t>
        </is>
      </c>
      <c r="C9261" t="inlineStr">
        <is>
          <t>And so we're, you know,
we're in a bit of a gray zone.</t>
        </is>
      </c>
      <c r="D9261">
        <f>HYPERLINK("https://www.youtube.com/watch?v=a_yYWpiC3t0&amp;t=333s", "Go to time")</f>
        <v/>
      </c>
    </row>
    <row r="9262">
      <c r="A9262">
        <f>HYPERLINK("https://www.youtube.com/watch?v=a_yYWpiC3t0", "Video")</f>
        <v/>
      </c>
      <c r="B9262" t="inlineStr">
        <is>
          <t>17:01</t>
        </is>
      </c>
      <c r="C9262" t="inlineStr">
        <is>
          <t>even if we manage
to pull a rabbit out of a hat</t>
        </is>
      </c>
      <c r="D9262">
        <f>HYPERLINK("https://www.youtube.com/watch?v=a_yYWpiC3t0&amp;t=1021s", "Go to time")</f>
        <v/>
      </c>
    </row>
    <row r="9263">
      <c r="A9263">
        <f>HYPERLINK("https://www.youtube.com/watch?v=g2pVB9Ci5pI", "Video")</f>
        <v/>
      </c>
      <c r="B9263" t="inlineStr">
        <is>
          <t>10:16</t>
        </is>
      </c>
      <c r="C9263" t="inlineStr">
        <is>
          <t>kind of works a little bit
like a fitness tracker,</t>
        </is>
      </c>
      <c r="D9263">
        <f>HYPERLINK("https://www.youtube.com/watch?v=g2pVB9Ci5pI&amp;t=616s", "Go to time")</f>
        <v/>
      </c>
    </row>
    <row r="9264">
      <c r="A9264">
        <f>HYPERLINK("https://www.youtube.com/watch?v=0txtVkBUdSQ", "Video")</f>
        <v/>
      </c>
      <c r="B9264" t="inlineStr">
        <is>
          <t>3:53</t>
        </is>
      </c>
      <c r="C9264" t="inlineStr">
        <is>
          <t>every one of us
stretched and shrank a tiny bit.</t>
        </is>
      </c>
      <c r="D9264">
        <f>HYPERLINK("https://www.youtube.com/watch?v=0txtVkBUdSQ&amp;t=233s", "Go to time")</f>
        <v/>
      </c>
    </row>
    <row r="9265">
      <c r="A9265">
        <f>HYPERLINK("https://www.youtube.com/watch?v=GRgqbsP_-uw", "Video")</f>
        <v/>
      </c>
      <c r="B9265" t="inlineStr">
        <is>
          <t>0:34</t>
        </is>
      </c>
      <c r="C9265" t="inlineStr">
        <is>
          <t>And they can even make us hate
sitting in traffic just a little bit less.</t>
        </is>
      </c>
      <c r="D9265">
        <f>HYPERLINK("https://www.youtube.com/watch?v=GRgqbsP_-uw&amp;t=34s", "Go to time")</f>
        <v/>
      </c>
    </row>
    <row r="9266">
      <c r="A9266">
        <f>HYPERLINK("https://www.youtube.com/watch?v=GRgqbsP_-uw", "Video")</f>
        <v/>
      </c>
      <c r="B9266" t="inlineStr">
        <is>
          <t>5:18</t>
        </is>
      </c>
      <c r="C9266" t="inlineStr">
        <is>
          <t>And then she sings “you”
on the bittersweet sixth degree</t>
        </is>
      </c>
      <c r="D9266">
        <f>HYPERLINK("https://www.youtube.com/watch?v=GRgqbsP_-uw&amp;t=318s", "Go to time")</f>
        <v/>
      </c>
    </row>
    <row r="9267">
      <c r="A9267">
        <f>HYPERLINK("https://www.youtube.com/watch?v=GRgqbsP_-uw", "Video")</f>
        <v/>
      </c>
      <c r="B9267" t="inlineStr">
        <is>
          <t>8:27</t>
        </is>
      </c>
      <c r="C9267" t="inlineStr">
        <is>
          <t>But too much repetition
causes the brain to habituate</t>
        </is>
      </c>
      <c r="D9267">
        <f>HYPERLINK("https://www.youtube.com/watch?v=GRgqbsP_-uw&amp;t=507s", "Go to time")</f>
        <v/>
      </c>
    </row>
    <row r="9268">
      <c r="A9268">
        <f>HYPERLINK("https://www.youtube.com/watch?v=GRgqbsP_-uw", "Video")</f>
        <v/>
      </c>
      <c r="B9268" t="inlineStr">
        <is>
          <t>8:53</t>
        </is>
      </c>
      <c r="C9268" t="inlineStr">
        <is>
          <t>their brain has habituated
to your wife-voice --</t>
        </is>
      </c>
      <c r="D9268">
        <f>HYPERLINK("https://www.youtube.com/watch?v=GRgqbsP_-uw&amp;t=533s", "Go to time")</f>
        <v/>
      </c>
    </row>
    <row r="9269">
      <c r="A9269">
        <f>HYPERLINK("https://www.youtube.com/watch?v=GRgqbsP_-uw", "Video")</f>
        <v/>
      </c>
      <c r="B9269" t="inlineStr">
        <is>
          <t>9:36</t>
        </is>
      </c>
      <c r="C9269" t="inlineStr">
        <is>
          <t>So try a little bit of this brain science
for yourself at home.</t>
        </is>
      </c>
      <c r="D9269">
        <f>HYPERLINK("https://www.youtube.com/watch?v=GRgqbsP_-uw&amp;t=576s", "Go to time")</f>
        <v/>
      </c>
    </row>
    <row r="9270">
      <c r="A9270">
        <f>HYPERLINK("https://www.youtube.com/watch?v=GRgqbsP_-uw", "Video")</f>
        <v/>
      </c>
      <c r="B9270" t="inlineStr">
        <is>
          <t>11:08</t>
        </is>
      </c>
      <c r="C9270" t="inlineStr">
        <is>
          <t>Alright, so here's a little bit.</t>
        </is>
      </c>
      <c r="D9270">
        <f>HYPERLINK("https://www.youtube.com/watch?v=GRgqbsP_-uw&amp;t=668s", "Go to time")</f>
        <v/>
      </c>
    </row>
    <row r="9271">
      <c r="A9271">
        <f>HYPERLINK("https://www.youtube.com/watch?v=GRgqbsP_-uw", "Video")</f>
        <v/>
      </c>
      <c r="B9271" t="inlineStr">
        <is>
          <t>12:38</t>
        </is>
      </c>
      <c r="C9271" t="inlineStr">
        <is>
          <t>bitch I might be better."</t>
        </is>
      </c>
      <c r="D9271">
        <f>HYPERLINK("https://www.youtube.com/watch?v=GRgqbsP_-uw&amp;t=758s", "Go to time")</f>
        <v/>
      </c>
    </row>
    <row r="9272">
      <c r="A9272">
        <f>HYPERLINK("https://www.youtube.com/watch?v=GRgqbsP_-uw", "Video")</f>
        <v/>
      </c>
      <c r="B9272" t="inlineStr">
        <is>
          <t>15:10</t>
        </is>
      </c>
      <c r="C9272" t="inlineStr">
        <is>
          <t>we sort of got a little bit
of the darkness.</t>
        </is>
      </c>
      <c r="D9272">
        <f>HYPERLINK("https://www.youtube.com/watch?v=GRgqbsP_-uw&amp;t=910s", "Go to time")</f>
        <v/>
      </c>
    </row>
    <row r="9273">
      <c r="A9273">
        <f>HYPERLINK("https://www.youtube.com/watch?v=zIwLWfaAg-8", "Video")</f>
        <v/>
      </c>
      <c r="B9273" t="inlineStr">
        <is>
          <t>2:41</t>
        </is>
      </c>
      <c r="C9273" t="inlineStr">
        <is>
          <t>so you can alleviate any arbitrary
level of urban congestion</t>
        </is>
      </c>
      <c r="D9273">
        <f>HYPERLINK("https://www.youtube.com/watch?v=zIwLWfaAg-8&amp;t=161s", "Go to time")</f>
        <v/>
      </c>
    </row>
    <row r="9274">
      <c r="A9274">
        <f>HYPERLINK("https://www.youtube.com/watch?v=zIwLWfaAg-8", "Video")</f>
        <v/>
      </c>
      <c r="B9274" t="inlineStr">
        <is>
          <t>3:02</t>
        </is>
      </c>
      <c r="C9274" t="inlineStr">
        <is>
          <t>But you can go to any
arbitrary number of tunnels,</t>
        </is>
      </c>
      <c r="D9274">
        <f>HYPERLINK("https://www.youtube.com/watch?v=zIwLWfaAg-8&amp;t=182s", "Go to time")</f>
        <v/>
      </c>
    </row>
    <row r="9275">
      <c r="A9275">
        <f>HYPERLINK("https://www.youtube.com/watch?v=zIwLWfaAg-8", "Video")</f>
        <v/>
      </c>
      <c r="B9275" t="inlineStr">
        <is>
          <t>24:51</t>
        </is>
      </c>
      <c r="C9275" t="inlineStr">
        <is>
          <t>CA: And what's the scale of ambition here?</t>
        </is>
      </c>
      <c r="D9275">
        <f>HYPERLINK("https://www.youtube.com/watch?v=zIwLWfaAg-8&amp;t=1491s", "Go to time")</f>
        <v/>
      </c>
    </row>
    <row r="9276">
      <c r="A9276">
        <f>HYPERLINK("https://www.youtube.com/watch?v=zIwLWfaAg-8", "Video")</f>
        <v/>
      </c>
      <c r="B9276" t="inlineStr">
        <is>
          <t>30:36</t>
        </is>
      </c>
      <c r="C9276" t="inlineStr">
        <is>
          <t>you spoke about what seemed like
a kind of incredibly ambitious dream</t>
        </is>
      </c>
      <c r="D9276">
        <f>HYPERLINK("https://www.youtube.com/watch?v=zIwLWfaAg-8&amp;t=1836s", "Go to time")</f>
        <v/>
      </c>
    </row>
    <row r="9277">
      <c r="A9277">
        <f>HYPERLINK("https://www.youtube.com/watch?v=zIwLWfaAg-8", "Video")</f>
        <v/>
      </c>
      <c r="B9277" t="inlineStr">
        <is>
          <t>31:42</t>
        </is>
      </c>
      <c r="C9277" t="inlineStr">
        <is>
          <t>so it's the first reflight
of an orbital booster</t>
        </is>
      </c>
      <c r="D9277">
        <f>HYPERLINK("https://www.youtube.com/watch?v=zIwLWfaAg-8&amp;t=1902s", "Go to time")</f>
        <v/>
      </c>
    </row>
    <row r="9278">
      <c r="A9278">
        <f>HYPERLINK("https://www.youtube.com/watch?v=zIwLWfaAg-8", "Video")</f>
        <v/>
      </c>
      <c r="B9278" t="inlineStr">
        <is>
          <t>32:08</t>
        </is>
      </c>
      <c r="C9278" t="inlineStr">
        <is>
          <t>CA: Right. So this is allowing you
to dream of this really ambitious idea</t>
        </is>
      </c>
      <c r="D9278">
        <f>HYPERLINK("https://www.youtube.com/watch?v=zIwLWfaAg-8&amp;t=1928s", "Go to time")</f>
        <v/>
      </c>
    </row>
    <row r="9279">
      <c r="A9279">
        <f>HYPERLINK("https://www.youtube.com/watch?v=zIwLWfaAg-8", "Video")</f>
        <v/>
      </c>
      <c r="B9279" t="inlineStr">
        <is>
          <t>33:37</t>
        </is>
      </c>
      <c r="C9279" t="inlineStr">
        <is>
          <t>into orbit.</t>
        </is>
      </c>
      <c r="D9279">
        <f>HYPERLINK("https://www.youtube.com/watch?v=zIwLWfaAg-8&amp;t=2017s", "Go to time")</f>
        <v/>
      </c>
    </row>
    <row r="9280">
      <c r="A9280">
        <f>HYPERLINK("https://www.youtube.com/watch?v=zIwLWfaAg-8", "Video")</f>
        <v/>
      </c>
      <c r="B9280" t="inlineStr">
        <is>
          <t>35:49</t>
        </is>
      </c>
      <c r="C9280" t="inlineStr">
        <is>
          <t>And to be fair, you've done
a fair old bit to actually do that</t>
        </is>
      </c>
      <c r="D9280">
        <f>HYPERLINK("https://www.youtube.com/watch?v=zIwLWfaAg-8&amp;t=2149s", "Go to time")</f>
        <v/>
      </c>
    </row>
    <row r="9281">
      <c r="A9281">
        <f>HYPERLINK("https://www.youtube.com/watch?v=zIwLWfaAg-8", "Video")</f>
        <v/>
      </c>
      <c r="B9281" t="inlineStr">
        <is>
          <t>37:57</t>
        </is>
      </c>
      <c r="C9281" t="inlineStr">
        <is>
          <t>The Space Shuttle could only
take people to low Earth orbit.</t>
        </is>
      </c>
      <c r="D9281">
        <f>HYPERLINK("https://www.youtube.com/watch?v=zIwLWfaAg-8&amp;t=2277s", "Go to time")</f>
        <v/>
      </c>
    </row>
    <row r="9282">
      <c r="A9282">
        <f>HYPERLINK("https://www.youtube.com/watch?v=zIwLWfaAg-8", "Video")</f>
        <v/>
      </c>
      <c r="B9282" t="inlineStr">
        <is>
          <t>38:02</t>
        </is>
      </c>
      <c r="C9282" t="inlineStr">
        <is>
          <t>and the United States
could take no one to orbit.</t>
        </is>
      </c>
      <c r="D9282">
        <f>HYPERLINK("https://www.youtube.com/watch?v=zIwLWfaAg-8&amp;t=2282s", "Go to time")</f>
        <v/>
      </c>
    </row>
    <row r="9283">
      <c r="A9283">
        <f>HYPERLINK("https://www.youtube.com/watch?v=zIwLWfaAg-8", "Video")</f>
        <v/>
      </c>
      <c r="B9283" t="inlineStr">
        <is>
          <t>40:31</t>
        </is>
      </c>
      <c r="C9283" t="inlineStr">
        <is>
          <t>Thank you for helping us all
to dream a bit bigger.</t>
        </is>
      </c>
      <c r="D9283">
        <f>HYPERLINK("https://www.youtube.com/watch?v=zIwLWfaAg-8&amp;t=2431s", "Go to time")</f>
        <v/>
      </c>
    </row>
    <row r="9284">
      <c r="A9284">
        <f>HYPERLINK("https://www.youtube.com/watch?v=4fhS8LF5nAo", "Video")</f>
        <v/>
      </c>
      <c r="B9284" t="inlineStr">
        <is>
          <t>2:27</t>
        </is>
      </c>
      <c r="C9284" t="inlineStr">
        <is>
          <t>by trying to exhibit control
instead of the chaos I felt inside.</t>
        </is>
      </c>
      <c r="D9284">
        <f>HYPERLINK("https://www.youtube.com/watch?v=4fhS8LF5nAo&amp;t=147s", "Go to time")</f>
        <v/>
      </c>
    </row>
    <row r="9285">
      <c r="A9285">
        <f>HYPERLINK("https://www.youtube.com/watch?v=UtDllX_MTbw", "Video")</f>
        <v/>
      </c>
      <c r="B9285" t="inlineStr">
        <is>
          <t>1:09</t>
        </is>
      </c>
      <c r="C9285" t="inlineStr">
        <is>
          <t>You just need three bits to describe it.</t>
        </is>
      </c>
      <c r="D9285">
        <f>HYPERLINK("https://www.youtube.com/watch?v=UtDllX_MTbw&amp;t=69s", "Go to time")</f>
        <v/>
      </c>
    </row>
    <row r="9286">
      <c r="A9286">
        <f>HYPERLINK("https://www.youtube.com/watch?v=UtDllX_MTbw", "Video")</f>
        <v/>
      </c>
      <c r="B9286" t="inlineStr">
        <is>
          <t>3:23</t>
        </is>
      </c>
      <c r="C9286" t="inlineStr">
        <is>
          <t>Each line represents a qubit,</t>
        </is>
      </c>
      <c r="D9286">
        <f>HYPERLINK("https://www.youtube.com/watch?v=UtDllX_MTbw&amp;t=203s", "Go to time")</f>
        <v/>
      </c>
    </row>
    <row r="9287">
      <c r="A9287">
        <f>HYPERLINK("https://www.youtube.com/watch?v=UtDllX_MTbw", "Video")</f>
        <v/>
      </c>
      <c r="B9287" t="inlineStr">
        <is>
          <t>3:39</t>
        </is>
      </c>
      <c r="C9287" t="inlineStr">
        <is>
          <t>Actually, our most powerful quantum
computers now have over 100 qubits.</t>
        </is>
      </c>
      <c r="D9287">
        <f>HYPERLINK("https://www.youtube.com/watch?v=UtDllX_MTbw&amp;t=219s", "Go to time")</f>
        <v/>
      </c>
    </row>
    <row r="9288">
      <c r="A9288">
        <f>HYPERLINK("https://www.youtube.com/watch?v=UtDllX_MTbw", "Video")</f>
        <v/>
      </c>
      <c r="B9288" t="inlineStr">
        <is>
          <t>3:49</t>
        </is>
      </c>
      <c r="C9288" t="inlineStr">
        <is>
          <t>electrical pulses that control the qubits.</t>
        </is>
      </c>
      <c r="D9288">
        <f>HYPERLINK("https://www.youtube.com/watch?v=UtDllX_MTbw&amp;t=229s", "Go to time")</f>
        <v/>
      </c>
    </row>
    <row r="9289">
      <c r="A9289">
        <f>HYPERLINK("https://www.youtube.com/watch?v=UtDllX_MTbw", "Video")</f>
        <v/>
      </c>
      <c r="B9289" t="inlineStr">
        <is>
          <t>3:58</t>
        </is>
      </c>
      <c r="C9289" t="inlineStr">
        <is>
          <t>So this is a simple two-qubit circuit
performing quantum search.</t>
        </is>
      </c>
      <c r="D9289">
        <f>HYPERLINK("https://www.youtube.com/watch?v=UtDllX_MTbw&amp;t=238s", "Go to time")</f>
        <v/>
      </c>
    </row>
    <row r="9290">
      <c r="A9290">
        <f>HYPERLINK("https://www.youtube.com/watch?v=UtDllX_MTbw", "Video")</f>
        <v/>
      </c>
      <c r="B9290" t="inlineStr">
        <is>
          <t>4:51</t>
        </is>
      </c>
      <c r="C9290" t="inlineStr">
        <is>
          <t>We can throw a qubit in</t>
        </is>
      </c>
      <c r="D9290">
        <f>HYPERLINK("https://www.youtube.com/watch?v=UtDllX_MTbw&amp;t=291s", "Go to time")</f>
        <v/>
      </c>
    </row>
    <row r="9291">
      <c r="A9291">
        <f>HYPERLINK("https://www.youtube.com/watch?v=UtDllX_MTbw", "Video")</f>
        <v/>
      </c>
      <c r="B9291" t="inlineStr">
        <is>
          <t>7:15</t>
        </is>
      </c>
      <c r="C9291" t="inlineStr">
        <is>
          <t>How to build a computer
with a million physical qubits.</t>
        </is>
      </c>
      <c r="D9291">
        <f>HYPERLINK("https://www.youtube.com/watch?v=UtDllX_MTbw&amp;t=435s", "Go to time")</f>
        <v/>
      </c>
    </row>
    <row r="9292">
      <c r="A9292">
        <f>HYPERLINK("https://www.youtube.com/watch?v=UtDllX_MTbw", "Video")</f>
        <v/>
      </c>
      <c r="B9292" t="inlineStr">
        <is>
          <t>8:21</t>
        </is>
      </c>
      <c r="C9292" t="inlineStr">
        <is>
          <t>Today, our two-qubit operations
have an error rate of 1 in 1,000.</t>
        </is>
      </c>
      <c r="D9292">
        <f>HYPERLINK("https://www.youtube.com/watch?v=UtDllX_MTbw&amp;t=501s", "Go to time")</f>
        <v/>
      </c>
    </row>
    <row r="9293">
      <c r="A9293">
        <f>HYPERLINK("https://www.youtube.com/watch?v=UtDllX_MTbw", "Video")</f>
        <v/>
      </c>
      <c r="B9293" t="inlineStr">
        <is>
          <t>8:34</t>
        </is>
      </c>
      <c r="C9293" t="inlineStr">
        <is>
          <t>we combine many physical qubits
to a logical qubit</t>
        </is>
      </c>
      <c r="D9293">
        <f>HYPERLINK("https://www.youtube.com/watch?v=UtDllX_MTbw&amp;t=514s", "Go to time")</f>
        <v/>
      </c>
    </row>
    <row r="9294">
      <c r="A9294">
        <f>HYPERLINK("https://www.youtube.com/watch?v=6iqXH9RPK1w", "Video")</f>
        <v/>
      </c>
      <c r="B9294" t="inlineStr">
        <is>
          <t>1:13</t>
        </is>
      </c>
      <c r="C9294" t="inlineStr">
        <is>
          <t>that are too close to some
arbitrary expiration date,</t>
        </is>
      </c>
      <c r="D9294">
        <f>HYPERLINK("https://www.youtube.com/watch?v=6iqXH9RPK1w&amp;t=73s", "Go to time")</f>
        <v/>
      </c>
    </row>
    <row r="9295">
      <c r="A9295">
        <f>HYPERLINK("https://www.youtube.com/watch?v=6iqXH9RPK1w", "Video")</f>
        <v/>
      </c>
      <c r="B9295" t="inlineStr">
        <is>
          <t>3:49</t>
        </is>
      </c>
      <c r="C9295" t="inlineStr">
        <is>
          <t>There's a lot we can do in our own lives,
and I'll get to that in a bit.</t>
        </is>
      </c>
      <c r="D9295">
        <f>HYPERLINK("https://www.youtube.com/watch?v=6iqXH9RPK1w&amp;t=229s", "Go to time")</f>
        <v/>
      </c>
    </row>
    <row r="9296">
      <c r="A9296">
        <f>HYPERLINK("https://www.youtube.com/watch?v=coAopEn8Fn4", "Video")</f>
        <v/>
      </c>
      <c r="B9296" t="inlineStr">
        <is>
          <t>6:38</t>
        </is>
      </c>
      <c r="C9296" t="inlineStr">
        <is>
          <t>and I should know a little bit more</t>
        </is>
      </c>
      <c r="D9296">
        <f>HYPERLINK("https://www.youtube.com/watch?v=coAopEn8Fn4&amp;t=398s", "Go to time")</f>
        <v/>
      </c>
    </row>
    <row r="9297">
      <c r="A9297">
        <f>HYPERLINK("https://www.youtube.com/watch?v=coAopEn8Fn4", "Video")</f>
        <v/>
      </c>
      <c r="B9297" t="inlineStr">
        <is>
          <t>8:56</t>
        </is>
      </c>
      <c r="C9297" t="inlineStr">
        <is>
          <t>Let me talk a little bit more about that.</t>
        </is>
      </c>
      <c r="D9297">
        <f>HYPERLINK("https://www.youtube.com/watch?v=coAopEn8Fn4&amp;t=536s", "Go to time")</f>
        <v/>
      </c>
    </row>
    <row r="9298">
      <c r="A9298">
        <f>HYPERLINK("https://www.youtube.com/watch?v=coAopEn8Fn4", "Video")</f>
        <v/>
      </c>
      <c r="B9298" t="inlineStr">
        <is>
          <t>11:15</t>
        </is>
      </c>
      <c r="C9298" t="inlineStr">
        <is>
          <t>Get a little bit older,
we give you a detention.</t>
        </is>
      </c>
      <c r="D9298">
        <f>HYPERLINK("https://www.youtube.com/watch?v=coAopEn8Fn4&amp;t=675s", "Go to time")</f>
        <v/>
      </c>
    </row>
    <row r="9299">
      <c r="A9299">
        <f>HYPERLINK("https://www.youtube.com/watch?v=rJmwZhy9Suk", "Video")</f>
        <v/>
      </c>
      <c r="B9299" t="inlineStr">
        <is>
          <t>4:08</t>
        </is>
      </c>
      <c r="C9299" t="inlineStr">
        <is>
          <t>as twilight zone inhabitants
travel hundreds of meters</t>
        </is>
      </c>
      <c r="D9299">
        <f>HYPERLINK("https://www.youtube.com/watch?v=rJmwZhy9Suk&amp;t=248s", "Go to time")</f>
        <v/>
      </c>
    </row>
    <row r="9300">
      <c r="A9300">
        <f>HYPERLINK("https://www.youtube.com/watch?v=Oo2upU6ny-I", "Video")</f>
        <v/>
      </c>
      <c r="B9300" t="inlineStr">
        <is>
          <t>0:34</t>
        </is>
      </c>
      <c r="C9300" t="inlineStr">
        <is>
          <t>who often took myself
a little bit too seriously,</t>
        </is>
      </c>
      <c r="D9300">
        <f>HYPERLINK("https://www.youtube.com/watch?v=Oo2upU6ny-I&amp;t=34s", "Go to time")</f>
        <v/>
      </c>
    </row>
    <row r="9301">
      <c r="A9301">
        <f>HYPERLINK("https://www.youtube.com/watch?v=Oo2upU6ny-I", "Video")</f>
        <v/>
      </c>
      <c r="B9301" t="inlineStr">
        <is>
          <t>2:17</t>
        </is>
      </c>
      <c r="C9301" t="inlineStr">
        <is>
          <t>and health habits</t>
        </is>
      </c>
      <c r="D9301">
        <f>HYPERLINK("https://www.youtube.com/watch?v=Oo2upU6ny-I&amp;t=137s", "Go to time")</f>
        <v/>
      </c>
    </row>
    <row r="9302">
      <c r="A9302">
        <f>HYPERLINK("https://www.youtube.com/watch?v=Oo2upU6ny-I", "Video")</f>
        <v/>
      </c>
      <c r="B9302" t="inlineStr">
        <is>
          <t>12:14</t>
        </is>
      </c>
      <c r="C9302" t="inlineStr">
        <is>
          <t>and a little bit of fun.</t>
        </is>
      </c>
      <c r="D9302">
        <f>HYPERLINK("https://www.youtube.com/watch?v=Oo2upU6ny-I&amp;t=734s", "Go to time")</f>
        <v/>
      </c>
    </row>
    <row r="9303">
      <c r="A9303">
        <f>HYPERLINK("https://www.youtube.com/watch?v=P6FORpg0KVo", "Video")</f>
        <v/>
      </c>
      <c r="B9303" t="inlineStr">
        <is>
          <t>12:07</t>
        </is>
      </c>
      <c r="C9303" t="inlineStr">
        <is>
          <t>I wonder if you can just say
a little bit more about that last point,</t>
        </is>
      </c>
      <c r="D9303">
        <f>HYPERLINK("https://www.youtube.com/watch?v=P6FORpg0KVo&amp;t=727s", "Go to time")</f>
        <v/>
      </c>
    </row>
    <row r="9304">
      <c r="A9304">
        <f>HYPERLINK("https://www.youtube.com/watch?v=gnbVwu04oiA", "Video")</f>
        <v/>
      </c>
      <c r="B9304" t="inlineStr">
        <is>
          <t>3:23</t>
        </is>
      </c>
      <c r="C9304" t="inlineStr">
        <is>
          <t>It tastes a bit like honey,</t>
        </is>
      </c>
      <c r="D9304">
        <f>HYPERLINK("https://www.youtube.com/watch?v=gnbVwu04oiA&amp;t=203s", "Go to time")</f>
        <v/>
      </c>
    </row>
    <row r="9305">
      <c r="A9305">
        <f>HYPERLINK("https://www.youtube.com/watch?v=gnbVwu04oiA", "Video")</f>
        <v/>
      </c>
      <c r="B9305" t="inlineStr">
        <is>
          <t>6:37</t>
        </is>
      </c>
      <c r="C9305" t="inlineStr">
        <is>
          <t>In fact, I think we have
a bit of a tradition,</t>
        </is>
      </c>
      <c r="D9305">
        <f>HYPERLINK("https://www.youtube.com/watch?v=gnbVwu04oiA&amp;t=397s", "Go to time")</f>
        <v/>
      </c>
    </row>
    <row r="9306">
      <c r="A9306">
        <f>HYPERLINK("https://www.youtube.com/watch?v=gnbVwu04oiA", "Video")</f>
        <v/>
      </c>
      <c r="B9306" t="inlineStr">
        <is>
          <t>9:23</t>
        </is>
      </c>
      <c r="C9306" t="inlineStr">
        <is>
          <t>as a nun in a full habit
and wimple and latex gloves</t>
        </is>
      </c>
      <c r="D9306">
        <f>HYPERLINK("https://www.youtube.com/watch?v=gnbVwu04oiA&amp;t=563s", "Go to time")</f>
        <v/>
      </c>
    </row>
    <row r="9307">
      <c r="A9307">
        <f>HYPERLINK("https://www.youtube.com/watch?v=gnbVwu04oiA", "Video")</f>
        <v/>
      </c>
      <c r="B9307" t="inlineStr">
        <is>
          <t>9:48</t>
        </is>
      </c>
      <c r="C9307" t="inlineStr">
        <is>
          <t>Now, there is a truly global
and a very, very ambitious example of this</t>
        </is>
      </c>
      <c r="D9307">
        <f>HYPERLINK("https://www.youtube.com/watch?v=gnbVwu04oiA&amp;t=588s", "Go to time")</f>
        <v/>
      </c>
    </row>
    <row r="9308">
      <c r="A9308">
        <f>HYPERLINK("https://www.youtube.com/watch?v=2LkDU0iKaro", "Video")</f>
        <v/>
      </c>
      <c r="B9308" t="inlineStr">
        <is>
          <t>3:12</t>
        </is>
      </c>
      <c r="C9308" t="inlineStr">
        <is>
          <t>and all by simply helping people
change their spending habits</t>
        </is>
      </c>
      <c r="D9308">
        <f>HYPERLINK("https://www.youtube.com/watch?v=2LkDU0iKaro&amp;t=192s", "Go to time")</f>
        <v/>
      </c>
    </row>
    <row r="9309">
      <c r="A9309">
        <f>HYPERLINK("https://www.youtube.com/watch?v=tbvUCrS5_5I", "Video")</f>
        <v/>
      </c>
      <c r="B9309" t="inlineStr">
        <is>
          <t>1:03</t>
        </is>
      </c>
      <c r="C9309" t="inlineStr">
        <is>
          <t>that told each one of them
to hold back a bit to prevent overfishing.</t>
        </is>
      </c>
      <c r="D9309">
        <f>HYPERLINK("https://www.youtube.com/watch?v=tbvUCrS5_5I&amp;t=63s", "Go to time")</f>
        <v/>
      </c>
    </row>
    <row r="9310">
      <c r="A9310">
        <f>HYPERLINK("https://www.youtube.com/watch?v=cJg_tPB0Nu0", "Video")</f>
        <v/>
      </c>
      <c r="B9310" t="inlineStr">
        <is>
          <t>12:31</t>
        </is>
      </c>
      <c r="C9310" t="inlineStr">
        <is>
          <t>and as adults, I'm hoping we can all find
a little bit of that lightning</t>
        </is>
      </c>
      <c r="D9310">
        <f>HYPERLINK("https://www.youtube.com/watch?v=cJg_tPB0Nu0&amp;t=751s", "Go to time")</f>
        <v/>
      </c>
    </row>
    <row r="9311">
      <c r="A9311">
        <f>HYPERLINK("https://www.youtube.com/watch?v=n5QmIQsw-Lg", "Video")</f>
        <v/>
      </c>
      <c r="B9311" t="inlineStr">
        <is>
          <t>6:48</t>
        </is>
      </c>
      <c r="C9311" t="inlineStr">
        <is>
          <t>one of the first meetings was to arbitrate
a very passionate debate</t>
        </is>
      </c>
      <c r="D9311">
        <f>HYPERLINK("https://www.youtube.com/watch?v=n5QmIQsw-Lg&amp;t=408s", "Go to time")</f>
        <v/>
      </c>
    </row>
    <row r="9312">
      <c r="A9312">
        <f>HYPERLINK("https://www.youtube.com/watch?v=XgpdInYDs-U", "Video")</f>
        <v/>
      </c>
      <c r="B9312" t="inlineStr">
        <is>
          <t>3:31</t>
        </is>
      </c>
      <c r="C9312" t="inlineStr">
        <is>
          <t>They're not unambitious, these people.</t>
        </is>
      </c>
      <c r="D9312">
        <f>HYPERLINK("https://www.youtube.com/watch?v=XgpdInYDs-U&amp;t=211s", "Go to time")</f>
        <v/>
      </c>
    </row>
    <row r="9313">
      <c r="A9313">
        <f>HYPERLINK("https://www.youtube.com/watch?v=XgpdInYDs-U", "Video")</f>
        <v/>
      </c>
      <c r="B9313" t="inlineStr">
        <is>
          <t>4:18</t>
        </is>
      </c>
      <c r="C9313" t="inlineStr">
        <is>
          <t>that we might be able to inhabit
this wrap-around immersive space.</t>
        </is>
      </c>
      <c r="D9313">
        <f>HYPERLINK("https://www.youtube.com/watch?v=XgpdInYDs-U&amp;t=258s", "Go to time")</f>
        <v/>
      </c>
    </row>
    <row r="9314">
      <c r="A9314">
        <f>HYPERLINK("https://www.youtube.com/watch?v=XgpdInYDs-U", "Video")</f>
        <v/>
      </c>
      <c r="B9314" t="inlineStr">
        <is>
          <t>8:46</t>
        </is>
      </c>
      <c r="C9314" t="inlineStr">
        <is>
          <t>apart from the bit
the audience actually wants the most.</t>
        </is>
      </c>
      <c r="D9314">
        <f>HYPERLINK("https://www.youtube.com/watch?v=XgpdInYDs-U&amp;t=526s", "Go to time")</f>
        <v/>
      </c>
    </row>
    <row r="9315">
      <c r="A9315">
        <f>HYPERLINK("https://www.youtube.com/watch?v=pVeq-0dIqpk", "Video")</f>
        <v/>
      </c>
      <c r="B9315" t="inlineStr">
        <is>
          <t>10:19</t>
        </is>
      </c>
      <c r="C9315" t="inlineStr">
        <is>
          <t>and together, we have such crazy ambition.</t>
        </is>
      </c>
      <c r="D9315">
        <f>HYPERLINK("https://www.youtube.com/watch?v=pVeq-0dIqpk&amp;t=619s", "Go to time")</f>
        <v/>
      </c>
    </row>
    <row r="9316">
      <c r="A9316">
        <f>HYPERLINK("https://www.youtube.com/watch?v=IIT29JDuMXs", "Video")</f>
        <v/>
      </c>
      <c r="B9316" t="inlineStr">
        <is>
          <t>2:45</t>
        </is>
      </c>
      <c r="C9316" t="inlineStr">
        <is>
          <t>Let me stop and give a little bit
of background about nanoscience.</t>
        </is>
      </c>
      <c r="D9316">
        <f>HYPERLINK("https://www.youtube.com/watch?v=IIT29JDuMXs&amp;t=165s", "Go to time")</f>
        <v/>
      </c>
    </row>
    <row r="9317">
      <c r="A9317">
        <f>HYPERLINK("https://www.youtube.com/watch?v=ZlSzEw0vmQ0", "Video")</f>
        <v/>
      </c>
      <c r="B9317" t="inlineStr">
        <is>
          <t>6:04</t>
        </is>
      </c>
      <c r="C9317" t="inlineStr">
        <is>
          <t>and the body of bad bitch.</t>
        </is>
      </c>
      <c r="D9317">
        <f>HYPERLINK("https://www.youtube.com/watch?v=ZlSzEw0vmQ0&amp;t=364s", "Go to time")</f>
        <v/>
      </c>
    </row>
    <row r="9318">
      <c r="A9318">
        <f>HYPERLINK("https://www.youtube.com/watch?v=ZlSzEw0vmQ0", "Video")</f>
        <v/>
      </c>
      <c r="B9318" t="inlineStr">
        <is>
          <t>7:45</t>
        </is>
      </c>
      <c r="C9318" t="inlineStr">
        <is>
          <t>It was bittersweet.</t>
        </is>
      </c>
      <c r="D9318">
        <f>HYPERLINK("https://www.youtube.com/watch?v=ZlSzEw0vmQ0&amp;t=465s", "Go to time")</f>
        <v/>
      </c>
    </row>
    <row r="9319">
      <c r="A9319">
        <f>HYPERLINK("https://www.youtube.com/watch?v=ZlSzEw0vmQ0", "Video")</f>
        <v/>
      </c>
      <c r="B9319" t="inlineStr">
        <is>
          <t>11:30</t>
        </is>
      </c>
      <c r="C9319" t="inlineStr">
        <is>
          <t>for my bitches --</t>
        </is>
      </c>
      <c r="D9319">
        <f>HYPERLINK("https://www.youtube.com/watch?v=ZlSzEw0vmQ0&amp;t=690s", "Go to time")</f>
        <v/>
      </c>
    </row>
    <row r="9320">
      <c r="A9320">
        <f>HYPERLINK("https://www.youtube.com/watch?v=t-K6bn9sc50", "Video")</f>
        <v/>
      </c>
      <c r="B9320" t="inlineStr">
        <is>
          <t>0:58</t>
        </is>
      </c>
      <c r="C9320" t="inlineStr">
        <is>
          <t>They use sound to study their habitat,</t>
        </is>
      </c>
      <c r="D9320">
        <f>HYPERLINK("https://www.youtube.com/watch?v=t-K6bn9sc50&amp;t=58s", "Go to time")</f>
        <v/>
      </c>
    </row>
    <row r="9321">
      <c r="A9321">
        <f>HYPERLINK("https://www.youtube.com/watch?v=t-K6bn9sc50", "Video")</f>
        <v/>
      </c>
      <c r="B9321" t="inlineStr">
        <is>
          <t>5:06</t>
        </is>
      </c>
      <c r="C9321" t="inlineStr">
        <is>
          <t>that a decrease in seasonal sea ice
is causing a loss of habitat</t>
        </is>
      </c>
      <c r="D9321">
        <f>HYPERLINK("https://www.youtube.com/watch?v=t-K6bn9sc50&amp;t=306s", "Go to time")</f>
        <v/>
      </c>
    </row>
    <row r="9322">
      <c r="A9322">
        <f>HYPERLINK("https://www.youtube.com/watch?v=t-K6bn9sc50", "Video")</f>
        <v/>
      </c>
      <c r="B9322" t="inlineStr">
        <is>
          <t>7:10</t>
        </is>
      </c>
      <c r="C9322" t="inlineStr">
        <is>
          <t>and taking advantage of the new habitat
that is created by more open water.</t>
        </is>
      </c>
      <c r="D9322">
        <f>HYPERLINK("https://www.youtube.com/watch?v=t-K6bn9sc50&amp;t=430s", "Go to time")</f>
        <v/>
      </c>
    </row>
    <row r="9323">
      <c r="A9323">
        <f>HYPERLINK("https://www.youtube.com/watch?v=t-K6bn9sc50", "Video")</f>
        <v/>
      </c>
      <c r="B9323" t="inlineStr">
        <is>
          <t>9:53</t>
        </is>
      </c>
      <c r="C9323" t="inlineStr">
        <is>
          <t>And not only is the physical habitat
of the Arctic changing rapidly,</t>
        </is>
      </c>
      <c r="D9323">
        <f>HYPERLINK("https://www.youtube.com/watch?v=t-K6bn9sc50&amp;t=593s", "Go to time")</f>
        <v/>
      </c>
    </row>
    <row r="9324">
      <c r="A9324">
        <f>HYPERLINK("https://www.youtube.com/watch?v=t-K6bn9sc50", "Video")</f>
        <v/>
      </c>
      <c r="B9324" t="inlineStr">
        <is>
          <t>9:58</t>
        </is>
      </c>
      <c r="C9324" t="inlineStr">
        <is>
          <t>but the acoustic habitat is, too.</t>
        </is>
      </c>
      <c r="D9324">
        <f>HYPERLINK("https://www.youtube.com/watch?v=t-K6bn9sc50&amp;t=598s", "Go to time")</f>
        <v/>
      </c>
    </row>
    <row r="9325">
      <c r="A9325">
        <f>HYPERLINK("https://www.youtube.com/watch?v=gyPoqFcvt9w", "Video")</f>
        <v/>
      </c>
      <c r="B9325" t="inlineStr">
        <is>
          <t>0:45</t>
        </is>
      </c>
      <c r="C9325" t="inlineStr">
        <is>
          <t>I struggled a bit with the initial
period of homesickness.</t>
        </is>
      </c>
      <c r="D9325">
        <f>HYPERLINK("https://www.youtube.com/watch?v=gyPoqFcvt9w&amp;t=45s", "Go to time")</f>
        <v/>
      </c>
    </row>
    <row r="9326">
      <c r="A9326">
        <f>HYPERLINK("https://www.youtube.com/watch?v=gyPoqFcvt9w", "Video")</f>
        <v/>
      </c>
      <c r="B9326" t="inlineStr">
        <is>
          <t>1:03</t>
        </is>
      </c>
      <c r="C9326" t="inlineStr">
        <is>
          <t>just to get me a bit more socially active.</t>
        </is>
      </c>
      <c r="D9326">
        <f>HYPERLINK("https://www.youtube.com/watch?v=gyPoqFcvt9w&amp;t=63s", "Go to time")</f>
        <v/>
      </c>
    </row>
    <row r="9327">
      <c r="A9327">
        <f>HYPERLINK("https://www.youtube.com/watch?v=gyPoqFcvt9w", "Video")</f>
        <v/>
      </c>
      <c r="B9327" t="inlineStr">
        <is>
          <t>1:22</t>
        </is>
      </c>
      <c r="C9327" t="inlineStr">
        <is>
          <t>We'd been in a budding relationship
for a bit over a month</t>
        </is>
      </c>
      <c r="D9327">
        <f>HYPERLINK("https://www.youtube.com/watch?v=gyPoqFcvt9w&amp;t=82s", "Go to time")</f>
        <v/>
      </c>
    </row>
    <row r="9328">
      <c r="A9328">
        <f>HYPERLINK("https://www.youtube.com/watch?v=KQ_sO9V0tyw", "Video")</f>
        <v/>
      </c>
      <c r="B9328" t="inlineStr">
        <is>
          <t>0:22</t>
        </is>
      </c>
      <c r="C9328" t="inlineStr">
        <is>
          <t>One day, I happened to take a bite
of Dumpling Xi's dish.</t>
        </is>
      </c>
      <c r="D9328">
        <f>HYPERLINK("https://www.youtube.com/watch?v=KQ_sO9V0tyw&amp;t=22s", "Go to time")</f>
        <v/>
      </c>
    </row>
    <row r="9329">
      <c r="A9329">
        <f>HYPERLINK("https://www.youtube.com/watch?v=tT8icNhydtg", "Video")</f>
        <v/>
      </c>
      <c r="B9329" t="inlineStr">
        <is>
          <t>7:45</t>
        </is>
      </c>
      <c r="C9329" t="inlineStr">
        <is>
          <t>we could step out of our habitual,
almost machine-like behavior</t>
        </is>
      </c>
      <c r="D9329">
        <f>HYPERLINK("https://www.youtube.com/watch?v=tT8icNhydtg&amp;t=465s", "Go to time")</f>
        <v/>
      </c>
    </row>
    <row r="9330">
      <c r="A9330">
        <f>HYPERLINK("https://www.youtube.com/watch?v=klXVQsbhFsE", "Video")</f>
        <v/>
      </c>
      <c r="B9330" t="inlineStr">
        <is>
          <t>5:51</t>
        </is>
      </c>
      <c r="C9330" t="inlineStr">
        <is>
          <t>And so I'm curious also to hear
a little bit about,</t>
        </is>
      </c>
      <c r="D9330">
        <f>HYPERLINK("https://www.youtube.com/watch?v=klXVQsbhFsE&amp;t=351s", "Go to time")</f>
        <v/>
      </c>
    </row>
    <row r="9331">
      <c r="A9331">
        <f>HYPERLINK("https://www.youtube.com/watch?v=klXVQsbhFsE", "Video")</f>
        <v/>
      </c>
      <c r="B9331" t="inlineStr">
        <is>
          <t>14:26</t>
        </is>
      </c>
      <c r="C9331" t="inlineStr">
        <is>
          <t>when they hear something that's
a little bit different than their culture.</t>
        </is>
      </c>
      <c r="D9331">
        <f>HYPERLINK("https://www.youtube.com/watch?v=klXVQsbhFsE&amp;t=866s", "Go to time")</f>
        <v/>
      </c>
    </row>
    <row r="9332">
      <c r="A9332">
        <f>HYPERLINK("https://www.youtube.com/watch?v=nQo1NgQ-Yf0", "Video")</f>
        <v/>
      </c>
      <c r="B9332" t="inlineStr">
        <is>
          <t>10:04</t>
        </is>
      </c>
      <c r="C9332" t="inlineStr">
        <is>
          <t>Today, we are implementing
an ambitious plan</t>
        </is>
      </c>
      <c r="D9332">
        <f>HYPERLINK("https://www.youtube.com/watch?v=nQo1NgQ-Yf0&amp;t=604s", "Go to time")</f>
        <v/>
      </c>
    </row>
    <row r="9333">
      <c r="A9333">
        <f>HYPERLINK("https://www.youtube.com/watch?v=NA_u3MVvvWM", "Video")</f>
        <v/>
      </c>
      <c r="B9333" t="inlineStr">
        <is>
          <t>4:35</t>
        </is>
      </c>
      <c r="C9333" t="inlineStr">
        <is>
          <t>All of this is a little bit
like dating to me.</t>
        </is>
      </c>
      <c r="D9333">
        <f>HYPERLINK("https://www.youtube.com/watch?v=NA_u3MVvvWM&amp;t=275s", "Go to time")</f>
        <v/>
      </c>
    </row>
    <row r="9334">
      <c r="A9334">
        <f>HYPERLINK("https://www.youtube.com/watch?v=VuJbzKpbIVk", "Video")</f>
        <v/>
      </c>
      <c r="B9334" t="inlineStr">
        <is>
          <t>8:49</t>
        </is>
      </c>
      <c r="C9334" t="inlineStr">
        <is>
          <t>even though Fox is every bit as much
mainstream media as the other two</t>
        </is>
      </c>
      <c r="D9334">
        <f>HYPERLINK("https://www.youtube.com/watch?v=VuJbzKpbIVk&amp;t=529s", "Go to time")</f>
        <v/>
      </c>
    </row>
    <row r="9335">
      <c r="A9335">
        <f>HYPERLINK("https://www.youtube.com/watch?v=VuJbzKpbIVk", "Video")</f>
        <v/>
      </c>
      <c r="B9335" t="inlineStr">
        <is>
          <t>24:48</t>
        </is>
      </c>
      <c r="C9335" t="inlineStr">
        <is>
          <t>That is the opening gambit
that Trump intends,</t>
        </is>
      </c>
      <c r="D9335">
        <f>HYPERLINK("https://www.youtube.com/watch?v=VuJbzKpbIVk&amp;t=1488s", "Go to time")</f>
        <v/>
      </c>
    </row>
    <row r="9336">
      <c r="A9336">
        <f>HYPERLINK("https://www.youtube.com/watch?v=HLwvyD1MbSM", "Video")</f>
        <v/>
      </c>
      <c r="B9336" t="inlineStr">
        <is>
          <t>1:09</t>
        </is>
      </c>
      <c r="C9336" t="inlineStr">
        <is>
          <t>I'm like, "Let's warm it up
a little bit, what about five?"</t>
        </is>
      </c>
      <c r="D9336">
        <f>HYPERLINK("https://www.youtube.com/watch?v=HLwvyD1MbSM&amp;t=69s", "Go to time")</f>
        <v/>
      </c>
    </row>
    <row r="9337">
      <c r="A9337">
        <f>HYPERLINK("https://www.youtube.com/watch?v=HLwvyD1MbSM", "Video")</f>
        <v/>
      </c>
      <c r="B9337" t="inlineStr">
        <is>
          <t>4:32</t>
        </is>
      </c>
      <c r="C9337" t="inlineStr">
        <is>
          <t>You've probably never had
a bite of chocolate</t>
        </is>
      </c>
      <c r="D9337">
        <f>HYPERLINK("https://www.youtube.com/watch?v=HLwvyD1MbSM&amp;t=272s", "Go to time")</f>
        <v/>
      </c>
    </row>
    <row r="9338">
      <c r="A9338">
        <f>HYPERLINK("https://www.youtube.com/watch?v=Mm-_QZ_tf0s", "Video")</f>
        <v/>
      </c>
      <c r="B9338" t="inlineStr">
        <is>
          <t>2:21</t>
        </is>
      </c>
      <c r="C9338" t="inlineStr">
        <is>
          <t>that came up with wily, ambitious,
incredible technological solutions</t>
        </is>
      </c>
      <c r="D9338">
        <f>HYPERLINK("https://www.youtube.com/watch?v=Mm-_QZ_tf0s&amp;t=141s", "Go to time")</f>
        <v/>
      </c>
    </row>
    <row r="9339">
      <c r="A9339">
        <f>HYPERLINK("https://www.youtube.com/watch?v=0Pl44w0iYc4", "Video")</f>
        <v/>
      </c>
      <c r="B9339" t="inlineStr">
        <is>
          <t>3:40</t>
        </is>
      </c>
      <c r="C9339" t="inlineStr">
        <is>
          <t>This has a devastating impact
on the nearly 500,000 bird inhabitants --</t>
        </is>
      </c>
      <c r="D9339">
        <f>HYPERLINK("https://www.youtube.com/watch?v=0Pl44w0iYc4&amp;t=220s", "Go to time")</f>
        <v/>
      </c>
    </row>
    <row r="9340">
      <c r="A9340">
        <f>HYPERLINK("https://www.youtube.com/watch?v=0Pl44w0iYc4", "Video")</f>
        <v/>
      </c>
      <c r="B9340" t="inlineStr">
        <is>
          <t>5:32</t>
        </is>
      </c>
      <c r="C9340" t="inlineStr">
        <is>
          <t>and sometimes a bit complicated.</t>
        </is>
      </c>
      <c r="D9340">
        <f>HYPERLINK("https://www.youtube.com/watch?v=0Pl44w0iYc4&amp;t=332s", "Go to time")</f>
        <v/>
      </c>
    </row>
    <row r="9341">
      <c r="A9341">
        <f>HYPERLINK("https://www.youtube.com/watch?v=0Pl44w0iYc4", "Video")</f>
        <v/>
      </c>
      <c r="B9341" t="inlineStr">
        <is>
          <t>5:59</t>
        </is>
      </c>
      <c r="C9341" t="inlineStr">
        <is>
          <t>the forest and all its inhabitants --</t>
        </is>
      </c>
      <c r="D9341">
        <f>HYPERLINK("https://www.youtube.com/watch?v=0Pl44w0iYc4&amp;t=359s", "Go to time")</f>
        <v/>
      </c>
    </row>
    <row r="9342">
      <c r="A9342">
        <f>HYPERLINK("https://www.youtube.com/watch?v=9OLxBvLvCoM", "Video")</f>
        <v/>
      </c>
      <c r="B9342" t="inlineStr">
        <is>
          <t>5:56</t>
        </is>
      </c>
      <c r="C9342" t="inlineStr">
        <is>
          <t>that is a bit different from how others
in the industry proceed.</t>
        </is>
      </c>
      <c r="D9342">
        <f>HYPERLINK("https://www.youtube.com/watch?v=9OLxBvLvCoM&amp;t=356s", "Go to time")</f>
        <v/>
      </c>
    </row>
    <row r="9343">
      <c r="A9343">
        <f>HYPERLINK("https://www.youtube.com/watch?v=iclWth_VvBs", "Video")</f>
        <v/>
      </c>
      <c r="B9343" t="inlineStr">
        <is>
          <t>0:25</t>
        </is>
      </c>
      <c r="C9343" t="inlineStr">
        <is>
          <t>But I'm going to talk
a little bit today about Minecraft.</t>
        </is>
      </c>
      <c r="D9343">
        <f>HYPERLINK("https://www.youtube.com/watch?v=iclWth_VvBs&amp;t=25s", "Go to time")</f>
        <v/>
      </c>
    </row>
    <row r="9344">
      <c r="A9344">
        <f>HYPERLINK("https://www.youtube.com/watch?v=iclWth_VvBs", "Video")</f>
        <v/>
      </c>
      <c r="B9344" t="inlineStr">
        <is>
          <t>1:04</t>
        </is>
      </c>
      <c r="C9344" t="inlineStr">
        <is>
          <t>It's a bit of a mouthful.</t>
        </is>
      </c>
      <c r="D9344">
        <f>HYPERLINK("https://www.youtube.com/watch?v=iclWth_VvBs&amp;t=64s", "Go to time")</f>
        <v/>
      </c>
    </row>
    <row r="9345">
      <c r="A9345">
        <f>HYPERLINK("https://www.youtube.com/watch?v=iclWth_VvBs", "Video")</f>
        <v/>
      </c>
      <c r="B9345" t="inlineStr">
        <is>
          <t>1:08</t>
        </is>
      </c>
      <c r="C9345" t="inlineStr">
        <is>
          <t>So I want to talk a little bit
about that research paper</t>
        </is>
      </c>
      <c r="D9345">
        <f>HYPERLINK("https://www.youtube.com/watch?v=iclWth_VvBs&amp;t=68s", "Go to time")</f>
        <v/>
      </c>
    </row>
    <row r="9346">
      <c r="A9346">
        <f>HYPERLINK("https://www.youtube.com/watch?v=iclWth_VvBs", "Video")</f>
        <v/>
      </c>
      <c r="B9346" t="inlineStr">
        <is>
          <t>1:12</t>
        </is>
      </c>
      <c r="C9346" t="inlineStr">
        <is>
          <t>but first I have to give you
a little bit of history</t>
        </is>
      </c>
      <c r="D9346">
        <f>HYPERLINK("https://www.youtube.com/watch?v=iclWth_VvBs&amp;t=72s", "Go to time")</f>
        <v/>
      </c>
    </row>
    <row r="9347">
      <c r="A9347">
        <f>HYPERLINK("https://www.youtube.com/watch?v=iclWth_VvBs", "Video")</f>
        <v/>
      </c>
      <c r="B9347" t="inlineStr">
        <is>
          <t>1:42</t>
        </is>
      </c>
      <c r="C9347" t="inlineStr">
        <is>
          <t>And we all know a little bit of difference
is all you really need</t>
        </is>
      </c>
      <c r="D9347">
        <f>HYPERLINK("https://www.youtube.com/watch?v=iclWth_VvBs&amp;t=102s", "Go to time")</f>
        <v/>
      </c>
    </row>
    <row r="9348">
      <c r="A9348">
        <f>HYPERLINK("https://www.youtube.com/watch?v=iclWth_VvBs", "Video")</f>
        <v/>
      </c>
      <c r="B9348" t="inlineStr">
        <is>
          <t>5:44</t>
        </is>
      </c>
      <c r="C9348" t="inlineStr">
        <is>
          <t>We award players ranks on the servers
based on the attributes they exhibit,</t>
        </is>
      </c>
      <c r="D9348">
        <f>HYPERLINK("https://www.youtube.com/watch?v=iclWth_VvBs&amp;t=344s", "Go to time")</f>
        <v/>
      </c>
    </row>
    <row r="9349">
      <c r="A9349">
        <f>HYPERLINK("https://www.youtube.com/watch?v=iclWth_VvBs", "Video")</f>
        <v/>
      </c>
      <c r="B9349" t="inlineStr">
        <is>
          <t>8:15</t>
        </is>
      </c>
      <c r="C9349" t="inlineStr">
        <is>
          <t>We even went a little bit extra
and made it so it highlights your name,</t>
        </is>
      </c>
      <c r="D9349">
        <f>HYPERLINK("https://www.youtube.com/watch?v=iclWth_VvBs&amp;t=495s", "Go to time")</f>
        <v/>
      </c>
    </row>
    <row r="9350">
      <c r="A9350">
        <f>HYPERLINK("https://www.youtube.com/watch?v=iclWth_VvBs", "Video")</f>
        <v/>
      </c>
      <c r="B9350" t="inlineStr">
        <is>
          <t>8:21</t>
        </is>
      </c>
      <c r="C9350" t="inlineStr">
        <is>
          <t>It's just one example of how
doing a little bit extra,</t>
        </is>
      </c>
      <c r="D9350">
        <f>HYPERLINK("https://www.youtube.com/watch?v=iclWth_VvBs&amp;t=501s", "Go to time")</f>
        <v/>
      </c>
    </row>
    <row r="9351">
      <c r="A9351">
        <f>HYPERLINK("https://www.youtube.com/watch?v=-moW9jvvMr4", "Video")</f>
        <v/>
      </c>
      <c r="B9351" t="inlineStr">
        <is>
          <t>2:43</t>
        </is>
      </c>
      <c r="C9351" t="inlineStr">
        <is>
          <t>and it becomes a habit.</t>
        </is>
      </c>
      <c r="D9351">
        <f>HYPERLINK("https://www.youtube.com/watch?v=-moW9jvvMr4&amp;t=163s", "Go to time")</f>
        <v/>
      </c>
    </row>
    <row r="9352">
      <c r="A9352">
        <f>HYPERLINK("https://www.youtube.com/watch?v=-moW9jvvMr4", "Video")</f>
        <v/>
      </c>
      <c r="B9352" t="inlineStr">
        <is>
          <t>2:58</t>
        </is>
      </c>
      <c r="C9352" t="inlineStr">
        <is>
          <t>to literally killing ourselves
with these habits.</t>
        </is>
      </c>
      <c r="D9352">
        <f>HYPERLINK("https://www.youtube.com/watch?v=-moW9jvvMr4&amp;t=178s", "Go to time")</f>
        <v/>
      </c>
    </row>
    <row r="9353">
      <c r="A9353">
        <f>HYPERLINK("https://www.youtube.com/watch?v=-moW9jvvMr4", "Video")</f>
        <v/>
      </c>
      <c r="B9353" t="inlineStr">
        <is>
          <t>3:45</t>
        </is>
      </c>
      <c r="C9353" t="inlineStr">
        <is>
          <t>we dropped the bit about forcing
and instead focused on being curious.</t>
        </is>
      </c>
      <c r="D9353">
        <f>HYPERLINK("https://www.youtube.com/watch?v=-moW9jvvMr4&amp;t=225s", "Go to time")</f>
        <v/>
      </c>
    </row>
    <row r="9354">
      <c r="A9354">
        <f>HYPERLINK("https://www.youtube.com/watch?v=-moW9jvvMr4", "Video")</f>
        <v/>
      </c>
      <c r="B9354" t="inlineStr">
        <is>
          <t>5:29</t>
        </is>
      </c>
      <c r="C9354" t="inlineStr">
        <is>
          <t>we fall back into our old habits,</t>
        </is>
      </c>
      <c r="D9354">
        <f>HYPERLINK("https://www.youtube.com/watch?v=-moW9jvvMr4&amp;t=329s", "Go to time")</f>
        <v/>
      </c>
    </row>
    <row r="9355">
      <c r="A9355">
        <f>HYPERLINK("https://www.youtube.com/watch?v=-moW9jvvMr4", "Video")</f>
        <v/>
      </c>
      <c r="B9355" t="inlineStr">
        <is>
          <t>5:34</t>
        </is>
      </c>
      <c r="C9355" t="inlineStr">
        <is>
          <t>Seeing what we get from our habits</t>
        </is>
      </c>
      <c r="D9355">
        <f>HYPERLINK("https://www.youtube.com/watch?v=-moW9jvvMr4&amp;t=334s", "Go to time")</f>
        <v/>
      </c>
    </row>
    <row r="9356">
      <c r="A9356">
        <f>HYPERLINK("https://www.youtube.com/watch?v=-moW9jvvMr4", "Video")</f>
        <v/>
      </c>
      <c r="B9356" t="inlineStr">
        <is>
          <t>6:08</t>
        </is>
      </c>
      <c r="C9356" t="inlineStr">
        <is>
          <t>we let go of old habits and form new ones.</t>
        </is>
      </c>
      <c r="D9356">
        <f>HYPERLINK("https://www.youtube.com/watch?v=-moW9jvvMr4&amp;t=368s", "Go to time")</f>
        <v/>
      </c>
    </row>
    <row r="9357">
      <c r="A9357">
        <f>HYPERLINK("https://www.youtube.com/watch?v=-moW9jvvMr4", "Video")</f>
        <v/>
      </c>
      <c r="B9357" t="inlineStr">
        <is>
          <t>6:51</t>
        </is>
      </c>
      <c r="C9357" t="inlineStr">
        <is>
          <t>These are bite-size pieces of experiences</t>
        </is>
      </c>
      <c r="D9357">
        <f>HYPERLINK("https://www.youtube.com/watch?v=-moW9jvvMr4&amp;t=411s", "Go to time")</f>
        <v/>
      </c>
    </row>
    <row r="9358">
      <c r="A9358">
        <f>HYPERLINK("https://www.youtube.com/watch?v=-moW9jvvMr4", "Video")</f>
        <v/>
      </c>
      <c r="B9358" t="inlineStr">
        <is>
          <t>7:05</t>
        </is>
      </c>
      <c r="C9358" t="inlineStr">
        <is>
          <t>we step out of our old,
fear-based, reactive habit patterns,</t>
        </is>
      </c>
      <c r="D9358">
        <f>HYPERLINK("https://www.youtube.com/watch?v=-moW9jvvMr4&amp;t=425s", "Go to time")</f>
        <v/>
      </c>
    </row>
    <row r="9359">
      <c r="A9359">
        <f>HYPERLINK("https://www.youtube.com/watch?v=-moW9jvvMr4", "Video")</f>
        <v/>
      </c>
      <c r="B9359" t="inlineStr">
        <is>
          <t>8:15</t>
        </is>
      </c>
      <c r="C9359" t="inlineStr">
        <is>
          <t>to help us step out
of our unhealthy habit patterns</t>
        </is>
      </c>
      <c r="D9359">
        <f>HYPERLINK("https://www.youtube.com/watch?v=-moW9jvvMr4&amp;t=495s", "Go to time")</f>
        <v/>
      </c>
    </row>
    <row r="9360">
      <c r="A9360">
        <f>HYPERLINK("https://www.youtube.com/watch?v=-moW9jvvMr4", "Video")</f>
        <v/>
      </c>
      <c r="B9360" t="inlineStr">
        <is>
          <t>8:21</t>
        </is>
      </c>
      <c r="C9360" t="inlineStr">
        <is>
          <t>Now, remember that bit
about context-dependent memory?</t>
        </is>
      </c>
      <c r="D9360">
        <f>HYPERLINK("https://www.youtube.com/watch?v=-moW9jvvMr4&amp;t=501s", "Go to time")</f>
        <v/>
      </c>
    </row>
    <row r="9361">
      <c r="A9361">
        <f>HYPERLINK("https://www.youtube.com/watch?v=-moW9jvvMr4", "Video")</f>
        <v/>
      </c>
      <c r="B9361" t="inlineStr">
        <is>
          <t>9:00</t>
        </is>
      </c>
      <c r="C9361" t="inlineStr">
        <is>
          <t>to perpetuate one of our endless
and exhaustive habit loops ...</t>
        </is>
      </c>
      <c r="D9361">
        <f>HYPERLINK("https://www.youtube.com/watch?v=-moW9jvvMr4&amp;t=540s", "Go to time")</f>
        <v/>
      </c>
    </row>
    <row r="9362">
      <c r="A9362">
        <f>HYPERLINK("https://www.youtube.com/watch?v=-moW9jvvMr4", "Video")</f>
        <v/>
      </c>
      <c r="B9362" t="inlineStr">
        <is>
          <t>9:09</t>
        </is>
      </c>
      <c r="C9362" t="inlineStr">
        <is>
          <t>feel a little bit better --</t>
        </is>
      </c>
      <c r="D9362">
        <f>HYPERLINK("https://www.youtube.com/watch?v=-moW9jvvMr4&amp;t=549s", "Go to time")</f>
        <v/>
      </c>
    </row>
    <row r="9363">
      <c r="A9363">
        <f>HYPERLINK("https://www.youtube.com/watch?v=oCgewIIKbSA", "Video")</f>
        <v/>
      </c>
      <c r="B9363" t="inlineStr">
        <is>
          <t>1:37</t>
        </is>
      </c>
      <c r="C9363" t="inlineStr">
        <is>
          <t>the news quite a bit lately but many</t>
        </is>
      </c>
      <c r="D9363">
        <f>HYPERLINK("https://www.youtube.com/watch?v=oCgewIIKbSA&amp;t=97s", "Go to time")</f>
        <v/>
      </c>
    </row>
    <row r="9364">
      <c r="A9364">
        <f>HYPERLINK("https://www.youtube.com/watch?v=oCgewIIKbSA", "Video")</f>
        <v/>
      </c>
      <c r="B9364" t="inlineStr">
        <is>
          <t>19:32</t>
        </is>
      </c>
      <c r="C9364" t="inlineStr">
        <is>
          <t>are a bit in but not as much as then</t>
        </is>
      </c>
      <c r="D9364">
        <f>HYPERLINK("https://www.youtube.com/watch?v=oCgewIIKbSA&amp;t=1172s", "Go to time")</f>
        <v/>
      </c>
    </row>
    <row r="9365">
      <c r="A9365">
        <f>HYPERLINK("https://www.youtube.com/watch?v=oCgewIIKbSA", "Video")</f>
        <v/>
      </c>
      <c r="B9365" t="inlineStr">
        <is>
          <t>22:43</t>
        </is>
      </c>
      <c r="C9365" t="inlineStr">
        <is>
          <t>little bit about how you can</t>
        </is>
      </c>
      <c r="D9365">
        <f>HYPERLINK("https://www.youtube.com/watch?v=oCgewIIKbSA&amp;t=1363s", "Go to time")</f>
        <v/>
      </c>
    </row>
    <row r="9366">
      <c r="A9366">
        <f>HYPERLINK("https://www.youtube.com/watch?v=O0CsyfiQr34", "Video")</f>
        <v/>
      </c>
      <c r="B9366" t="inlineStr">
        <is>
          <t>1:36</t>
        </is>
      </c>
      <c r="C9366" t="inlineStr">
        <is>
          <t>"Could this be a bit of old pipe, maybe?</t>
        </is>
      </c>
      <c r="D9366">
        <f>HYPERLINK("https://www.youtube.com/watch?v=O0CsyfiQr34&amp;t=96s", "Go to time")</f>
        <v/>
      </c>
    </row>
    <row r="9367">
      <c r="A9367">
        <f>HYPERLINK("https://www.youtube.com/watch?v=O0CsyfiQr34", "Video")</f>
        <v/>
      </c>
      <c r="B9367" t="inlineStr">
        <is>
          <t>2:14</t>
        </is>
      </c>
      <c r="C9367" t="inlineStr">
        <is>
          <t>Now, I do need to clear
that name up just a little bit,</t>
        </is>
      </c>
      <c r="D9367">
        <f>HYPERLINK("https://www.youtube.com/watch?v=O0CsyfiQr34&amp;t=134s", "Go to time")</f>
        <v/>
      </c>
    </row>
    <row r="9368">
      <c r="A9368">
        <f>HYPERLINK("https://www.youtube.com/watch?v=O0CsyfiQr34", "Video")</f>
        <v/>
      </c>
      <c r="B9368" t="inlineStr">
        <is>
          <t>4:00</t>
        </is>
      </c>
      <c r="C9368" t="inlineStr">
        <is>
          <t>a bit of an exploratory dig
to see what we could uncover.</t>
        </is>
      </c>
      <c r="D9368">
        <f>HYPERLINK("https://www.youtube.com/watch?v=O0CsyfiQr34&amp;t=240s", "Go to time")</f>
        <v/>
      </c>
    </row>
    <row r="9369">
      <c r="A9369">
        <f>HYPERLINK("https://www.youtube.com/watch?v=O0CsyfiQr34", "Video")</f>
        <v/>
      </c>
      <c r="B9369" t="inlineStr">
        <is>
          <t>4:47</t>
        </is>
      </c>
      <c r="C9369" t="inlineStr">
        <is>
          <t>So unfortunately, might seem
a little bit counterintuitive,</t>
        </is>
      </c>
      <c r="D9369">
        <f>HYPERLINK("https://www.youtube.com/watch?v=O0CsyfiQr34&amp;t=287s", "Go to time")</f>
        <v/>
      </c>
    </row>
    <row r="9370">
      <c r="A9370">
        <f>HYPERLINK("https://www.youtube.com/watch?v=O0CsyfiQr34", "Video")</f>
        <v/>
      </c>
      <c r="B9370" t="inlineStr">
        <is>
          <t>5:38</t>
        </is>
      </c>
      <c r="C9370" t="inlineStr">
        <is>
          <t>We were overly ambitious in February.</t>
        </is>
      </c>
      <c r="D9370">
        <f>HYPERLINK("https://www.youtube.com/watch?v=O0CsyfiQr34&amp;t=338s", "Go to time")</f>
        <v/>
      </c>
    </row>
    <row r="9371">
      <c r="A9371">
        <f>HYPERLINK("https://www.youtube.com/watch?v=O0CsyfiQr34", "Video")</f>
        <v/>
      </c>
      <c r="B9371" t="inlineStr">
        <is>
          <t>9:33</t>
        </is>
      </c>
      <c r="C9371" t="inlineStr">
        <is>
          <t>So those white bits you can see
in the image, that's not snow,</t>
        </is>
      </c>
      <c r="D9371">
        <f>HYPERLINK("https://www.youtube.com/watch?v=O0CsyfiQr34&amp;t=573s", "Go to time")</f>
        <v/>
      </c>
    </row>
    <row r="9372">
      <c r="A9372">
        <f>HYPERLINK("https://www.youtube.com/watch?v=O0CsyfiQr34", "Video")</f>
        <v/>
      </c>
      <c r="B9372" t="inlineStr">
        <is>
          <t>11:24</t>
        </is>
      </c>
      <c r="C9372" t="inlineStr">
        <is>
          <t>We were thrilled to bits
with this, it was amazing,</t>
        </is>
      </c>
      <c r="D9372">
        <f>HYPERLINK("https://www.youtube.com/watch?v=O0CsyfiQr34&amp;t=684s", "Go to time")</f>
        <v/>
      </c>
    </row>
    <row r="9373">
      <c r="A9373">
        <f>HYPERLINK("https://www.youtube.com/watch?v=5LRhKegPCRY", "Video")</f>
        <v/>
      </c>
      <c r="B9373" t="inlineStr">
        <is>
          <t>1:15</t>
        </is>
      </c>
      <c r="C9373" t="inlineStr">
        <is>
          <t>these snails are practicing
good needle habits,</t>
        </is>
      </c>
      <c r="D9373">
        <f>HYPERLINK("https://www.youtube.com/watch?v=5LRhKegPCRY&amp;t=75s", "Go to time")</f>
        <v/>
      </c>
    </row>
    <row r="9374">
      <c r="A9374">
        <f>HYPERLINK("https://www.youtube.com/watch?v=5LRhKegPCRY", "Video")</f>
        <v/>
      </c>
      <c r="B9374" t="inlineStr">
        <is>
          <t>5:22</t>
        </is>
      </c>
      <c r="C9374" t="inlineStr">
        <is>
          <t>it significantly inhibited
the growth of the tumors.</t>
        </is>
      </c>
      <c r="D9374">
        <f>HYPERLINK("https://www.youtube.com/watch?v=5LRhKegPCRY&amp;t=322s", "Go to time")</f>
        <v/>
      </c>
    </row>
    <row r="9375">
      <c r="A9375">
        <f>HYPERLINK("https://www.youtube.com/watch?v=5LRhKegPCRY", "Video")</f>
        <v/>
      </c>
      <c r="B9375" t="inlineStr">
        <is>
          <t>5:45</t>
        </is>
      </c>
      <c r="C9375" t="inlineStr">
        <is>
          <t>prohibiting the transmission
of a specific chemical</t>
        </is>
      </c>
      <c r="D9375">
        <f>HYPERLINK("https://www.youtube.com/watch?v=5LRhKegPCRY&amp;t=345s", "Go to time")</f>
        <v/>
      </c>
    </row>
    <row r="9376">
      <c r="A9376">
        <f>HYPERLINK("https://www.youtube.com/watch?v=5LRhKegPCRY", "Video")</f>
        <v/>
      </c>
      <c r="B9376" t="inlineStr">
        <is>
          <t>7:12</t>
        </is>
      </c>
      <c r="C9376" t="inlineStr">
        <is>
          <t>what we know as ACE inhibitors,</t>
        </is>
      </c>
      <c r="D9376">
        <f>HYPERLINK("https://www.youtube.com/watch?v=5LRhKegPCRY&amp;t=432s", "Go to time")</f>
        <v/>
      </c>
    </row>
    <row r="9377">
      <c r="A9377">
        <f>HYPERLINK("https://www.youtube.com/watch?v=5LRhKegPCRY", "Video")</f>
        <v/>
      </c>
      <c r="B9377" t="inlineStr">
        <is>
          <t>7:33</t>
        </is>
      </c>
      <c r="C9377" t="inlineStr">
        <is>
          <t>So when they bite into a large meal,</t>
        </is>
      </c>
      <c r="D9377">
        <f>HYPERLINK("https://www.youtube.com/watch?v=5LRhKegPCRY&amp;t=453s", "Go to time")</f>
        <v/>
      </c>
    </row>
    <row r="9378">
      <c r="A9378">
        <f>HYPERLINK("https://www.youtube.com/watch?v=_qgSz1UmcBM", "Video")</f>
        <v/>
      </c>
      <c r="B9378" t="inlineStr">
        <is>
          <t>11:06</t>
        </is>
      </c>
      <c r="C9378" t="inlineStr">
        <is>
          <t>Zoom in a bit more.</t>
        </is>
      </c>
      <c r="D9378">
        <f>HYPERLINK("https://www.youtube.com/watch?v=_qgSz1UmcBM&amp;t=666s", "Go to time")</f>
        <v/>
      </c>
    </row>
    <row r="9379">
      <c r="A9379">
        <f>HYPERLINK("https://www.youtube.com/watch?v=Y1kO-0Yo1R0", "Video")</f>
        <v/>
      </c>
      <c r="B9379" t="inlineStr">
        <is>
          <t>5:11</t>
        </is>
      </c>
      <c r="C9379" t="inlineStr">
        <is>
          <t>so they feel a little bit more confident.</t>
        </is>
      </c>
      <c r="D9379">
        <f>HYPERLINK("https://www.youtube.com/watch?v=Y1kO-0Yo1R0&amp;t=311s", "Go to time")</f>
        <v/>
      </c>
    </row>
    <row r="9380">
      <c r="A9380">
        <f>HYPERLINK("https://www.youtube.com/watch?v=hqpKUkYqreM", "Video")</f>
        <v/>
      </c>
      <c r="B9380" t="inlineStr">
        <is>
          <t>14:57</t>
        </is>
      </c>
      <c r="C9380" t="inlineStr">
        <is>
          <t>"You've got to cut it down a bit."</t>
        </is>
      </c>
      <c r="D9380">
        <f>HYPERLINK("https://www.youtube.com/watch?v=hqpKUkYqreM&amp;t=897s", "Go to time")</f>
        <v/>
      </c>
    </row>
    <row r="9381">
      <c r="A9381">
        <f>HYPERLINK("https://www.youtube.com/watch?v=hqpKUkYqreM", "Video")</f>
        <v/>
      </c>
      <c r="B9381" t="inlineStr">
        <is>
          <t>28:40</t>
        </is>
      </c>
      <c r="C9381" t="inlineStr">
        <is>
          <t>is in a bit of a state
of shell shock right now.</t>
        </is>
      </c>
      <c r="D9381">
        <f>HYPERLINK("https://www.youtube.com/watch?v=hqpKUkYqreM&amp;t=1720s", "Go to time")</f>
        <v/>
      </c>
    </row>
    <row r="9382">
      <c r="A9382">
        <f>HYPERLINK("https://www.youtube.com/watch?v=hqpKUkYqreM", "Video")</f>
        <v/>
      </c>
      <c r="B9382" t="inlineStr">
        <is>
          <t>29:30</t>
        </is>
      </c>
      <c r="C9382" t="inlineStr">
        <is>
          <t>to just explain a bit more
your own story here.</t>
        </is>
      </c>
      <c r="D9382">
        <f>HYPERLINK("https://www.youtube.com/watch?v=hqpKUkYqreM&amp;t=1770s", "Go to time")</f>
        <v/>
      </c>
    </row>
    <row r="9383">
      <c r="A9383">
        <f>HYPERLINK("https://www.youtube.com/watch?v=hz2ONnzRANs", "Video")</f>
        <v/>
      </c>
      <c r="B9383" t="inlineStr">
        <is>
          <t>5:42</t>
        </is>
      </c>
      <c r="C9383" t="inlineStr">
        <is>
          <t>was a little bit like the setting
for an Asian soap opera.</t>
        </is>
      </c>
      <c r="D9383">
        <f>HYPERLINK("https://www.youtube.com/watch?v=hz2ONnzRANs&amp;t=342s", "Go to time")</f>
        <v/>
      </c>
    </row>
    <row r="9384">
      <c r="A9384">
        <f>HYPERLINK("https://www.youtube.com/watch?v=hz2ONnzRANs", "Video")</f>
        <v/>
      </c>
      <c r="B9384" t="inlineStr">
        <is>
          <t>13:29</t>
        </is>
      </c>
      <c r="C9384" t="inlineStr">
        <is>
          <t>And I'm going to caricature a bit here,
but only a little bit.</t>
        </is>
      </c>
      <c r="D9384">
        <f>HYPERLINK("https://www.youtube.com/watch?v=hz2ONnzRANs&amp;t=809s", "Go to time")</f>
        <v/>
      </c>
    </row>
    <row r="9385">
      <c r="A9385">
        <f>HYPERLINK("https://www.youtube.com/watch?v=ozMCb0wOnMU", "Video")</f>
        <v/>
      </c>
      <c r="B9385" t="inlineStr">
        <is>
          <t>5:57</t>
        </is>
      </c>
      <c r="C9385" t="inlineStr">
        <is>
          <t>Look, I know this may all sound
a bit intimidating,</t>
        </is>
      </c>
      <c r="D9385">
        <f>HYPERLINK("https://www.youtube.com/watch?v=ozMCb0wOnMU&amp;t=357s", "Go to time")</f>
        <v/>
      </c>
    </row>
    <row r="9386">
      <c r="A9386">
        <f>HYPERLINK("https://www.youtube.com/watch?v=dzBj5rRmTv8", "Video")</f>
        <v/>
      </c>
      <c r="B9386" t="inlineStr">
        <is>
          <t>8:21</t>
        </is>
      </c>
      <c r="C9386" t="inlineStr">
        <is>
          <t>as that path is prohibitively expensive</t>
        </is>
      </c>
      <c r="D9386">
        <f>HYPERLINK("https://www.youtube.com/watch?v=dzBj5rRmTv8&amp;t=501s", "Go to time")</f>
        <v/>
      </c>
    </row>
    <row r="9387">
      <c r="A9387">
        <f>HYPERLINK("https://www.youtube.com/watch?v=L-q-tSHo9Ho", "Video")</f>
        <v/>
      </c>
      <c r="B9387" t="inlineStr">
        <is>
          <t>2:25</t>
        </is>
      </c>
      <c r="C9387" t="inlineStr">
        <is>
          <t>is a little bit like calling
your face your nose.</t>
        </is>
      </c>
      <c r="D9387">
        <f>HYPERLINK("https://www.youtube.com/watch?v=L-q-tSHo9Ho&amp;t=145s", "Go to time")</f>
        <v/>
      </c>
    </row>
    <row r="9388">
      <c r="A9388">
        <f>HYPERLINK("https://www.youtube.com/watch?v=L-q-tSHo9Ho", "Video")</f>
        <v/>
      </c>
      <c r="B9388" t="inlineStr">
        <is>
          <t>5:15</t>
        </is>
      </c>
      <c r="C9388" t="inlineStr">
        <is>
          <t>which makes everything
a little bit sex-related.</t>
        </is>
      </c>
      <c r="D9388">
        <f>HYPERLINK("https://www.youtube.com/watch?v=L-q-tSHo9Ho&amp;t=315s", "Go to time")</f>
        <v/>
      </c>
    </row>
    <row r="9389">
      <c r="A9389">
        <f>HYPERLINK("https://www.youtube.com/watch?v=L-q-tSHo9Ho", "Video")</f>
        <v/>
      </c>
      <c r="B9389" t="inlineStr">
        <is>
          <t>8:50</t>
        </is>
      </c>
      <c r="C9389" t="inlineStr">
        <is>
          <t>If my mouth waters
when I bite into a wormy apple,</t>
        </is>
      </c>
      <c r="D9389">
        <f>HYPERLINK("https://www.youtube.com/watch?v=L-q-tSHo9Ho&amp;t=530s", "Go to time")</f>
        <v/>
      </c>
    </row>
    <row r="9390">
      <c r="A9390">
        <f>HYPERLINK("https://www.youtube.com/watch?v=L-q-tSHo9Ho", "Video")</f>
        <v/>
      </c>
      <c r="B9390" t="inlineStr">
        <is>
          <t>12:03</t>
        </is>
      </c>
      <c r="C9390" t="inlineStr">
        <is>
          <t>Say, if you bite this moldy fruit
and your mouth waters,</t>
        </is>
      </c>
      <c r="D9390">
        <f>HYPERLINK("https://www.youtube.com/watch?v=L-q-tSHo9Ho&amp;t=723s", "Go to time")</f>
        <v/>
      </c>
    </row>
    <row r="9391">
      <c r="A9391">
        <f>HYPERLINK("https://www.youtube.com/watch?v=L-q-tSHo9Ho", "Video")</f>
        <v/>
      </c>
      <c r="B9391" t="inlineStr">
        <is>
          <t>12:38</t>
        </is>
      </c>
      <c r="C9391" t="inlineStr">
        <is>
          <t>we make the world
that little bit better, a little simpler</t>
        </is>
      </c>
      <c r="D9391">
        <f>HYPERLINK("https://www.youtube.com/watch?v=L-q-tSHo9Ho&amp;t=758s", "Go to time")</f>
        <v/>
      </c>
    </row>
    <row r="9392">
      <c r="A9392">
        <f>HYPERLINK("https://www.youtube.com/watch?v=WhpAYw9kCt8", "Video")</f>
        <v/>
      </c>
      <c r="B9392" t="inlineStr">
        <is>
          <t>9:24</t>
        </is>
      </c>
      <c r="C9392" t="inlineStr">
        <is>
          <t>I'm sorry, I have to gather myself
just a little bit.</t>
        </is>
      </c>
      <c r="D9392">
        <f>HYPERLINK("https://www.youtube.com/watch?v=WhpAYw9kCt8&amp;t=564s", "Go to time")</f>
        <v/>
      </c>
    </row>
    <row r="9393">
      <c r="A9393">
        <f>HYPERLINK("https://www.youtube.com/watch?v=WaE2IlpO4vQ", "Video")</f>
        <v/>
      </c>
      <c r="B9393" t="inlineStr">
        <is>
          <t>8:32</t>
        </is>
      </c>
      <c r="C9393" t="inlineStr">
        <is>
          <t>Let me talk a little bit</t>
        </is>
      </c>
      <c r="D9393">
        <f>HYPERLINK("https://www.youtube.com/watch?v=WaE2IlpO4vQ&amp;t=512s", "Go to time")</f>
        <v/>
      </c>
    </row>
    <row r="9394">
      <c r="A9394">
        <f>HYPERLINK("https://www.youtube.com/watch?v=WaE2IlpO4vQ", "Video")</f>
        <v/>
      </c>
      <c r="B9394" t="inlineStr">
        <is>
          <t>10:12</t>
        </is>
      </c>
      <c r="C9394" t="inlineStr">
        <is>
          <t>and I might be leading
the witness just a little bit here.</t>
        </is>
      </c>
      <c r="D9394">
        <f>HYPERLINK("https://www.youtube.com/watch?v=WaE2IlpO4vQ&amp;t=612s", "Go to time")</f>
        <v/>
      </c>
    </row>
    <row r="9395">
      <c r="A9395">
        <f>HYPERLINK("https://www.youtube.com/watch?v=WaE2IlpO4vQ", "Video")</f>
        <v/>
      </c>
      <c r="B9395" t="inlineStr">
        <is>
          <t>10:57</t>
        </is>
      </c>
      <c r="C9395" t="inlineStr">
        <is>
          <t>Don't be a jerk when your specialty latte
takes a bit too long to brew,</t>
        </is>
      </c>
      <c r="D9395">
        <f>HYPERLINK("https://www.youtube.com/watch?v=WaE2IlpO4vQ&amp;t=657s", "Go to time")</f>
        <v/>
      </c>
    </row>
    <row r="9396">
      <c r="A9396">
        <f>HYPERLINK("https://www.youtube.com/watch?v=ZzugJPASNB8", "Video")</f>
        <v/>
      </c>
      <c r="B9396" t="inlineStr">
        <is>
          <t>10:49</t>
        </is>
      </c>
      <c r="C9396" t="inlineStr">
        <is>
          <t>A little bit of legal empowerment
can go a long way.</t>
        </is>
      </c>
      <c r="D9396">
        <f>HYPERLINK("https://www.youtube.com/watch?v=ZzugJPASNB8&amp;t=649s", "Go to time")</f>
        <v/>
      </c>
    </row>
    <row r="9397">
      <c r="A9397">
        <f>HYPERLINK("https://www.youtube.com/watch?v=ZzugJPASNB8", "Video")</f>
        <v/>
      </c>
      <c r="B9397" t="inlineStr">
        <is>
          <t>16:12</t>
        </is>
      </c>
      <c r="C9397" t="inlineStr">
        <is>
          <t>but I want us to talk a little bit</t>
        </is>
      </c>
      <c r="D9397">
        <f>HYPERLINK("https://www.youtube.com/watch?v=ZzugJPASNB8&amp;t=972s", "Go to time")</f>
        <v/>
      </c>
    </row>
    <row r="9398">
      <c r="A9398">
        <f>HYPERLINK("https://www.youtube.com/watch?v=H-vvS1zonI0", "Video")</f>
        <v/>
      </c>
      <c r="B9398" t="inlineStr">
        <is>
          <t>11:44</t>
        </is>
      </c>
      <c r="C9398" t="inlineStr">
        <is>
          <t>Finding the right doctor
can feel a little bit like dating.</t>
        </is>
      </c>
      <c r="D9398">
        <f>HYPERLINK("https://www.youtube.com/watch?v=H-vvS1zonI0&amp;t=704s", "Go to time")</f>
        <v/>
      </c>
    </row>
    <row r="9399">
      <c r="A9399">
        <f>HYPERLINK("https://www.youtube.com/watch?v=r9b-DF7Q4xs", "Video")</f>
        <v/>
      </c>
      <c r="B9399" t="inlineStr">
        <is>
          <t>1:55</t>
        </is>
      </c>
      <c r="C9399" t="inlineStr">
        <is>
          <t>and it's bittersweet</t>
        </is>
      </c>
      <c r="D9399">
        <f>HYPERLINK("https://www.youtube.com/watch?v=r9b-DF7Q4xs&amp;t=115s", "Go to time")</f>
        <v/>
      </c>
    </row>
    <row r="9400">
      <c r="A9400">
        <f>HYPERLINK("https://www.youtube.com/watch?v=PFFbXhEcYTM", "Video")</f>
        <v/>
      </c>
      <c r="B9400" t="inlineStr">
        <is>
          <t>14:25</t>
        </is>
      </c>
      <c r="C9400" t="inlineStr">
        <is>
          <t>Over time, that series of drawings
became a traveling exhibition,</t>
        </is>
      </c>
      <c r="D9400">
        <f>HYPERLINK("https://www.youtube.com/watch?v=PFFbXhEcYTM&amp;t=865s", "Go to time")</f>
        <v/>
      </c>
    </row>
    <row r="9401">
      <c r="A9401">
        <f>HYPERLINK("https://www.youtube.com/watch?v=PFFbXhEcYTM", "Video")</f>
        <v/>
      </c>
      <c r="B9401" t="inlineStr">
        <is>
          <t>14:30</t>
        </is>
      </c>
      <c r="C9401" t="inlineStr">
        <is>
          <t>And the exhibition traveled
to multiple cities,</t>
        </is>
      </c>
      <c r="D9401">
        <f>HYPERLINK("https://www.youtube.com/watch?v=PFFbXhEcYTM&amp;t=870s", "Go to time")</f>
        <v/>
      </c>
    </row>
    <row r="9402">
      <c r="A9402">
        <f>HYPERLINK("https://www.youtube.com/watch?v=g-ONUFFt2qM", "Video")</f>
        <v/>
      </c>
      <c r="B9402" t="inlineStr">
        <is>
          <t>1:24</t>
        </is>
      </c>
      <c r="C9402" t="inlineStr">
        <is>
          <t>To tell you a bit about
how I found my voice,</t>
        </is>
      </c>
      <c r="D9402">
        <f>HYPERLINK("https://www.youtube.com/watch?v=g-ONUFFt2qM&amp;t=84s", "Go to time")</f>
        <v/>
      </c>
    </row>
    <row r="9403">
      <c r="A9403">
        <f>HYPERLINK("https://www.youtube.com/watch?v=g-ONUFFt2qM", "Video")</f>
        <v/>
      </c>
      <c r="B9403" t="inlineStr">
        <is>
          <t>1:27</t>
        </is>
      </c>
      <c r="C9403" t="inlineStr">
        <is>
          <t>I'd like to share a bit
about how I grew up.</t>
        </is>
      </c>
      <c r="D9403">
        <f>HYPERLINK("https://www.youtube.com/watch?v=g-ONUFFt2qM&amp;t=87s", "Go to time")</f>
        <v/>
      </c>
    </row>
    <row r="9404">
      <c r="A9404">
        <f>HYPERLINK("https://www.youtube.com/watch?v=-BvcToPZCLI", "Video")</f>
        <v/>
      </c>
      <c r="B9404" t="inlineStr">
        <is>
          <t>3:28</t>
        </is>
      </c>
      <c r="C9404" t="inlineStr">
        <is>
          <t>But then when we dig down a bit deeper,
the rubber starts to hit the road.</t>
        </is>
      </c>
      <c r="D9404">
        <f>HYPERLINK("https://www.youtube.com/watch?v=-BvcToPZCLI&amp;t=208s", "Go to time")</f>
        <v/>
      </c>
    </row>
    <row r="9405">
      <c r="A9405">
        <f>HYPERLINK("https://www.youtube.com/watch?v=eDPmvxtbC10", "Video")</f>
        <v/>
      </c>
      <c r="B9405" t="inlineStr">
        <is>
          <t>0:20</t>
        </is>
      </c>
      <c r="C9405" t="inlineStr">
        <is>
          <t>But before we start,
can you tell us a little bit</t>
        </is>
      </c>
      <c r="D9405">
        <f>HYPERLINK("https://www.youtube.com/watch?v=eDPmvxtbC10&amp;t=20s", "Go to time")</f>
        <v/>
      </c>
    </row>
    <row r="9406">
      <c r="A9406">
        <f>HYPERLINK("https://www.youtube.com/watch?v=eDPmvxtbC10", "Video")</f>
        <v/>
      </c>
      <c r="B9406" t="inlineStr">
        <is>
          <t>1:40</t>
        </is>
      </c>
      <c r="C9406" t="inlineStr">
        <is>
          <t>KC: Let's talk a little bit
about "In Her Hands."</t>
        </is>
      </c>
      <c r="D9406">
        <f>HYPERLINK("https://www.youtube.com/watch?v=eDPmvxtbC10&amp;t=100s", "Go to time")</f>
        <v/>
      </c>
    </row>
    <row r="9407">
      <c r="A9407">
        <f>HYPERLINK("https://www.youtube.com/watch?v=eDPmvxtbC10", "Video")</f>
        <v/>
      </c>
      <c r="B9407" t="inlineStr">
        <is>
          <t>1:42</t>
        </is>
      </c>
      <c r="C9407" t="inlineStr">
        <is>
          <t>Can you summarize a little bit
about what the film is about</t>
        </is>
      </c>
      <c r="D9407">
        <f>HYPERLINK("https://www.youtube.com/watch?v=eDPmvxtbC10&amp;t=102s", "Go to time")</f>
        <v/>
      </c>
    </row>
    <row r="9408">
      <c r="A9408">
        <f>HYPERLINK("https://www.youtube.com/watch?v=eDPmvxtbC10", "Video")</f>
        <v/>
      </c>
      <c r="B9408" t="inlineStr">
        <is>
          <t>5:00</t>
        </is>
      </c>
      <c r="C9408" t="inlineStr">
        <is>
          <t>Tell us a little bit about how you managed
to build those relationships</t>
        </is>
      </c>
      <c r="D9408">
        <f>HYPERLINK("https://www.youtube.com/watch?v=eDPmvxtbC10&amp;t=300s", "Go to time")</f>
        <v/>
      </c>
    </row>
    <row r="9409">
      <c r="A9409">
        <f>HYPERLINK("https://www.youtube.com/watch?v=eDPmvxtbC10", "Video")</f>
        <v/>
      </c>
      <c r="B9409" t="inlineStr">
        <is>
          <t>9:12</t>
        </is>
      </c>
      <c r="C9409" t="inlineStr">
        <is>
          <t>Tell us a bit about the risks
that both she and you faced</t>
        </is>
      </c>
      <c r="D9409">
        <f>HYPERLINK("https://www.youtube.com/watch?v=eDPmvxtbC10&amp;t=552s", "Go to time")</f>
        <v/>
      </c>
    </row>
    <row r="9410">
      <c r="A9410">
        <f>HYPERLINK("https://www.youtube.com/watch?v=f9618uQlZmc", "Video")</f>
        <v/>
      </c>
      <c r="B9410" t="inlineStr">
        <is>
          <t>2:16</t>
        </is>
      </c>
      <c r="C9410" t="inlineStr">
        <is>
          <t>and we add a bit of limestone --</t>
        </is>
      </c>
      <c r="D9410">
        <f>HYPERLINK("https://www.youtube.com/watch?v=f9618uQlZmc&amp;t=136s", "Go to time")</f>
        <v/>
      </c>
    </row>
    <row r="9411">
      <c r="A9411">
        <f>HYPERLINK("https://www.youtube.com/watch?v=cmpu58yv8-g", "Video")</f>
        <v/>
      </c>
      <c r="B9411" t="inlineStr">
        <is>
          <t>4:07</t>
        </is>
      </c>
      <c r="C9411" t="inlineStr">
        <is>
          <t>Let me explain with a bit
of amateur neuroscience.</t>
        </is>
      </c>
      <c r="D9411">
        <f>HYPERLINK("https://www.youtube.com/watch?v=cmpu58yv8-g&amp;t=247s", "Go to time")</f>
        <v/>
      </c>
    </row>
    <row r="9412">
      <c r="A9412">
        <f>HYPERLINK("https://www.youtube.com/watch?v=eZ5MM28abKo", "Video")</f>
        <v/>
      </c>
      <c r="B9412" t="inlineStr">
        <is>
          <t>1:57</t>
        </is>
      </c>
      <c r="C9412" t="inlineStr">
        <is>
          <t>It's now time to match their ambition.</t>
        </is>
      </c>
      <c r="D9412">
        <f>HYPERLINK("https://www.youtube.com/watch?v=eZ5MM28abKo&amp;t=117s", "Go to time")</f>
        <v/>
      </c>
    </row>
    <row r="9413">
      <c r="A9413">
        <f>HYPERLINK("https://www.youtube.com/watch?v=Rjre6diN35A", "Video")</f>
        <v/>
      </c>
      <c r="B9413" t="inlineStr">
        <is>
          <t>11:00</t>
        </is>
      </c>
      <c r="C9413" t="inlineStr">
        <is>
          <t>to set and reach
ambitious conservation goals?</t>
        </is>
      </c>
      <c r="D9413">
        <f>HYPERLINK("https://www.youtube.com/watch?v=Rjre6diN35A&amp;t=660s", "Go to time")</f>
        <v/>
      </c>
    </row>
    <row r="9414">
      <c r="A9414">
        <f>HYPERLINK("https://www.youtube.com/watch?v=YXWKuK-Qsu4", "Video")</f>
        <v/>
      </c>
      <c r="B9414" t="inlineStr">
        <is>
          <t>6:45</t>
        </is>
      </c>
      <c r="C9414" t="inlineStr">
        <is>
          <t>but does it pay for the exorbitant tuition</t>
        </is>
      </c>
      <c r="D9414">
        <f>HYPERLINK("https://www.youtube.com/watch?v=YXWKuK-Qsu4&amp;t=405s", "Go to time")</f>
        <v/>
      </c>
    </row>
    <row r="9415">
      <c r="A9415">
        <f>HYPERLINK("https://www.youtube.com/watch?v=NX0Plqw73K0", "Video")</f>
        <v/>
      </c>
      <c r="B9415" t="inlineStr">
        <is>
          <t>0:15</t>
        </is>
      </c>
      <c r="C9415" t="inlineStr">
        <is>
          <t>But what we are currently doing
is a bit insane.</t>
        </is>
      </c>
      <c r="D9415">
        <f>HYPERLINK("https://www.youtube.com/watch?v=NX0Plqw73K0&amp;t=15s", "Go to time")</f>
        <v/>
      </c>
    </row>
    <row r="9416">
      <c r="A9416">
        <f>HYPERLINK("https://www.youtube.com/watch?v=j97WsAz3CDY", "Video")</f>
        <v/>
      </c>
      <c r="B9416" t="inlineStr">
        <is>
          <t>8:03</t>
        </is>
      </c>
      <c r="C9416" t="inlineStr">
        <is>
          <t>and a bit of a dumb blonde.</t>
        </is>
      </c>
      <c r="D9416">
        <f>HYPERLINK("https://www.youtube.com/watch?v=j97WsAz3CDY&amp;t=483s", "Go to time")</f>
        <v/>
      </c>
    </row>
    <row r="9417">
      <c r="A9417">
        <f>HYPERLINK("https://www.youtube.com/watch?v=atQtlbO6D2Y", "Video")</f>
        <v/>
      </c>
      <c r="B9417" t="inlineStr">
        <is>
          <t>3:01</t>
        </is>
      </c>
      <c r="C9417" t="inlineStr">
        <is>
          <t>With better habits they can't gas us
if we travel on bike</t>
        </is>
      </c>
      <c r="D9417">
        <f>HYPERLINK("https://www.youtube.com/watch?v=atQtlbO6D2Y&amp;t=181s", "Go to time")</f>
        <v/>
      </c>
    </row>
    <row r="9418">
      <c r="A9418">
        <f>HYPERLINK("https://www.youtube.com/watch?v=atQtlbO6D2Y", "Video")</f>
        <v/>
      </c>
      <c r="B9418" t="inlineStr">
        <is>
          <t>4:55</t>
        </is>
      </c>
      <c r="C9418" t="inlineStr">
        <is>
          <t>Climate change is a little bit
more complex."</t>
        </is>
      </c>
      <c r="D9418">
        <f>HYPERLINK("https://www.youtube.com/watch?v=atQtlbO6D2Y&amp;t=295s", "Go to time")</f>
        <v/>
      </c>
    </row>
    <row r="9419">
      <c r="A9419">
        <f>HYPERLINK("https://www.youtube.com/watch?v=r2gsj0EEE3I", "Video")</f>
        <v/>
      </c>
      <c r="B9419" t="inlineStr">
        <is>
          <t>11:04</t>
        </is>
      </c>
      <c r="C9419" t="inlineStr">
        <is>
          <t>Well, I've already talked a little bit
about productive friction,</t>
        </is>
      </c>
      <c r="D9419">
        <f>HYPERLINK("https://www.youtube.com/watch?v=r2gsj0EEE3I&amp;t=664s", "Go to time")</f>
        <v/>
      </c>
    </row>
    <row r="9420">
      <c r="A9420">
        <f>HYPERLINK("https://www.youtube.com/watch?v=r2gsj0EEE3I", "Video")</f>
        <v/>
      </c>
      <c r="B9420" t="inlineStr">
        <is>
          <t>13:52</t>
        </is>
      </c>
      <c r="C9420" t="inlineStr">
        <is>
          <t>By slowing down a little bit</t>
        </is>
      </c>
      <c r="D9420">
        <f>HYPERLINK("https://www.youtube.com/watch?v=r2gsj0EEE3I&amp;t=832s", "Go to time")</f>
        <v/>
      </c>
    </row>
    <row r="9421">
      <c r="A9421">
        <f>HYPERLINK("https://www.youtube.com/watch?v=r2gsj0EEE3I", "Video")</f>
        <v/>
      </c>
      <c r="B9421" t="inlineStr">
        <is>
          <t>14:41</t>
        </is>
      </c>
      <c r="C9421" t="inlineStr">
        <is>
          <t>And with just enough rules
and a little bit of time,</t>
        </is>
      </c>
      <c r="D9421">
        <f>HYPERLINK("https://www.youtube.com/watch?v=r2gsj0EEE3I&amp;t=881s", "Go to time")</f>
        <v/>
      </c>
    </row>
    <row r="9422">
      <c r="A9422">
        <f>HYPERLINK("https://www.youtube.com/watch?v=JH_Pa1hOEVc", "Video")</f>
        <v/>
      </c>
      <c r="B9422" t="inlineStr">
        <is>
          <t>1:13</t>
        </is>
      </c>
      <c r="C9422" t="inlineStr">
        <is>
          <t>Our primary goal is to put 10,000
steps on our Fitbits,</t>
        </is>
      </c>
      <c r="D9422">
        <f>HYPERLINK("https://www.youtube.com/watch?v=JH_Pa1hOEVc&amp;t=73s", "Go to time")</f>
        <v/>
      </c>
    </row>
    <row r="9423">
      <c r="A9423">
        <f>HYPERLINK("https://www.youtube.com/watch?v=JH_Pa1hOEVc", "Video")</f>
        <v/>
      </c>
      <c r="B9423" t="inlineStr">
        <is>
          <t>1:30</t>
        </is>
      </c>
      <c r="C9423" t="inlineStr">
        <is>
          <t>So we've gotten the habit of, as we walk,</t>
        </is>
      </c>
      <c r="D9423">
        <f>HYPERLINK("https://www.youtube.com/watch?v=JH_Pa1hOEVc&amp;t=90s", "Go to time")</f>
        <v/>
      </c>
    </row>
    <row r="9424">
      <c r="A9424">
        <f>HYPERLINK("https://www.youtube.com/watch?v=JH_Pa1hOEVc", "Video")</f>
        <v/>
      </c>
      <c r="B9424" t="inlineStr">
        <is>
          <t>1:32</t>
        </is>
      </c>
      <c r="C9424" t="inlineStr">
        <is>
          <t>we've gotten the habit of choosing
a topic for discussion.</t>
        </is>
      </c>
      <c r="D9424">
        <f>HYPERLINK("https://www.youtube.com/watch?v=JH_Pa1hOEVc&amp;t=92s", "Go to time")</f>
        <v/>
      </c>
    </row>
    <row r="9425">
      <c r="A9425">
        <f>HYPERLINK("https://www.youtube.com/watch?v=JH_Pa1hOEVc", "Video")</f>
        <v/>
      </c>
      <c r="B9425" t="inlineStr">
        <is>
          <t>4:15</t>
        </is>
      </c>
      <c r="C9425" t="inlineStr">
        <is>
          <t>We begin to feel a bit bored.</t>
        </is>
      </c>
      <c r="D9425">
        <f>HYPERLINK("https://www.youtube.com/watch?v=JH_Pa1hOEVc&amp;t=255s", "Go to time")</f>
        <v/>
      </c>
    </row>
    <row r="9426">
      <c r="A9426">
        <f>HYPERLINK("https://www.youtube.com/watch?v=ygHwQXIlKJI", "Video")</f>
        <v/>
      </c>
      <c r="B9426" t="inlineStr">
        <is>
          <t>4:34</t>
        </is>
      </c>
      <c r="C9426" t="inlineStr">
        <is>
          <t>that we have designed,
built and inhabited.</t>
        </is>
      </c>
      <c r="D9426">
        <f>HYPERLINK("https://www.youtube.com/watch?v=ygHwQXIlKJI&amp;t=274s", "Go to time")</f>
        <v/>
      </c>
    </row>
    <row r="9427">
      <c r="A9427">
        <f>HYPERLINK("https://www.youtube.com/watch?v=Mr8nvXvl-y8", "Video")</f>
        <v/>
      </c>
      <c r="B9427" t="inlineStr">
        <is>
          <t>11:10</t>
        </is>
      </c>
      <c r="C9427" t="inlineStr">
        <is>
          <t>so she called her local Circle to say
they wouldn't see her for a bit.</t>
        </is>
      </c>
      <c r="D9427">
        <f>HYPERLINK("https://www.youtube.com/watch?v=Mr8nvXvl-y8&amp;t=670s", "Go to time")</f>
        <v/>
      </c>
    </row>
    <row r="9428">
      <c r="A9428">
        <f>HYPERLINK("https://www.youtube.com/watch?v=WaKrPDso808", "Video")</f>
        <v/>
      </c>
      <c r="B9428" t="inlineStr">
        <is>
          <t>3:14</t>
        </is>
      </c>
      <c r="C9428" t="inlineStr">
        <is>
          <t>inhibiting pollination,</t>
        </is>
      </c>
      <c r="D9428">
        <f>HYPERLINK("https://www.youtube.com/watch?v=WaKrPDso808&amp;t=194s", "Go to time")</f>
        <v/>
      </c>
    </row>
    <row r="9429">
      <c r="A9429">
        <f>HYPERLINK("https://www.youtube.com/watch?v=YRvf00NooN8", "Video")</f>
        <v/>
      </c>
      <c r="B9429" t="inlineStr">
        <is>
          <t>6:59</t>
        </is>
      </c>
      <c r="C9429" t="inlineStr">
        <is>
          <t>are people entitled to get
a little bit excited</t>
        </is>
      </c>
      <c r="D9429">
        <f>HYPERLINK("https://www.youtube.com/watch?v=YRvf00NooN8&amp;t=419s", "Go to time")</f>
        <v/>
      </c>
    </row>
    <row r="9430">
      <c r="A9430">
        <f>HYPERLINK("https://www.youtube.com/watch?v=YRvf00NooN8", "Video")</f>
        <v/>
      </c>
      <c r="B9430" t="inlineStr">
        <is>
          <t>8:03</t>
        </is>
      </c>
      <c r="C9430" t="inlineStr">
        <is>
          <t>but it's like we just happen to be
on the bit that's land.</t>
        </is>
      </c>
      <c r="D9430">
        <f>HYPERLINK("https://www.youtube.com/watch?v=YRvf00NooN8&amp;t=483s", "Go to time")</f>
        <v/>
      </c>
    </row>
    <row r="9431">
      <c r="A9431">
        <f>HYPERLINK("https://www.youtube.com/watch?v=YRvf00NooN8", "Video")</f>
        <v/>
      </c>
      <c r="B9431" t="inlineStr">
        <is>
          <t>8:46</t>
        </is>
      </c>
      <c r="C9431" t="inlineStr">
        <is>
          <t>CA: I want us to switch now to think
a bit about artificial intelligence.</t>
        </is>
      </c>
      <c r="D9431">
        <f>HYPERLINK("https://www.youtube.com/watch?v=YRvf00NooN8&amp;t=526s", "Go to time")</f>
        <v/>
      </c>
    </row>
    <row r="9432">
      <c r="A9432">
        <f>HYPERLINK("https://www.youtube.com/watch?v=YRvf00NooN8", "Video")</f>
        <v/>
      </c>
      <c r="B9432" t="inlineStr">
        <is>
          <t>18:01</t>
        </is>
      </c>
      <c r="C9432" t="inlineStr">
        <is>
          <t>to drive people to be ambitious?</t>
        </is>
      </c>
      <c r="D9432">
        <f>HYPERLINK("https://www.youtube.com/watch?v=YRvf00NooN8&amp;t=1081s", "Go to time")</f>
        <v/>
      </c>
    </row>
    <row r="9433">
      <c r="A9433">
        <f>HYPERLINK("https://www.youtube.com/watch?v=YRvf00NooN8", "Video")</f>
        <v/>
      </c>
      <c r="B9433" t="inlineStr">
        <is>
          <t>30:00</t>
        </is>
      </c>
      <c r="C9433" t="inlineStr">
        <is>
          <t>What is it that inhibits
a human-machine symbiosis?</t>
        </is>
      </c>
      <c r="D9433">
        <f>HYPERLINK("https://www.youtube.com/watch?v=YRvf00NooN8&amp;t=1800s", "Go to time")</f>
        <v/>
      </c>
    </row>
    <row r="9434">
      <c r="A9434">
        <f>HYPERLINK("https://www.youtube.com/watch?v=YRvf00NooN8", "Video")</f>
        <v/>
      </c>
      <c r="B9434" t="inlineStr">
        <is>
          <t>30:15</t>
        </is>
      </c>
      <c r="C9434" t="inlineStr">
        <is>
          <t>at a rate that’s maybe 10 bits per second,
optimistically, 100 bits per second.</t>
        </is>
      </c>
      <c r="D9434">
        <f>HYPERLINK("https://www.youtube.com/watch?v=YRvf00NooN8&amp;t=1815s", "Go to time")</f>
        <v/>
      </c>
    </row>
    <row r="9435">
      <c r="A9435">
        <f>HYPERLINK("https://www.youtube.com/watch?v=YRvf00NooN8", "Video")</f>
        <v/>
      </c>
      <c r="B9435" t="inlineStr">
        <is>
          <t>31:33</t>
        </is>
      </c>
      <c r="C9435" t="inlineStr">
        <is>
          <t>is kind of like a Fitbit
or an Apple Watch.</t>
        </is>
      </c>
      <c r="D9435">
        <f>HYPERLINK("https://www.youtube.com/watch?v=YRvf00NooN8&amp;t=1893s", "Go to time")</f>
        <v/>
      </c>
    </row>
    <row r="9436">
      <c r="A9436">
        <f>HYPERLINK("https://www.youtube.com/watch?v=YRvf00NooN8", "Video")</f>
        <v/>
      </c>
      <c r="B9436" t="inlineStr">
        <is>
          <t>31:46</t>
        </is>
      </c>
      <c r="C9436" t="inlineStr">
        <is>
          <t>in many ways really is very much like
a Fitbit, Apple Watch</t>
        </is>
      </c>
      <c r="D9436">
        <f>HYPERLINK("https://www.youtube.com/watch?v=YRvf00NooN8&amp;t=1906s", "Go to time")</f>
        <v/>
      </c>
    </row>
    <row r="9437">
      <c r="A9437">
        <f>HYPERLINK("https://www.youtube.com/watch?v=YRvf00NooN8", "Video")</f>
        <v/>
      </c>
      <c r="B9437" t="inlineStr">
        <is>
          <t>39:14</t>
        </is>
      </c>
      <c r="C9437" t="inlineStr">
        <is>
          <t>putting 100 tons into orbit,</t>
        </is>
      </c>
      <c r="D9437">
        <f>HYPERLINK("https://www.youtube.com/watch?v=YRvf00NooN8&amp;t=2354s", "Go to time")</f>
        <v/>
      </c>
    </row>
    <row r="9438">
      <c r="A9438">
        <f>HYPERLINK("https://www.youtube.com/watch?v=YRvf00NooN8", "Video")</f>
        <v/>
      </c>
      <c r="B9438" t="inlineStr">
        <is>
          <t>39:21</t>
        </is>
      </c>
      <c r="C9438" t="inlineStr">
        <is>
          <t>or what it did cost to put our tiny
Falcon 1 rocket into orbit.</t>
        </is>
      </c>
      <c r="D9438">
        <f>HYPERLINK("https://www.youtube.com/watch?v=YRvf00NooN8&amp;t=2361s", "Go to time")</f>
        <v/>
      </c>
    </row>
    <row r="9439">
      <c r="A9439">
        <f>HYPERLINK("https://www.youtube.com/watch?v=YRvf00NooN8", "Video")</f>
        <v/>
      </c>
      <c r="B9439" t="inlineStr">
        <is>
          <t>42:27</t>
        </is>
      </c>
      <c r="C9439" t="inlineStr">
        <is>
          <t>it's got to demonstrate it can get into
orbit, you know, around Earth.</t>
        </is>
      </c>
      <c r="D9439">
        <f>HYPERLINK("https://www.youtube.com/watch?v=YRvf00NooN8&amp;t=2547s", "Go to time")</f>
        <v/>
      </c>
    </row>
    <row r="9440">
      <c r="A9440">
        <f>HYPERLINK("https://www.youtube.com/watch?v=YRvf00NooN8", "Video")</f>
        <v/>
      </c>
      <c r="B9440" t="inlineStr">
        <is>
          <t>42:35</t>
        </is>
      </c>
      <c r="C9440" t="inlineStr">
        <is>
          <t>EM: It's looking promising for us
to have an orbital launch attempt</t>
        </is>
      </c>
      <c r="D9440">
        <f>HYPERLINK("https://www.youtube.com/watch?v=YRvf00NooN8&amp;t=2555s", "Go to time")</f>
        <v/>
      </c>
    </row>
    <row r="9441">
      <c r="A9441">
        <f>HYPERLINK("https://www.youtube.com/watch?v=YRvf00NooN8", "Video")</f>
        <v/>
      </c>
      <c r="B9441" t="inlineStr">
        <is>
          <t>42:49</t>
        </is>
      </c>
      <c r="C9441" t="inlineStr">
        <is>
          <t>for the first orbital flight
starting in about a week or two.</t>
        </is>
      </c>
      <c r="D9441">
        <f>HYPERLINK("https://www.youtube.com/watch?v=YRvf00NooN8&amp;t=2569s", "Go to time")</f>
        <v/>
      </c>
    </row>
    <row r="9442">
      <c r="A9442">
        <f>HYPERLINK("https://www.youtube.com/watch?v=YRvf00NooN8", "Video")</f>
        <v/>
      </c>
      <c r="B9442" t="inlineStr">
        <is>
          <t>43:04</t>
        </is>
      </c>
      <c r="C9442" t="inlineStr">
        <is>
          <t>I think we could have an orbital
launch attempt within a few months.</t>
        </is>
      </c>
      <c r="D9442">
        <f>HYPERLINK("https://www.youtube.com/watch?v=YRvf00NooN8&amp;t=2584s", "Go to time")</f>
        <v/>
      </c>
    </row>
    <row r="9443">
      <c r="A9443">
        <f>HYPERLINK("https://www.youtube.com/watch?v=YRvf00NooN8", "Video")</f>
        <v/>
      </c>
      <c r="B9443" t="inlineStr">
        <is>
          <t>50:14</t>
        </is>
      </c>
      <c r="C9443" t="inlineStr">
        <is>
          <t>CA: Coming back a bit nearer term,</t>
        </is>
      </c>
      <c r="D9443">
        <f>HYPERLINK("https://www.youtube.com/watch?v=YRvf00NooN8&amp;t=3014s", "Go to time")</f>
        <v/>
      </c>
    </row>
    <row r="9444">
      <c r="A9444">
        <f>HYPERLINK("https://www.youtube.com/watch?v=YRvf00NooN8", "Video")</f>
        <v/>
      </c>
      <c r="B9444" t="inlineStr">
        <is>
          <t>50:16</t>
        </is>
      </c>
      <c r="C9444" t="inlineStr">
        <is>
          <t>I'd love you to just talk a bit
about some of the other possibility space</t>
        </is>
      </c>
      <c r="D9444">
        <f>HYPERLINK("https://www.youtube.com/watch?v=YRvf00NooN8&amp;t=3016s", "Go to time")</f>
        <v/>
      </c>
    </row>
    <row r="9445">
      <c r="A9445">
        <f>HYPERLINK("https://www.youtube.com/watch?v=YRvf00NooN8", "Video")</f>
        <v/>
      </c>
      <c r="B9445" t="inlineStr">
        <is>
          <t>50:24</t>
        </is>
      </c>
      <c r="C9445" t="inlineStr">
        <is>
          <t>Suddenly we've got this ability
to move 100 tons-plus into orbit.</t>
        </is>
      </c>
      <c r="D9445">
        <f>HYPERLINK("https://www.youtube.com/watch?v=YRvf00NooN8&amp;t=3024s", "Go to time")</f>
        <v/>
      </c>
    </row>
    <row r="9446">
      <c r="A9446">
        <f>HYPERLINK("https://www.youtube.com/watch?v=YRvf00NooN8", "Video")</f>
        <v/>
      </c>
      <c r="B9446" t="inlineStr">
        <is>
          <t>52:02</t>
        </is>
      </c>
      <c r="C9446" t="inlineStr">
        <is>
          <t>As you alluded to earlier,
we still have to get to orbit.</t>
        </is>
      </c>
      <c r="D9446">
        <f>HYPERLINK("https://www.youtube.com/watch?v=YRvf00NooN8&amp;t=3122s", "Go to time")</f>
        <v/>
      </c>
    </row>
    <row r="9447">
      <c r="A9447">
        <f>HYPERLINK("https://www.youtube.com/watch?v=YRvf00NooN8", "Video")</f>
        <v/>
      </c>
      <c r="B9447" t="inlineStr">
        <is>
          <t>52:05</t>
        </is>
      </c>
      <c r="C9447" t="inlineStr">
        <is>
          <t>And then after we get to orbit,</t>
        </is>
      </c>
      <c r="D9447">
        <f>HYPERLINK("https://www.youtube.com/watch?v=YRvf00NooN8&amp;t=3125s", "Go to time")</f>
        <v/>
      </c>
    </row>
    <row r="9448">
      <c r="A9448">
        <f>HYPERLINK("https://www.youtube.com/watch?v=YRvf00NooN8", "Video")</f>
        <v/>
      </c>
      <c r="B9448" t="inlineStr">
        <is>
          <t>53:12</t>
        </is>
      </c>
      <c r="C9448" t="inlineStr">
        <is>
          <t>Whereas getting to Mars requires
a giant booster and orbital refilling.</t>
        </is>
      </c>
      <c r="D9448">
        <f>HYPERLINK("https://www.youtube.com/watch?v=YRvf00NooN8&amp;t=3192s", "Go to time")</f>
        <v/>
      </c>
    </row>
    <row r="9449">
      <c r="A9449">
        <f>HYPERLINK("https://www.youtube.com/watch?v=YRvf00NooN8", "Video")</f>
        <v/>
      </c>
      <c r="B9449" t="inlineStr">
        <is>
          <t>57:41</t>
        </is>
      </c>
      <c r="C9449" t="inlineStr">
        <is>
          <t>It does occupy like, a fair bit of ...</t>
        </is>
      </c>
      <c r="D9449">
        <f>HYPERLINK("https://www.youtube.com/watch?v=YRvf00NooN8&amp;t=3461s", "Go to time")</f>
        <v/>
      </c>
    </row>
    <row r="9450">
      <c r="A9450">
        <f>HYPERLINK("https://www.youtube.com/watch?v=VHMYl70ibHQ", "Video")</f>
        <v/>
      </c>
      <c r="B9450" t="inlineStr">
        <is>
          <t>0:41</t>
        </is>
      </c>
      <c r="C9450" t="inlineStr">
        <is>
          <t>we have a good record
of turning ambitions into successes.</t>
        </is>
      </c>
      <c r="D9450">
        <f>HYPERLINK("https://www.youtube.com/watch?v=VHMYl70ibHQ&amp;t=41s", "Go to time")</f>
        <v/>
      </c>
    </row>
    <row r="9451">
      <c r="A9451">
        <f>HYPERLINK("https://www.youtube.com/watch?v=VHMYl70ibHQ", "Video")</f>
        <v/>
      </c>
      <c r="B9451" t="inlineStr">
        <is>
          <t>4:11</t>
        </is>
      </c>
      <c r="C9451" t="inlineStr">
        <is>
          <t>Our 2030 and 2050
time lines are ambitious.</t>
        </is>
      </c>
      <c r="D9451">
        <f>HYPERLINK("https://www.youtube.com/watch?v=VHMYl70ibHQ&amp;t=251s", "Go to time")</f>
        <v/>
      </c>
    </row>
    <row r="9452">
      <c r="A9452">
        <f>HYPERLINK("https://www.youtube.com/watch?v=RxrB7PDLJ18", "Video")</f>
        <v/>
      </c>
      <c r="B9452" t="inlineStr">
        <is>
          <t>2:51</t>
        </is>
      </c>
      <c r="C9452" t="inlineStr">
        <is>
          <t>goes a little bit after
the one next to it?</t>
        </is>
      </c>
      <c r="D9452">
        <f>HYPERLINK("https://www.youtube.com/watch?v=RxrB7PDLJ18&amp;t=171s", "Go to time")</f>
        <v/>
      </c>
    </row>
    <row r="9453">
      <c r="A9453">
        <f>HYPERLINK("https://www.youtube.com/watch?v=RxrB7PDLJ18", "Video")</f>
        <v/>
      </c>
      <c r="B9453" t="inlineStr">
        <is>
          <t>3:48</t>
        </is>
      </c>
      <c r="C9453" t="inlineStr">
        <is>
          <t>And each one of them contributes
a little bit of energy.</t>
        </is>
      </c>
      <c r="D9453">
        <f>HYPERLINK("https://www.youtube.com/watch?v=RxrB7PDLJ18&amp;t=228s", "Go to time")</f>
        <v/>
      </c>
    </row>
    <row r="9454">
      <c r="A9454">
        <f>HYPERLINK("https://www.youtube.com/watch?v=RxrB7PDLJ18", "Video")</f>
        <v/>
      </c>
      <c r="B9454" t="inlineStr">
        <is>
          <t>4:12</t>
        </is>
      </c>
      <c r="C9454" t="inlineStr">
        <is>
          <t>that each one of them generates
a little bit of power.</t>
        </is>
      </c>
      <c r="D9454">
        <f>HYPERLINK("https://www.youtube.com/watch?v=RxrB7PDLJ18&amp;t=252s", "Go to time")</f>
        <v/>
      </c>
    </row>
    <row r="9455">
      <c r="A9455">
        <f>HYPERLINK("https://www.youtube.com/watch?v=RxrB7PDLJ18", "Video")</f>
        <v/>
      </c>
      <c r="B9455" t="inlineStr">
        <is>
          <t>9:45</t>
        </is>
      </c>
      <c r="C9455" t="inlineStr">
        <is>
          <t>and the planet is a little bit
larger than a kilometer.</t>
        </is>
      </c>
      <c r="D9455">
        <f>HYPERLINK("https://www.youtube.com/watch?v=RxrB7PDLJ18&amp;t=585s", "Go to time")</f>
        <v/>
      </c>
    </row>
    <row r="9456">
      <c r="A9456">
        <f>HYPERLINK("https://www.youtube.com/watch?v=DAk-9LvYU1Q", "Video")</f>
        <v/>
      </c>
      <c r="B9456" t="inlineStr">
        <is>
          <t>4:32</t>
        </is>
      </c>
      <c r="C9456" t="inlineStr">
        <is>
          <t>habits and associations,</t>
        </is>
      </c>
      <c r="D9456">
        <f>HYPERLINK("https://www.youtube.com/watch?v=DAk-9LvYU1Q&amp;t=272s", "Go to time")</f>
        <v/>
      </c>
    </row>
    <row r="9457">
      <c r="A9457">
        <f>HYPERLINK("https://www.youtube.com/watch?v=DAk-9LvYU1Q", "Video")</f>
        <v/>
      </c>
      <c r="B9457" t="inlineStr">
        <is>
          <t>8:42</t>
        </is>
      </c>
      <c r="C9457" t="inlineStr">
        <is>
          <t>every single person's public movements,
habits and associations</t>
        </is>
      </c>
      <c r="D9457">
        <f>HYPERLINK("https://www.youtube.com/watch?v=DAk-9LvYU1Q&amp;t=522s", "Go to time")</f>
        <v/>
      </c>
    </row>
    <row r="9458">
      <c r="A9458">
        <f>HYPERLINK("https://www.youtube.com/watch?v=5kY_hDxnYx0", "Video")</f>
        <v/>
      </c>
      <c r="B9458" t="inlineStr">
        <is>
          <t>11:35</t>
        </is>
      </c>
      <c r="C9458" t="inlineStr">
        <is>
          <t>And so in that way,
the glass cliff bites twice.</t>
        </is>
      </c>
      <c r="D9458">
        <f>HYPERLINK("https://www.youtube.com/watch?v=5kY_hDxnYx0&amp;t=695s", "Go to time")</f>
        <v/>
      </c>
    </row>
    <row r="9459">
      <c r="A9459">
        <f>HYPERLINK("https://www.youtube.com/watch?v=avuhY7D71sQ", "Video")</f>
        <v/>
      </c>
      <c r="B9459" t="inlineStr">
        <is>
          <t>3:31</t>
        </is>
      </c>
      <c r="C9459" t="inlineStr">
        <is>
          <t>Differences in fatigue? In appetite?
In urination habits?"</t>
        </is>
      </c>
      <c r="D9459">
        <f>HYPERLINK("https://www.youtube.com/watch?v=avuhY7D71sQ&amp;t=211s", "Go to time")</f>
        <v/>
      </c>
    </row>
    <row r="9460">
      <c r="A9460">
        <f>HYPERLINK("https://www.youtube.com/watch?v=avuhY7D71sQ", "Video")</f>
        <v/>
      </c>
      <c r="B9460" t="inlineStr">
        <is>
          <t>13:26</t>
        </is>
      </c>
      <c r="C9460" t="inlineStr">
        <is>
          <t>in this case we found two drugs
and it was a little bit of a sad story.</t>
        </is>
      </c>
      <c r="D9460">
        <f>HYPERLINK("https://www.youtube.com/watch?v=avuhY7D71sQ&amp;t=806s", "Go to time")</f>
        <v/>
      </c>
    </row>
    <row r="9461">
      <c r="A9461">
        <f>HYPERLINK("https://www.youtube.com/watch?v=j-SqQDPGW2k", "Video")</f>
        <v/>
      </c>
      <c r="B9461" t="inlineStr">
        <is>
          <t>1:59</t>
        </is>
      </c>
      <c r="C9461" t="inlineStr">
        <is>
          <t>As a neuroscientist,
I'm going to talk to you a little bit</t>
        </is>
      </c>
      <c r="D9461">
        <f>HYPERLINK("https://www.youtube.com/watch?v=j-SqQDPGW2k&amp;t=119s", "Go to time")</f>
        <v/>
      </c>
    </row>
    <row r="9462">
      <c r="A9462">
        <f>HYPERLINK("https://www.youtube.com/watch?v=j-SqQDPGW2k", "Video")</f>
        <v/>
      </c>
      <c r="B9462" t="inlineStr">
        <is>
          <t>2:08</t>
        </is>
      </c>
      <c r="C9462" t="inlineStr">
        <is>
          <t>But first, a bit more background.</t>
        </is>
      </c>
      <c r="D9462">
        <f>HYPERLINK("https://www.youtube.com/watch?v=j-SqQDPGW2k&amp;t=128s", "Go to time")</f>
        <v/>
      </c>
    </row>
    <row r="9463">
      <c r="A9463">
        <f>HYPERLINK("https://www.youtube.com/watch?v=j-SqQDPGW2k", "Video")</f>
        <v/>
      </c>
      <c r="B9463" t="inlineStr">
        <is>
          <t>6:17</t>
        </is>
      </c>
      <c r="C9463" t="inlineStr">
        <is>
          <t>the selective serotonin
reuptake inhibitors, so the SSRIs,</t>
        </is>
      </c>
      <c r="D9463">
        <f>HYPERLINK("https://www.youtube.com/watch?v=j-SqQDPGW2k&amp;t=377s", "Go to time")</f>
        <v/>
      </c>
    </row>
    <row r="9464">
      <c r="A9464">
        <f>HYPERLINK("https://www.youtube.com/watch?v=1o9NEtA2IEQ", "Video")</f>
        <v/>
      </c>
      <c r="B9464" t="inlineStr">
        <is>
          <t>0:45</t>
        </is>
      </c>
      <c r="C9464" t="inlineStr">
        <is>
          <t>If we zoom in here a little bit,</t>
        </is>
      </c>
      <c r="D9464">
        <f>HYPERLINK("https://www.youtube.com/watch?v=1o9NEtA2IEQ&amp;t=45s", "Go to time")</f>
        <v/>
      </c>
    </row>
    <row r="9465">
      <c r="A9465">
        <f>HYPERLINK("https://www.youtube.com/watch?v=1o9NEtA2IEQ", "Video")</f>
        <v/>
      </c>
      <c r="B9465" t="inlineStr">
        <is>
          <t>0:47</t>
        </is>
      </c>
      <c r="C9465" t="inlineStr">
        <is>
          <t>I want to talk to you guys a little bit
about one of the things that happens.</t>
        </is>
      </c>
      <c r="D9465">
        <f>HYPERLINK("https://www.youtube.com/watch?v=1o9NEtA2IEQ&amp;t=47s", "Go to time")</f>
        <v/>
      </c>
    </row>
    <row r="9466">
      <c r="A9466">
        <f>HYPERLINK("https://www.youtube.com/watch?v=1o9NEtA2IEQ", "Video")</f>
        <v/>
      </c>
      <c r="B9466" t="inlineStr">
        <is>
          <t>1:23</t>
        </is>
      </c>
      <c r="C9466" t="inlineStr">
        <is>
          <t>So we zoom in a little bit.</t>
        </is>
      </c>
      <c r="D9466">
        <f>HYPERLINK("https://www.youtube.com/watch?v=1o9NEtA2IEQ&amp;t=83s", "Go to time")</f>
        <v/>
      </c>
    </row>
    <row r="9467">
      <c r="A9467">
        <f>HYPERLINK("https://www.youtube.com/watch?v=1o9NEtA2IEQ", "Video")</f>
        <v/>
      </c>
      <c r="B9467" t="inlineStr">
        <is>
          <t>1:33</t>
        </is>
      </c>
      <c r="C9467" t="inlineStr">
        <is>
          <t>These rivers are wiggling
and jumping around quite a bit,</t>
        </is>
      </c>
      <c r="D9467">
        <f>HYPERLINK("https://www.youtube.com/watch?v=1o9NEtA2IEQ&amp;t=93s", "Go to time")</f>
        <v/>
      </c>
    </row>
    <row r="9468">
      <c r="A9468">
        <f>HYPERLINK("https://www.youtube.com/watch?v=1o9NEtA2IEQ", "Video")</f>
        <v/>
      </c>
      <c r="B9468" t="inlineStr">
        <is>
          <t>1:56</t>
        </is>
      </c>
      <c r="C9468" t="inlineStr">
        <is>
          <t>and I'm going to tell you a little bit
about what happened with the Kosi.</t>
        </is>
      </c>
      <c r="D9468">
        <f>HYPERLINK("https://www.youtube.com/watch?v=1o9NEtA2IEQ&amp;t=116s", "Go to time")</f>
        <v/>
      </c>
    </row>
    <row r="9469">
      <c r="A9469">
        <f>HYPERLINK("https://www.youtube.com/watch?v=1o9NEtA2IEQ", "Video")</f>
        <v/>
      </c>
      <c r="B9469" t="inlineStr">
        <is>
          <t>6:52</t>
        </is>
      </c>
      <c r="C9469" t="inlineStr">
        <is>
          <t>sometimes bits of sand and clay
and rock get stuck in the ground.</t>
        </is>
      </c>
      <c r="D9469">
        <f>HYPERLINK("https://www.youtube.com/watch?v=1o9NEtA2IEQ&amp;t=412s", "Go to time")</f>
        <v/>
      </c>
    </row>
    <row r="9470">
      <c r="A9470">
        <f>HYPERLINK("https://www.youtube.com/watch?v=1o9NEtA2IEQ", "Video")</f>
        <v/>
      </c>
      <c r="B9470" t="inlineStr">
        <is>
          <t>7:35</t>
        </is>
      </c>
      <c r="C9470" t="inlineStr">
        <is>
          <t>So just a little bit of time here.</t>
        </is>
      </c>
      <c r="D9470">
        <f>HYPERLINK("https://www.youtube.com/watch?v=1o9NEtA2IEQ&amp;t=455s", "Go to time")</f>
        <v/>
      </c>
    </row>
    <row r="9471">
      <c r="A9471">
        <f>HYPERLINK("https://www.youtube.com/watch?v=DOa5ijO5Ba4", "Video")</f>
        <v/>
      </c>
      <c r="B9471" t="inlineStr">
        <is>
          <t>16:43</t>
        </is>
      </c>
      <c r="C9471" t="inlineStr">
        <is>
          <t>Maybe we could talk a little bit
about how you've been working with them</t>
        </is>
      </c>
      <c r="D9471">
        <f>HYPERLINK("https://www.youtube.com/watch?v=DOa5ijO5Ba4&amp;t=1003s", "Go to time")</f>
        <v/>
      </c>
    </row>
    <row r="9472">
      <c r="A9472">
        <f>HYPERLINK("https://www.youtube.com/watch?v=DOa5ijO5Ba4", "Video")</f>
        <v/>
      </c>
      <c r="B9472" t="inlineStr">
        <is>
          <t>29:54</t>
        </is>
      </c>
      <c r="C9472" t="inlineStr">
        <is>
          <t>And that cost us quite a bit
of money to go and do that,</t>
        </is>
      </c>
      <c r="D9472">
        <f>HYPERLINK("https://www.youtube.com/watch?v=DOa5ijO5Ba4&amp;t=1794s", "Go to time")</f>
        <v/>
      </c>
    </row>
    <row r="9473">
      <c r="A9473">
        <f>HYPERLINK("https://www.youtube.com/watch?v=TYFH0D-jyqc", "Video")</f>
        <v/>
      </c>
      <c r="B9473" t="inlineStr">
        <is>
          <t>10:00</t>
        </is>
      </c>
      <c r="C9473" t="inlineStr">
        <is>
          <t>And we were a bit scared
because it was all a discovery,</t>
        </is>
      </c>
      <c r="D9473">
        <f>HYPERLINK("https://www.youtube.com/watch?v=TYFH0D-jyqc&amp;t=600s", "Go to time")</f>
        <v/>
      </c>
    </row>
    <row r="9474">
      <c r="A9474">
        <f>HYPERLINK("https://www.youtube.com/watch?v=YKK7KNiAD2k", "Video")</f>
        <v/>
      </c>
      <c r="B9474" t="inlineStr">
        <is>
          <t>1:00</t>
        </is>
      </c>
      <c r="C9474" t="inlineStr">
        <is>
          <t>hearing the cry of the world’s wildlife,
losing their habitats,</t>
        </is>
      </c>
      <c r="D9474">
        <f>HYPERLINK("https://www.youtube.com/watch?v=YKK7KNiAD2k&amp;t=60s", "Go to time")</f>
        <v/>
      </c>
    </row>
    <row r="9475">
      <c r="A9475">
        <f>HYPERLINK("https://www.youtube.com/watch?v=XXllBMHeKJE", "Video")</f>
        <v/>
      </c>
      <c r="B9475" t="inlineStr">
        <is>
          <t>2:12</t>
        </is>
      </c>
      <c r="C9475" t="inlineStr">
        <is>
          <t>to establish a lifesaving
habit of walking;</t>
        </is>
      </c>
      <c r="D9475">
        <f>HYPERLINK("https://www.youtube.com/watch?v=XXllBMHeKJE&amp;t=132s", "Go to time")</f>
        <v/>
      </c>
    </row>
    <row r="9476">
      <c r="A9476">
        <f>HYPERLINK("https://www.youtube.com/watch?v=XXllBMHeKJE", "Video")</f>
        <v/>
      </c>
      <c r="B9476" t="inlineStr">
        <is>
          <t>9:17</t>
        </is>
      </c>
      <c r="C9476" t="inlineStr">
        <is>
          <t>which, if you asked us,
is just a little bit of justice --</t>
        </is>
      </c>
      <c r="D9476">
        <f>HYPERLINK("https://www.youtube.com/watch?v=XXllBMHeKJE&amp;t=557s", "Go to time")</f>
        <v/>
      </c>
    </row>
    <row r="9477">
      <c r="A9477">
        <f>HYPERLINK("https://www.youtube.com/watch?v=JpytM780stk", "Video")</f>
        <v/>
      </c>
      <c r="B9477" t="inlineStr">
        <is>
          <t>1:23</t>
        </is>
      </c>
      <c r="C9477" t="inlineStr">
        <is>
          <t>is a little bit about how do we get
people over that anxiety</t>
        </is>
      </c>
      <c r="D9477">
        <f>HYPERLINK("https://www.youtube.com/watch?v=JpytM780stk&amp;t=83s", "Go to time")</f>
        <v/>
      </c>
    </row>
    <row r="9478">
      <c r="A9478">
        <f>HYPERLINK("https://www.youtube.com/watch?v=JpytM780stk", "Video")</f>
        <v/>
      </c>
      <c r="B9478" t="inlineStr">
        <is>
          <t>1:50</t>
        </is>
      </c>
      <c r="C9478" t="inlineStr">
        <is>
          <t>and their ambitions and also look after
their families and their legacies.</t>
        </is>
      </c>
      <c r="D9478">
        <f>HYPERLINK("https://www.youtube.com/watch?v=JpytM780stk&amp;t=110s", "Go to time")</f>
        <v/>
      </c>
    </row>
    <row r="9479">
      <c r="A9479">
        <f>HYPERLINK("https://www.youtube.com/watch?v=JpytM780stk", "Video")</f>
        <v/>
      </c>
      <c r="B9479" t="inlineStr">
        <is>
          <t>6:35</t>
        </is>
      </c>
      <c r="C9479" t="inlineStr">
        <is>
          <t>AS: So I want to scratch into a little bit</t>
        </is>
      </c>
      <c r="D9479">
        <f>HYPERLINK("https://www.youtube.com/watch?v=JpytM780stk&amp;t=395s", "Go to time")</f>
        <v/>
      </c>
    </row>
    <row r="9480">
      <c r="A9480">
        <f>HYPERLINK("https://www.youtube.com/watch?v=JpytM780stk", "Video")</f>
        <v/>
      </c>
      <c r="B9480" t="inlineStr">
        <is>
          <t>10:46</t>
        </is>
      </c>
      <c r="C9480" t="inlineStr">
        <is>
          <t>with a little bit of protection.</t>
        </is>
      </c>
      <c r="D9480">
        <f>HYPERLINK("https://www.youtube.com/watch?v=JpytM780stk&amp;t=646s", "Go to time")</f>
        <v/>
      </c>
    </row>
    <row r="9481">
      <c r="A9481">
        <f>HYPERLINK("https://www.youtube.com/watch?v=JpytM780stk", "Video")</f>
        <v/>
      </c>
      <c r="B9481" t="inlineStr">
        <is>
          <t>15:25</t>
        </is>
      </c>
      <c r="C9481" t="inlineStr">
        <is>
          <t>It's a little bit like singing together
in a sweaty chorus.</t>
        </is>
      </c>
      <c r="D9481">
        <f>HYPERLINK("https://www.youtube.com/watch?v=JpytM780stk&amp;t=925s", "Go to time")</f>
        <v/>
      </c>
    </row>
    <row r="9482">
      <c r="A9482">
        <f>HYPERLINK("https://www.youtube.com/watch?v=JpytM780stk", "Video")</f>
        <v/>
      </c>
      <c r="B9482" t="inlineStr">
        <is>
          <t>16:00</t>
        </is>
      </c>
      <c r="C9482" t="inlineStr">
        <is>
          <t>Can you talk a little bit about how
you see that through your work?</t>
        </is>
      </c>
      <c r="D9482">
        <f>HYPERLINK("https://www.youtube.com/watch?v=JpytM780stk&amp;t=960s", "Go to time")</f>
        <v/>
      </c>
    </row>
    <row r="9483">
      <c r="A9483">
        <f>HYPERLINK("https://www.youtube.com/watch?v=JpytM780stk", "Video")</f>
        <v/>
      </c>
      <c r="B9483" t="inlineStr">
        <is>
          <t>22:58</t>
        </is>
      </c>
      <c r="C9483" t="inlineStr">
        <is>
          <t>a little bit of insurance
to cover some of those things,</t>
        </is>
      </c>
      <c r="D9483">
        <f>HYPERLINK("https://www.youtube.com/watch?v=JpytM780stk&amp;t=1378s", "Go to time")</f>
        <v/>
      </c>
    </row>
    <row r="9484">
      <c r="A9484">
        <f>HYPERLINK("https://www.youtube.com/watch?v=JpytM780stk", "Video")</f>
        <v/>
      </c>
      <c r="B9484" t="inlineStr">
        <is>
          <t>26:18</t>
        </is>
      </c>
      <c r="C9484" t="inlineStr">
        <is>
          <t>Just put away a little bit.</t>
        </is>
      </c>
      <c r="D9484">
        <f>HYPERLINK("https://www.youtube.com/watch?v=JpytM780stk&amp;t=1578s", "Go to time")</f>
        <v/>
      </c>
    </row>
    <row r="9485">
      <c r="A9485">
        <f>HYPERLINK("https://www.youtube.com/watch?v=JpytM780stk", "Video")</f>
        <v/>
      </c>
      <c r="B9485" t="inlineStr">
        <is>
          <t>26:19</t>
        </is>
      </c>
      <c r="C9485" t="inlineStr">
        <is>
          <t>Make sure that you’re consistently
putting away a little bit,</t>
        </is>
      </c>
      <c r="D9485">
        <f>HYPERLINK("https://www.youtube.com/watch?v=JpytM780stk&amp;t=1579s", "Go to time")</f>
        <v/>
      </c>
    </row>
    <row r="9486">
      <c r="A9486">
        <f>HYPERLINK("https://www.youtube.com/watch?v=zFJH9zUK2mo", "Video")</f>
        <v/>
      </c>
      <c r="B9486" t="inlineStr">
        <is>
          <t>6:05</t>
        </is>
      </c>
      <c r="C9486" t="inlineStr">
        <is>
          <t>Unlike the coral reefs
that the cone snails inhabit,</t>
        </is>
      </c>
      <c r="D9486">
        <f>HYPERLINK("https://www.youtube.com/watch?v=zFJH9zUK2mo&amp;t=365s", "Go to time")</f>
        <v/>
      </c>
    </row>
    <row r="9487">
      <c r="A9487">
        <f>HYPERLINK("https://www.youtube.com/watch?v=r9lDDetKMi4", "Video")</f>
        <v/>
      </c>
      <c r="B9487" t="inlineStr">
        <is>
          <t>4:43</t>
        </is>
      </c>
      <c r="C9487" t="inlineStr">
        <is>
          <t>Through an ambitious new initiative
called Permafrost Pathways,</t>
        </is>
      </c>
      <c r="D9487">
        <f>HYPERLINK("https://www.youtube.com/watch?v=r9lDDetKMi4&amp;t=283s", "Go to time")</f>
        <v/>
      </c>
    </row>
    <row r="9488">
      <c r="A9488">
        <f>HYPERLINK("https://www.youtube.com/watch?v=r9lDDetKMi4", "Video")</f>
        <v/>
      </c>
      <c r="B9488" t="inlineStr">
        <is>
          <t>6:55</t>
        </is>
      </c>
      <c r="C9488" t="inlineStr">
        <is>
          <t>even with the most
ambitious climate action,</t>
        </is>
      </c>
      <c r="D9488">
        <f>HYPERLINK("https://www.youtube.com/watch?v=r9lDDetKMi4&amp;t=415s", "Go to time")</f>
        <v/>
      </c>
    </row>
    <row r="9489">
      <c r="A9489">
        <f>HYPERLINK("https://www.youtube.com/watch?v=xnQB9Y77PXE", "Video")</f>
        <v/>
      </c>
      <c r="B9489" t="inlineStr">
        <is>
          <t>5:43</t>
        </is>
      </c>
      <c r="C9489" t="inlineStr">
        <is>
          <t>And that takes more than an arbitrary
assignment of haptic cues to meanings.</t>
        </is>
      </c>
      <c r="D9489">
        <f>HYPERLINK("https://www.youtube.com/watch?v=xnQB9Y77PXE&amp;t=343s", "Go to time")</f>
        <v/>
      </c>
    </row>
    <row r="9490">
      <c r="A9490">
        <f>HYPERLINK("https://www.youtube.com/watch?v=zamvnyBB-SU", "Video")</f>
        <v/>
      </c>
      <c r="B9490" t="inlineStr">
        <is>
          <t>9:06</t>
        </is>
      </c>
      <c r="C9490" t="inlineStr">
        <is>
          <t>that only bite you in these hospitals.</t>
        </is>
      </c>
      <c r="D9490">
        <f>HYPERLINK("https://www.youtube.com/watch?v=zamvnyBB-SU&amp;t=546s", "Go to time")</f>
        <v/>
      </c>
    </row>
    <row r="9491">
      <c r="A9491">
        <f>HYPERLINK("https://www.youtube.com/watch?v=dKob6b8QzkU", "Video")</f>
        <v/>
      </c>
      <c r="B9491" t="inlineStr">
        <is>
          <t>1:20</t>
        </is>
      </c>
      <c r="C9491" t="inlineStr">
        <is>
          <t>so this trade seemed, shall I say,
a little bit nuts?</t>
        </is>
      </c>
      <c r="D9491">
        <f>HYPERLINK("https://www.youtube.com/watch?v=dKob6b8QzkU&amp;t=80s", "Go to time")</f>
        <v/>
      </c>
    </row>
    <row r="9492">
      <c r="A9492">
        <f>HYPERLINK("https://www.youtube.com/watch?v=dKob6b8QzkU", "Video")</f>
        <v/>
      </c>
      <c r="B9492" t="inlineStr">
        <is>
          <t>3:11</t>
        </is>
      </c>
      <c r="C9492" t="inlineStr">
        <is>
          <t>She gets her cucumber,
takes a bite and then --</t>
        </is>
      </c>
      <c r="D9492">
        <f>HYPERLINK("https://www.youtube.com/watch?v=dKob6b8QzkU&amp;t=191s", "Go to time")</f>
        <v/>
      </c>
    </row>
    <row r="9493">
      <c r="A9493">
        <f>HYPERLINK("https://www.youtube.com/watch?v=dKob6b8QzkU", "Video")</f>
        <v/>
      </c>
      <c r="B9493" t="inlineStr">
        <is>
          <t>3:35</t>
        </is>
      </c>
      <c r="C9493" t="inlineStr">
        <is>
          <t>she doesn't even take a bite</t>
        </is>
      </c>
      <c r="D9493">
        <f>HYPERLINK("https://www.youtube.com/watch?v=dKob6b8QzkU&amp;t=215s", "Go to time")</f>
        <v/>
      </c>
    </row>
    <row r="9494">
      <c r="A9494">
        <f>HYPERLINK("https://www.youtube.com/watch?v=D55ctBYF3AY", "Video")</f>
        <v/>
      </c>
      <c r="B9494" t="inlineStr">
        <is>
          <t>0:35</t>
        </is>
      </c>
      <c r="C9494" t="inlineStr">
        <is>
          <t>it feels like little bits of my time
kind of slip away from me,</t>
        </is>
      </c>
      <c r="D9494">
        <f>HYPERLINK("https://www.youtube.com/watch?v=D55ctBYF3AY&amp;t=35s", "Go to time")</f>
        <v/>
      </c>
    </row>
    <row r="9495">
      <c r="A9495">
        <f>HYPERLINK("https://www.youtube.com/watch?v=D55ctBYF3AY", "Video")</f>
        <v/>
      </c>
      <c r="B9495" t="inlineStr">
        <is>
          <t>0:46</t>
        </is>
      </c>
      <c r="C9495" t="inlineStr">
        <is>
          <t>it feels like little bits
of my time get slipped away</t>
        </is>
      </c>
      <c r="D9495">
        <f>HYPERLINK("https://www.youtube.com/watch?v=D55ctBYF3AY&amp;t=46s", "Go to time")</f>
        <v/>
      </c>
    </row>
    <row r="9496">
      <c r="A9496">
        <f>HYPERLINK("https://www.youtube.com/watch?v=D55ctBYF3AY", "Video")</f>
        <v/>
      </c>
      <c r="B9496" t="inlineStr">
        <is>
          <t>4:56</t>
        </is>
      </c>
      <c r="C9496" t="inlineStr">
        <is>
          <t>And her research also shows
that it actually trains bad habits.</t>
        </is>
      </c>
      <c r="D9496">
        <f>HYPERLINK("https://www.youtube.com/watch?v=D55ctBYF3AY&amp;t=296s", "Go to time")</f>
        <v/>
      </c>
    </row>
    <row r="9497">
      <c r="A9497">
        <f>HYPERLINK("https://www.youtube.com/watch?v=wMt0K-AbpCU", "Video")</f>
        <v/>
      </c>
      <c r="B9497" t="inlineStr">
        <is>
          <t>3:24</t>
        </is>
      </c>
      <c r="C9497" t="inlineStr">
        <is>
          <t>we learned to bite our tongues
and swallow our pride.</t>
        </is>
      </c>
      <c r="D9497">
        <f>HYPERLINK("https://www.youtube.com/watch?v=wMt0K-AbpCU&amp;t=204s", "Go to time")</f>
        <v/>
      </c>
    </row>
    <row r="9498">
      <c r="A9498">
        <f>HYPERLINK("https://www.youtube.com/watch?v=zfbigT9I0Qg", "Video")</f>
        <v/>
      </c>
      <c r="B9498" t="inlineStr">
        <is>
          <t>6:38</t>
        </is>
      </c>
      <c r="C9498" t="inlineStr">
        <is>
          <t>who are exhibiting
the absolute best of humanity,</t>
        </is>
      </c>
      <c r="D9498">
        <f>HYPERLINK("https://www.youtube.com/watch?v=zfbigT9I0Qg&amp;t=398s", "Go to time")</f>
        <v/>
      </c>
    </row>
    <row r="9499">
      <c r="A9499">
        <f>HYPERLINK("https://www.youtube.com/watch?v=g4xGbbDACDw", "Video")</f>
        <v/>
      </c>
      <c r="B9499" t="inlineStr">
        <is>
          <t>6:07</t>
        </is>
      </c>
      <c r="C9499" t="inlineStr">
        <is>
          <t>We break down every system
into bite-sized pieces, basically.</t>
        </is>
      </c>
      <c r="D9499">
        <f>HYPERLINK("https://www.youtube.com/watch?v=g4xGbbDACDw&amp;t=367s", "Go to time")</f>
        <v/>
      </c>
    </row>
    <row r="9500">
      <c r="A9500">
        <f>HYPERLINK("https://www.youtube.com/watch?v=g4xGbbDACDw", "Video")</f>
        <v/>
      </c>
      <c r="B9500" t="inlineStr">
        <is>
          <t>8:54</t>
        </is>
      </c>
      <c r="C9500" t="inlineStr">
        <is>
          <t>and you have to turn your spaceship
into an orbiting platform.</t>
        </is>
      </c>
      <c r="D9500">
        <f>HYPERLINK("https://www.youtube.com/watch?v=g4xGbbDACDw&amp;t=534s", "Go to time")</f>
        <v/>
      </c>
    </row>
    <row r="9501">
      <c r="A9501">
        <f>HYPERLINK("https://www.youtube.com/watch?v=shgYbdOVgpY", "Video")</f>
        <v/>
      </c>
      <c r="B9501" t="inlineStr">
        <is>
          <t>6:01</t>
        </is>
      </c>
      <c r="C9501" t="inlineStr">
        <is>
          <t>where they could suspend disbelief
enough about their own ambition.</t>
        </is>
      </c>
      <c r="D9501">
        <f>HYPERLINK("https://www.youtube.com/watch?v=shgYbdOVgpY&amp;t=361s", "Go to time")</f>
        <v/>
      </c>
    </row>
    <row r="9502">
      <c r="A9502">
        <f>HYPERLINK("https://www.youtube.com/watch?v=QIr_eNVtJ58", "Video")</f>
        <v/>
      </c>
      <c r="B9502" t="inlineStr">
        <is>
          <t>0:17</t>
        </is>
      </c>
      <c r="C9502" t="inlineStr">
        <is>
          <t>Can you share a little bit more
how this project came to be?</t>
        </is>
      </c>
      <c r="D9502">
        <f>HYPERLINK("https://www.youtube.com/watch?v=QIr_eNVtJ58&amp;t=17s", "Go to time")</f>
        <v/>
      </c>
    </row>
    <row r="9503">
      <c r="A9503">
        <f>HYPERLINK("https://www.youtube.com/watch?v=QIr_eNVtJ58", "Video")</f>
        <v/>
      </c>
      <c r="B9503" t="inlineStr">
        <is>
          <t>18:19</t>
        </is>
      </c>
      <c r="C9503" t="inlineStr">
        <is>
          <t>Can you share first, a little bit more
about the title of the book,</t>
        </is>
      </c>
      <c r="D9503">
        <f>HYPERLINK("https://www.youtube.com/watch?v=QIr_eNVtJ58&amp;t=1099s", "Go to time")</f>
        <v/>
      </c>
    </row>
    <row r="9504">
      <c r="A9504">
        <f>HYPERLINK("https://www.youtube.com/watch?v=QIr_eNVtJ58", "Video")</f>
        <v/>
      </c>
      <c r="B9504" t="inlineStr">
        <is>
          <t>37:24</t>
        </is>
      </c>
      <c r="C9504" t="inlineStr">
        <is>
          <t>Any time I come up with some big,
ambitious creative project,</t>
        </is>
      </c>
      <c r="D9504">
        <f>HYPERLINK("https://www.youtube.com/watch?v=QIr_eNVtJ58&amp;t=2244s", "Go to time")</f>
        <v/>
      </c>
    </row>
    <row r="9505">
      <c r="A9505">
        <f>HYPERLINK("https://www.youtube.com/watch?v=hfznpykprP0", "Video")</f>
        <v/>
      </c>
      <c r="B9505" t="inlineStr">
        <is>
          <t>9:40</t>
        </is>
      </c>
      <c r="C9505" t="inlineStr">
        <is>
          <t>For centuries, traders have been drawn
to that bit of the coast</t>
        </is>
      </c>
      <c r="D9505">
        <f>HYPERLINK("https://www.youtube.com/watch?v=hfznpykprP0&amp;t=580s", "Go to time")</f>
        <v/>
      </c>
    </row>
    <row r="9506">
      <c r="A9506">
        <f>HYPERLINK("https://www.youtube.com/watch?v=hfznpykprP0", "Video")</f>
        <v/>
      </c>
      <c r="B9506" t="inlineStr">
        <is>
          <t>13:13</t>
        </is>
      </c>
      <c r="C9506" t="inlineStr">
        <is>
          <t>He was every bit as ambitious
as his predecessors,</t>
        </is>
      </c>
      <c r="D9506">
        <f>HYPERLINK("https://www.youtube.com/watch?v=hfznpykprP0&amp;t=793s", "Go to time")</f>
        <v/>
      </c>
    </row>
    <row r="9507">
      <c r="A9507">
        <f>HYPERLINK("https://www.youtube.com/watch?v=hfznpykprP0", "Video")</f>
        <v/>
      </c>
      <c r="B9507" t="inlineStr">
        <is>
          <t>16:48</t>
        </is>
      </c>
      <c r="C9507" t="inlineStr">
        <is>
          <t>ambitious, outwardly focused,
confident continent.</t>
        </is>
      </c>
      <c r="D9507">
        <f>HYPERLINK("https://www.youtube.com/watch?v=hfznpykprP0&amp;t=1008s", "Go to time")</f>
        <v/>
      </c>
    </row>
    <row r="9508">
      <c r="A9508">
        <f>HYPERLINK("https://www.youtube.com/watch?v=RUYmYE7ZJ_E", "Video")</f>
        <v/>
      </c>
      <c r="B9508" t="inlineStr">
        <is>
          <t>0:46</t>
        </is>
      </c>
      <c r="C9508" t="inlineStr">
        <is>
          <t>They can be a bit too loud,</t>
        </is>
      </c>
      <c r="D9508">
        <f>HYPERLINK("https://www.youtube.com/watch?v=RUYmYE7ZJ_E&amp;t=46s", "Go to time")</f>
        <v/>
      </c>
    </row>
    <row r="9509">
      <c r="A9509">
        <f>HYPERLINK("https://www.youtube.com/watch?v=RUYmYE7ZJ_E", "Video")</f>
        <v/>
      </c>
      <c r="B9509" t="inlineStr">
        <is>
          <t>4:53</t>
        </is>
      </c>
      <c r="C9509" t="inlineStr">
        <is>
          <t>let's understand travel habits.</t>
        </is>
      </c>
      <c r="D9509">
        <f>HYPERLINK("https://www.youtube.com/watch?v=RUYmYE7ZJ_E&amp;t=293s", "Go to time")</f>
        <v/>
      </c>
    </row>
    <row r="9510">
      <c r="A9510">
        <f>HYPERLINK("https://www.youtube.com/watch?v=2XkZhn5Ypzo", "Video")</f>
        <v/>
      </c>
      <c r="B9510" t="inlineStr">
        <is>
          <t>8:29</t>
        </is>
      </c>
      <c r="C9510" t="inlineStr">
        <is>
          <t>They call these “combites”.</t>
        </is>
      </c>
      <c r="D9510">
        <f>HYPERLINK("https://www.youtube.com/watch?v=2XkZhn5Ypzo&amp;t=509s", "Go to time")</f>
        <v/>
      </c>
    </row>
    <row r="9511">
      <c r="A9511">
        <f>HYPERLINK("https://www.youtube.com/watch?v=OIcQOfN1qak", "Video")</f>
        <v/>
      </c>
      <c r="B9511" t="inlineStr">
        <is>
          <t>5:26</t>
        </is>
      </c>
      <c r="C9511" t="inlineStr">
        <is>
          <t>They tell us a little bit
about how the brain is processing</t>
        </is>
      </c>
      <c r="D9511">
        <f>HYPERLINK("https://www.youtube.com/watch?v=OIcQOfN1qak&amp;t=326s", "Go to time")</f>
        <v/>
      </c>
    </row>
    <row r="9512">
      <c r="A9512">
        <f>HYPERLINK("https://www.youtube.com/watch?v=OIcQOfN1qak", "Video")</f>
        <v/>
      </c>
      <c r="B9512" t="inlineStr">
        <is>
          <t>6:03</t>
        </is>
      </c>
      <c r="C9512" t="inlineStr">
        <is>
          <t>The scratch pad tells us a little bit</t>
        </is>
      </c>
      <c r="D9512">
        <f>HYPERLINK("https://www.youtube.com/watch?v=OIcQOfN1qak&amp;t=363s", "Go to time")</f>
        <v/>
      </c>
    </row>
    <row r="9513">
      <c r="A9513">
        <f>HYPERLINK("https://www.youtube.com/watch?v=5w5BhwLzoqg", "Video")</f>
        <v/>
      </c>
      <c r="B9513" t="inlineStr">
        <is>
          <t>3:01</t>
        </is>
      </c>
      <c r="C9513" t="inlineStr">
        <is>
          <t>who have managed to live
in virtually all habitats of this earth,</t>
        </is>
      </c>
      <c r="D9513">
        <f>HYPERLINK("https://www.youtube.com/watch?v=5w5BhwLzoqg&amp;t=181s", "Go to time")</f>
        <v/>
      </c>
    </row>
    <row r="9514">
      <c r="A9514">
        <f>HYPERLINK("https://www.youtube.com/watch?v=5w5BhwLzoqg", "Video")</f>
        <v/>
      </c>
      <c r="B9514" t="inlineStr">
        <is>
          <t>5:50</t>
        </is>
      </c>
      <c r="C9514" t="inlineStr">
        <is>
          <t>is habitat loss</t>
        </is>
      </c>
      <c r="D9514">
        <f>HYPERLINK("https://www.youtube.com/watch?v=5w5BhwLzoqg&amp;t=350s", "Go to time")</f>
        <v/>
      </c>
    </row>
    <row r="9515">
      <c r="A9515">
        <f>HYPERLINK("https://www.youtube.com/watch?v=5w5BhwLzoqg", "Video")</f>
        <v/>
      </c>
      <c r="B9515" t="inlineStr">
        <is>
          <t>6:31</t>
        </is>
      </c>
      <c r="C9515" t="inlineStr">
        <is>
          <t>is no longer habitable.</t>
        </is>
      </c>
      <c r="D9515">
        <f>HYPERLINK("https://www.youtube.com/watch?v=5w5BhwLzoqg&amp;t=391s", "Go to time")</f>
        <v/>
      </c>
    </row>
    <row r="9516">
      <c r="A9516">
        <f>HYPERLINK("https://www.youtube.com/watch?v=5w5BhwLzoqg", "Video")</f>
        <v/>
      </c>
      <c r="B9516" t="inlineStr">
        <is>
          <t>9:33</t>
        </is>
      </c>
      <c r="C9516" t="inlineStr">
        <is>
          <t>to those habitats that matter the most.</t>
        </is>
      </c>
      <c r="D9516">
        <f>HYPERLINK("https://www.youtube.com/watch?v=5w5BhwLzoqg&amp;t=573s", "Go to time")</f>
        <v/>
      </c>
    </row>
    <row r="9517">
      <c r="A9517">
        <f>HYPERLINK("https://www.youtube.com/watch?v=F5h6ynoq8uM", "Video")</f>
        <v/>
      </c>
      <c r="B9517" t="inlineStr">
        <is>
          <t>1:01</t>
        </is>
      </c>
      <c r="C9517" t="inlineStr">
        <is>
          <t>We are heading for an uninhabitable earth:</t>
        </is>
      </c>
      <c r="D9517">
        <f>HYPERLINK("https://www.youtube.com/watch?v=F5h6ynoq8uM&amp;t=61s", "Go to time")</f>
        <v/>
      </c>
    </row>
    <row r="9518">
      <c r="A9518">
        <f>HYPERLINK("https://www.youtube.com/watch?v=F5h6ynoq8uM", "Video")</f>
        <v/>
      </c>
      <c r="B9518" t="inlineStr">
        <is>
          <t>3:46</t>
        </is>
      </c>
      <c r="C9518" t="inlineStr">
        <is>
          <t>but people habituate to and then --</t>
        </is>
      </c>
      <c r="D9518">
        <f>HYPERLINK("https://www.youtube.com/watch?v=F5h6ynoq8uM&amp;t=226s", "Go to time")</f>
        <v/>
      </c>
    </row>
    <row r="9519">
      <c r="A9519">
        <f>HYPERLINK("https://www.youtube.com/watch?v=4q1_iQkppSs", "Video")</f>
        <v/>
      </c>
      <c r="B9519" t="inlineStr">
        <is>
          <t>1:01</t>
        </is>
      </c>
      <c r="C9519" t="inlineStr">
        <is>
          <t>But for a little bit of background,</t>
        </is>
      </c>
      <c r="D9519">
        <f>HYPERLINK("https://www.youtube.com/watch?v=4q1_iQkppSs&amp;t=61s", "Go to time")</f>
        <v/>
      </c>
    </row>
    <row r="9520">
      <c r="A9520">
        <f>HYPERLINK("https://www.youtube.com/watch?v=4q1_iQkppSs", "Video")</f>
        <v/>
      </c>
      <c r="B9520" t="inlineStr">
        <is>
          <t>7:03</t>
        </is>
      </c>
      <c r="C9520" t="inlineStr">
        <is>
          <t>it becomes a little bit more natural
the older that you get.</t>
        </is>
      </c>
      <c r="D9520">
        <f>HYPERLINK("https://www.youtube.com/watch?v=4q1_iQkppSs&amp;t=423s", "Go to time")</f>
        <v/>
      </c>
    </row>
    <row r="9521">
      <c r="A9521">
        <f>HYPERLINK("https://www.youtube.com/watch?v=iB4MS1hsWXU", "Video")</f>
        <v/>
      </c>
      <c r="B9521" t="inlineStr">
        <is>
          <t>1:30</t>
        </is>
      </c>
      <c r="C9521" t="inlineStr">
        <is>
          <t>I've had a fair bit of career success,</t>
        </is>
      </c>
      <c r="D9521">
        <f>HYPERLINK("https://www.youtube.com/watch?v=iB4MS1hsWXU&amp;t=90s", "Go to time")</f>
        <v/>
      </c>
    </row>
    <row r="9522">
      <c r="A9522">
        <f>HYPERLINK("https://www.youtube.com/watch?v=-FOCpMAww28", "Video")</f>
        <v/>
      </c>
      <c r="B9522" t="inlineStr">
        <is>
          <t>1:41</t>
        </is>
      </c>
      <c r="C9522" t="inlineStr">
        <is>
          <t>They're literally beginning to exhibit
the same brain-wave patterns.</t>
        </is>
      </c>
      <c r="D9522">
        <f>HYPERLINK("https://www.youtube.com/watch?v=-FOCpMAww28&amp;t=101s", "Go to time")</f>
        <v/>
      </c>
    </row>
    <row r="9523">
      <c r="A9523">
        <f>HYPERLINK("https://www.youtube.com/watch?v=-FOCpMAww28", "Video")</f>
        <v/>
      </c>
      <c r="B9523" t="inlineStr">
        <is>
          <t>3:54</t>
        </is>
      </c>
      <c r="C9523" t="inlineStr">
        <is>
          <t>you'll react a little bit differently.</t>
        </is>
      </c>
      <c r="D9523">
        <f>HYPERLINK("https://www.youtube.com/watch?v=-FOCpMAww28&amp;t=234s", "Go to time")</f>
        <v/>
      </c>
    </row>
    <row r="9524">
      <c r="A9524">
        <f>HYPERLINK("https://www.youtube.com/watch?v=8atXMqZ_w0M", "Video")</f>
        <v/>
      </c>
      <c r="B9524" t="inlineStr">
        <is>
          <t>1:25</t>
        </is>
      </c>
      <c r="C9524" t="inlineStr">
        <is>
          <t>And I just want to start
by asking you to talk a little bit</t>
        </is>
      </c>
      <c r="D9524">
        <f>HYPERLINK("https://www.youtube.com/watch?v=8atXMqZ_w0M&amp;t=85s", "Go to time")</f>
        <v/>
      </c>
    </row>
    <row r="9525">
      <c r="A9525">
        <f>HYPERLINK("https://www.youtube.com/watch?v=Tmk7nAvpMXQ", "Video")</f>
        <v/>
      </c>
      <c r="B9525" t="inlineStr">
        <is>
          <t>0:54</t>
        </is>
      </c>
      <c r="C9525" t="inlineStr">
        <is>
          <t>and buy us a little bit more time
to get our act together,</t>
        </is>
      </c>
      <c r="D9525">
        <f>HYPERLINK("https://www.youtube.com/watch?v=Tmk7nAvpMXQ&amp;t=54s", "Go to time")</f>
        <v/>
      </c>
    </row>
    <row r="9526">
      <c r="A9526">
        <f>HYPERLINK("https://www.youtube.com/watch?v=Tmk7nAvpMXQ", "Video")</f>
        <v/>
      </c>
      <c r="B9526" t="inlineStr">
        <is>
          <t>7:04</t>
        </is>
      </c>
      <c r="C9526" t="inlineStr">
        <is>
          <t>That sunshade -- it's a little
bit more powerful.</t>
        </is>
      </c>
      <c r="D9526">
        <f>HYPERLINK("https://www.youtube.com/watch?v=Tmk7nAvpMXQ&amp;t=424s", "Go to time")</f>
        <v/>
      </c>
    </row>
    <row r="9527">
      <c r="A9527">
        <f>HYPERLINK("https://www.youtube.com/watch?v=Tmk7nAvpMXQ", "Video")</f>
        <v/>
      </c>
      <c r="B9527" t="inlineStr">
        <is>
          <t>9:37</t>
        </is>
      </c>
      <c r="C9527" t="inlineStr">
        <is>
          <t>with different viewing angles and orbits</t>
        </is>
      </c>
      <c r="D9527">
        <f>HYPERLINK("https://www.youtube.com/watch?v=Tmk7nAvpMXQ&amp;t=577s", "Go to time")</f>
        <v/>
      </c>
    </row>
    <row r="9528">
      <c r="A9528">
        <f>HYPERLINK("https://www.youtube.com/watch?v=DUg9GvRHQk0", "Video")</f>
        <v/>
      </c>
      <c r="B9528" t="inlineStr">
        <is>
          <t>6:09</t>
        </is>
      </c>
      <c r="C9528" t="inlineStr">
        <is>
          <t>to screening millions
of candidate activators and inhibitors,</t>
        </is>
      </c>
      <c r="D9528">
        <f>HYPERLINK("https://www.youtube.com/watch?v=DUg9GvRHQk0&amp;t=369s", "Go to time")</f>
        <v/>
      </c>
    </row>
    <row r="9529">
      <c r="A9529">
        <f>HYPERLINK("https://www.youtube.com/watch?v=DUg9GvRHQk0", "Video")</f>
        <v/>
      </c>
      <c r="B9529" t="inlineStr">
        <is>
          <t>10:08</t>
        </is>
      </c>
      <c r="C9529" t="inlineStr">
        <is>
          <t>the qubit,</t>
        </is>
      </c>
      <c r="D9529">
        <f>HYPERLINK("https://www.youtube.com/watch?v=DUg9GvRHQk0&amp;t=608s", "Go to time")</f>
        <v/>
      </c>
    </row>
    <row r="9530">
      <c r="A9530">
        <f>HYPERLINK("https://www.youtube.com/watch?v=DUg9GvRHQk0", "Video")</f>
        <v/>
      </c>
      <c r="B9530" t="inlineStr">
        <is>
          <t>10:15</t>
        </is>
      </c>
      <c r="C9530" t="inlineStr">
        <is>
          <t>Now IBM has nearly 500 qubits
across 29 machines,</t>
        </is>
      </c>
      <c r="D9530">
        <f>HYPERLINK("https://www.youtube.com/watch?v=DUg9GvRHQk0&amp;t=615s", "Go to time")</f>
        <v/>
      </c>
    </row>
    <row r="9531">
      <c r="A9531">
        <f>HYPERLINK("https://www.youtube.com/watch?v=PUW89NpDYJw", "Video")</f>
        <v/>
      </c>
      <c r="B9531" t="inlineStr">
        <is>
          <t>0:42</t>
        </is>
      </c>
      <c r="C9531" t="inlineStr">
        <is>
          <t>and one that I want to talk to you
a little bit about.</t>
        </is>
      </c>
      <c r="D9531">
        <f>HYPERLINK("https://www.youtube.com/watch?v=PUW89NpDYJw&amp;t=42s", "Go to time")</f>
        <v/>
      </c>
    </row>
    <row r="9532">
      <c r="A9532">
        <f>HYPERLINK("https://www.youtube.com/watch?v=PUW89NpDYJw", "Video")</f>
        <v/>
      </c>
      <c r="B9532" t="inlineStr">
        <is>
          <t>1:24</t>
        </is>
      </c>
      <c r="C9532" t="inlineStr">
        <is>
          <t>Typography is the study
of how fonts inhabit our world,</t>
        </is>
      </c>
      <c r="D9532">
        <f>HYPERLINK("https://www.youtube.com/watch?v=PUW89NpDYJw&amp;t=84s", "Go to time")</f>
        <v/>
      </c>
    </row>
    <row r="9533">
      <c r="A9533">
        <f>HYPERLINK("https://www.youtube.com/watch?v=PUW89NpDYJw", "Video")</f>
        <v/>
      </c>
      <c r="B9533" t="inlineStr">
        <is>
          <t>4:04</t>
        </is>
      </c>
      <c r="C9533" t="inlineStr">
        <is>
          <t>in which you can see the A
where it get little bit thinner at the top</t>
        </is>
      </c>
      <c r="D9533">
        <f>HYPERLINK("https://www.youtube.com/watch?v=PUW89NpDYJw&amp;t=244s", "Go to time")</f>
        <v/>
      </c>
    </row>
    <row r="9534">
      <c r="A9534">
        <f>HYPERLINK("https://www.youtube.com/watch?v=PUW89NpDYJw", "Video")</f>
        <v/>
      </c>
      <c r="B9534" t="inlineStr">
        <is>
          <t>6:20</t>
        </is>
      </c>
      <c r="C9534" t="inlineStr">
        <is>
          <t>There's still a little bit
of ornamentation,</t>
        </is>
      </c>
      <c r="D9534">
        <f>HYPERLINK("https://www.youtube.com/watch?v=PUW89NpDYJw&amp;t=380s", "Go to time")</f>
        <v/>
      </c>
    </row>
    <row r="9535">
      <c r="A9535">
        <f>HYPERLINK("https://www.youtube.com/watch?v=PUW89NpDYJw", "Video")</f>
        <v/>
      </c>
      <c r="B9535" t="inlineStr">
        <is>
          <t>10:23</t>
        </is>
      </c>
      <c r="C9535" t="inlineStr">
        <is>
          <t>such as John Glenn orbiting the earth,</t>
        </is>
      </c>
      <c r="D9535">
        <f>HYPERLINK("https://www.youtube.com/watch?v=PUW89NpDYJw&amp;t=623s", "Go to time")</f>
        <v/>
      </c>
    </row>
    <row r="9536">
      <c r="A9536">
        <f>HYPERLINK("https://www.youtube.com/watch?v=k3cCNC7pqdo", "Video")</f>
        <v/>
      </c>
      <c r="B9536" t="inlineStr">
        <is>
          <t>6:06</t>
        </is>
      </c>
      <c r="C9536" t="inlineStr">
        <is>
          <t>it'll always lose a little bit
of energy through friction.</t>
        </is>
      </c>
      <c r="D9536">
        <f>HYPERLINK("https://www.youtube.com/watch?v=k3cCNC7pqdo&amp;t=366s", "Go to time")</f>
        <v/>
      </c>
    </row>
    <row r="9537">
      <c r="A9537">
        <f>HYPERLINK("https://www.youtube.com/watch?v=k3cCNC7pqdo", "Video")</f>
        <v/>
      </c>
      <c r="B9537" t="inlineStr">
        <is>
          <t>10:18</t>
        </is>
      </c>
      <c r="C9537" t="inlineStr">
        <is>
          <t>I do talk a little bit
about the multiverse</t>
        </is>
      </c>
      <c r="D9537">
        <f>HYPERLINK("https://www.youtube.com/watch?v=k3cCNC7pqdo&amp;t=618s", "Go to time")</f>
        <v/>
      </c>
    </row>
    <row r="9538">
      <c r="A9538">
        <f>HYPERLINK("https://www.youtube.com/watch?v=k3cCNC7pqdo", "Video")</f>
        <v/>
      </c>
      <c r="B9538" t="inlineStr">
        <is>
          <t>10:41</t>
        </is>
      </c>
      <c r="C9538" t="inlineStr">
        <is>
          <t>LJO: So I want to switch
gears a little bit,</t>
        </is>
      </c>
      <c r="D9538">
        <f>HYPERLINK("https://www.youtube.com/watch?v=k3cCNC7pqdo&amp;t=641s", "Go to time")</f>
        <v/>
      </c>
    </row>
    <row r="9539">
      <c r="A9539">
        <f>HYPERLINK("https://www.youtube.com/watch?v=k3cCNC7pqdo", "Video")</f>
        <v/>
      </c>
      <c r="B9539" t="inlineStr">
        <is>
          <t>14:34</t>
        </is>
      </c>
      <c r="C9539" t="inlineStr">
        <is>
          <t>So, yeah, this is the last bit.</t>
        </is>
      </c>
      <c r="D9539">
        <f>HYPERLINK("https://www.youtube.com/watch?v=k3cCNC7pqdo&amp;t=874s", "Go to time")</f>
        <v/>
      </c>
    </row>
    <row r="9540">
      <c r="A9540">
        <f>HYPERLINK("https://www.youtube.com/watch?v=GpxV10eD538", "Video")</f>
        <v/>
      </c>
      <c r="B9540" t="inlineStr">
        <is>
          <t>6:37</t>
        </is>
      </c>
      <c r="C9540" t="inlineStr">
        <is>
          <t>you can your bit, too.</t>
        </is>
      </c>
      <c r="D9540">
        <f>HYPERLINK("https://www.youtube.com/watch?v=GpxV10eD538&amp;t=397s", "Go to time")</f>
        <v/>
      </c>
    </row>
    <row r="9541">
      <c r="A9541">
        <f>HYPERLINK("https://www.youtube.com/watch?v=j9f4kv2sJCk", "Video")</f>
        <v/>
      </c>
      <c r="B9541" t="inlineStr">
        <is>
          <t>3:19</t>
        </is>
      </c>
      <c r="C9541" t="inlineStr">
        <is>
          <t>And people who are Quechua
speak Spanish a little bit differently</t>
        </is>
      </c>
      <c r="D9541">
        <f>HYPERLINK("https://www.youtube.com/watch?v=j9f4kv2sJCk&amp;t=199s", "Go to time")</f>
        <v/>
      </c>
    </row>
    <row r="9542">
      <c r="A9542">
        <f>HYPERLINK("https://www.youtube.com/watch?v=j9f4kv2sJCk", "Video")</f>
        <v/>
      </c>
      <c r="B9542" t="inlineStr">
        <is>
          <t>3:24</t>
        </is>
      </c>
      <c r="C9542" t="inlineStr">
        <is>
          <t>In particular, there are some sounds
that sound a little bit more alike</t>
        </is>
      </c>
      <c r="D9542">
        <f>HYPERLINK("https://www.youtube.com/watch?v=j9f4kv2sJCk&amp;t=204s", "Go to time")</f>
        <v/>
      </c>
    </row>
    <row r="9543">
      <c r="A9543">
        <f>HYPERLINK("https://www.youtube.com/watch?v=j9f4kv2sJCk", "Video")</f>
        <v/>
      </c>
      <c r="B9543" t="inlineStr">
        <is>
          <t>4:22</t>
        </is>
      </c>
      <c r="C9543" t="inlineStr">
        <is>
          <t>What you see here in the top line
is a little bit of an arch.</t>
        </is>
      </c>
      <c r="D9543">
        <f>HYPERLINK("https://www.youtube.com/watch?v=j9f4kv2sJCk&amp;t=262s", "Go to time")</f>
        <v/>
      </c>
    </row>
    <row r="9544">
      <c r="A9544">
        <f>HYPERLINK("https://www.youtube.com/watch?v=j9f4kv2sJCk", "Video")</f>
        <v/>
      </c>
      <c r="B9544" t="inlineStr">
        <is>
          <t>4:34</t>
        </is>
      </c>
      <c r="C9544" t="inlineStr">
        <is>
          <t>What you see on the bottom
is a little bit more of a flat line,</t>
        </is>
      </c>
      <c r="D9544">
        <f>HYPERLINK("https://www.youtube.com/watch?v=j9f4kv2sJCk&amp;t=274s", "Go to time")</f>
        <v/>
      </c>
    </row>
    <row r="9545">
      <c r="A9545">
        <f>HYPERLINK("https://www.youtube.com/watch?v=snUI2AML9NQ", "Video")</f>
        <v/>
      </c>
      <c r="B9545" t="inlineStr">
        <is>
          <t>0:48</t>
        </is>
      </c>
      <c r="C9545" t="inlineStr">
        <is>
          <t>Each bite-sized, seven-minute
episode offers a slice of life,</t>
        </is>
      </c>
      <c r="D9545">
        <f>HYPERLINK("https://www.youtube.com/watch?v=snUI2AML9NQ&amp;t=48s", "Go to time")</f>
        <v/>
      </c>
    </row>
    <row r="9546">
      <c r="A9546">
        <f>HYPERLINK("https://www.youtube.com/watch?v=coHWLitlm-U", "Video")</f>
        <v/>
      </c>
      <c r="B9546" t="inlineStr">
        <is>
          <t>1:00</t>
        </is>
      </c>
      <c r="C9546" t="inlineStr">
        <is>
          <t>and educate them
a bit more about the issue.</t>
        </is>
      </c>
      <c r="D9546">
        <f>HYPERLINK("https://www.youtube.com/watch?v=coHWLitlm-U&amp;t=60s", "Go to time")</f>
        <v/>
      </c>
    </row>
    <row r="9547">
      <c r="A9547">
        <f>HYPERLINK("https://www.youtube.com/watch?v=coHWLitlm-U", "Video")</f>
        <v/>
      </c>
      <c r="B9547" t="inlineStr">
        <is>
          <t>3:56</t>
        </is>
      </c>
      <c r="C9547" t="inlineStr">
        <is>
          <t>And I'm a bit of a geek,
so I look at all of that stuff,</t>
        </is>
      </c>
      <c r="D9547">
        <f>HYPERLINK("https://www.youtube.com/watch?v=coHWLitlm-U&amp;t=236s", "Go to time")</f>
        <v/>
      </c>
    </row>
    <row r="9548">
      <c r="A9548">
        <f>HYPERLINK("https://www.youtube.com/watch?v=coHWLitlm-U", "Video")</f>
        <v/>
      </c>
      <c r="B9548" t="inlineStr">
        <is>
          <t>10:43</t>
        </is>
      </c>
      <c r="C9548" t="inlineStr">
        <is>
          <t>And that's a bit embarrassing,</t>
        </is>
      </c>
      <c r="D9548">
        <f>HYPERLINK("https://www.youtube.com/watch?v=coHWLitlm-U&amp;t=643s", "Go to time")</f>
        <v/>
      </c>
    </row>
    <row r="9549">
      <c r="A9549">
        <f>HYPERLINK("https://www.youtube.com/watch?v=coHWLitlm-U", "Video")</f>
        <v/>
      </c>
      <c r="B9549" t="inlineStr">
        <is>
          <t>11:09</t>
        </is>
      </c>
      <c r="C9549" t="inlineStr">
        <is>
          <t>is make small bits
of provocative street art</t>
        </is>
      </c>
      <c r="D9549">
        <f>HYPERLINK("https://www.youtube.com/watch?v=coHWLitlm-U&amp;t=669s", "Go to time")</f>
        <v/>
      </c>
    </row>
    <row r="9550">
      <c r="A9550">
        <f>HYPERLINK("https://www.youtube.com/watch?v=lY7e3CDPY4g", "Video")</f>
        <v/>
      </c>
      <c r="B9550" t="inlineStr">
        <is>
          <t>2:31</t>
        </is>
      </c>
      <c r="C9550" t="inlineStr">
        <is>
          <t>me out a little bit I don't know if it</t>
        </is>
      </c>
      <c r="D9550">
        <f>HYPERLINK("https://www.youtube.com/watch?v=lY7e3CDPY4g&amp;t=151s", "Go to time")</f>
        <v/>
      </c>
    </row>
    <row r="9551">
      <c r="A9551">
        <f>HYPERLINK("https://www.youtube.com/watch?v=lY7e3CDPY4g", "Video")</f>
        <v/>
      </c>
      <c r="B9551" t="inlineStr">
        <is>
          <t>12:08</t>
        </is>
      </c>
      <c r="C9551" t="inlineStr">
        <is>
          <t>little bit of trust too that the machine</t>
        </is>
      </c>
      <c r="D9551">
        <f>HYPERLINK("https://www.youtube.com/watch?v=lY7e3CDPY4g&amp;t=728s", "Go to time")</f>
        <v/>
      </c>
    </row>
    <row r="9552">
      <c r="A9552">
        <f>HYPERLINK("https://www.youtube.com/watch?v=lY7e3CDPY4g", "Video")</f>
        <v/>
      </c>
      <c r="B9552" t="inlineStr">
        <is>
          <t>15:52</t>
        </is>
      </c>
      <c r="C9552" t="inlineStr">
        <is>
          <t>bit what you said I think it would be</t>
        </is>
      </c>
      <c r="D9552">
        <f>HYPERLINK("https://www.youtube.com/watch?v=lY7e3CDPY4g&amp;t=952s", "Go to time")</f>
        <v/>
      </c>
    </row>
    <row r="9553">
      <c r="A9553">
        <f>HYPERLINK("https://www.youtube.com/watch?v=lY7e3CDPY4g", "Video")</f>
        <v/>
      </c>
      <c r="B9553" t="inlineStr">
        <is>
          <t>16:25</t>
        </is>
      </c>
      <c r="C9553" t="inlineStr">
        <is>
          <t>to challenge this a little bit because I</t>
        </is>
      </c>
      <c r="D9553">
        <f>HYPERLINK("https://www.youtube.com/watch?v=lY7e3CDPY4g&amp;t=985s", "Go to time")</f>
        <v/>
      </c>
    </row>
    <row r="9554">
      <c r="A9554">
        <f>HYPERLINK("https://www.youtube.com/watch?v=lY7e3CDPY4g", "Video")</f>
        <v/>
      </c>
      <c r="B9554" t="inlineStr">
        <is>
          <t>17:43</t>
        </is>
      </c>
      <c r="C9554" t="inlineStr">
        <is>
          <t>it could look a little bit like it's</t>
        </is>
      </c>
      <c r="D9554">
        <f>HYPERLINK("https://www.youtube.com/watch?v=lY7e3CDPY4g&amp;t=1063s", "Go to time")</f>
        <v/>
      </c>
    </row>
    <row r="9555">
      <c r="A9555">
        <f>HYPERLINK("https://www.youtube.com/watch?v=lY7e3CDPY4g", "Video")</f>
        <v/>
      </c>
      <c r="B9555" t="inlineStr">
        <is>
          <t>25:11</t>
        </is>
      </c>
      <c r="C9555" t="inlineStr">
        <is>
          <t>have been waiting a little bit I would</t>
        </is>
      </c>
      <c r="D9555">
        <f>HYPERLINK("https://www.youtube.com/watch?v=lY7e3CDPY4g&amp;t=1511s", "Go to time")</f>
        <v/>
      </c>
    </row>
    <row r="9556">
      <c r="A9556">
        <f>HYPERLINK("https://www.youtube.com/watch?v=lGkh7-xOb3I", "Video")</f>
        <v/>
      </c>
      <c r="B9556" t="inlineStr">
        <is>
          <t>2:41</t>
        </is>
      </c>
      <c r="C9556" t="inlineStr">
        <is>
          <t>And I want to tell you a little bit
about how we're doing it at Glasswing.</t>
        </is>
      </c>
      <c r="D9556">
        <f>HYPERLINK("https://www.youtube.com/watch?v=lGkh7-xOb3I&amp;t=161s", "Go to time")</f>
        <v/>
      </c>
    </row>
    <row r="9557">
      <c r="A9557">
        <f>HYPERLINK("https://www.youtube.com/watch?v=w7DohVZS5Yo", "Video")</f>
        <v/>
      </c>
      <c r="B9557" t="inlineStr">
        <is>
          <t>6:42</t>
        </is>
      </c>
      <c r="C9557" t="inlineStr">
        <is>
          <t>little bit for some people because</t>
        </is>
      </c>
      <c r="D9557">
        <f>HYPERLINK("https://www.youtube.com/watch?v=w7DohVZS5Yo&amp;t=402s", "Go to time")</f>
        <v/>
      </c>
    </row>
    <row r="9558">
      <c r="A9558">
        <f>HYPERLINK("https://www.youtube.com/watch?v=w7DohVZS5Yo", "Video")</f>
        <v/>
      </c>
      <c r="B9558" t="inlineStr">
        <is>
          <t>20:42</t>
        </is>
      </c>
      <c r="C9558" t="inlineStr">
        <is>
          <t>bit as sort of</t>
        </is>
      </c>
      <c r="D9558">
        <f>HYPERLINK("https://www.youtube.com/watch?v=w7DohVZS5Yo&amp;t=1242s", "Go to time")</f>
        <v/>
      </c>
    </row>
    <row r="9559">
      <c r="A9559">
        <f>HYPERLINK("https://www.youtube.com/watch?v=w7DohVZS5Yo", "Video")</f>
        <v/>
      </c>
      <c r="B9559" t="inlineStr">
        <is>
          <t>29:01</t>
        </is>
      </c>
      <c r="C9559" t="inlineStr">
        <is>
          <t>don't have any spending habits to look</t>
        </is>
      </c>
      <c r="D9559">
        <f>HYPERLINK("https://www.youtube.com/watch?v=w7DohVZS5Yo&amp;t=1741s", "Go to time")</f>
        <v/>
      </c>
    </row>
    <row r="9560">
      <c r="A9560">
        <f>HYPERLINK("https://www.youtube.com/watch?v=w7DohVZS5Yo", "Video")</f>
        <v/>
      </c>
      <c r="B9560" t="inlineStr">
        <is>
          <t>55:40</t>
        </is>
      </c>
      <c r="C9560" t="inlineStr">
        <is>
          <t>muddle along for a bit what happens what</t>
        </is>
      </c>
      <c r="D9560">
        <f>HYPERLINK("https://www.youtube.com/watch?v=w7DohVZS5Yo&amp;t=3340s", "Go to time")</f>
        <v/>
      </c>
    </row>
    <row r="9561">
      <c r="A9561">
        <f>HYPERLINK("https://www.youtube.com/watch?v=IkeuKPZxEhM", "Video")</f>
        <v/>
      </c>
      <c r="B9561" t="inlineStr">
        <is>
          <t>8:05</t>
        </is>
      </c>
      <c r="C9561" t="inlineStr">
        <is>
          <t>You might find bits
of yourself in this story.</t>
        </is>
      </c>
      <c r="D9561">
        <f>HYPERLINK("https://www.youtube.com/watch?v=IkeuKPZxEhM&amp;t=485s", "Go to time")</f>
        <v/>
      </c>
    </row>
    <row r="9562">
      <c r="A9562">
        <f>HYPERLINK("https://www.youtube.com/watch?v=IkeuKPZxEhM", "Video")</f>
        <v/>
      </c>
      <c r="B9562" t="inlineStr">
        <is>
          <t>12:42</t>
        </is>
      </c>
      <c r="C9562" t="inlineStr">
        <is>
          <t>It requires nothing of you,
just to give them a little bit of time.</t>
        </is>
      </c>
      <c r="D9562">
        <f>HYPERLINK("https://www.youtube.com/watch?v=IkeuKPZxEhM&amp;t=762s", "Go to time")</f>
        <v/>
      </c>
    </row>
    <row r="9563">
      <c r="A9563">
        <f>HYPERLINK("https://www.youtube.com/watch?v=IkeuKPZxEhM", "Video")</f>
        <v/>
      </c>
      <c r="B9563" t="inlineStr">
        <is>
          <t>14:37</t>
        </is>
      </c>
      <c r="C9563" t="inlineStr">
        <is>
          <t>When you bite into an orange
and the juice squirts into your mouth,</t>
        </is>
      </c>
      <c r="D9563">
        <f>HYPERLINK("https://www.youtube.com/watch?v=IkeuKPZxEhM&amp;t=877s", "Go to time")</f>
        <v/>
      </c>
    </row>
    <row r="9564">
      <c r="A9564">
        <f>HYPERLINK("https://www.youtube.com/watch?v=IkeuKPZxEhM", "Video")</f>
        <v/>
      </c>
      <c r="B9564" t="inlineStr">
        <is>
          <t>14:40</t>
        </is>
      </c>
      <c r="C9564" t="inlineStr">
        <is>
          <t>and then there's the little
bite in your jaw,</t>
        </is>
      </c>
      <c r="D9564">
        <f>HYPERLINK("https://www.youtube.com/watch?v=IkeuKPZxEhM&amp;t=880s", "Go to time")</f>
        <v/>
      </c>
    </row>
    <row r="9565">
      <c r="A9565">
        <f>HYPERLINK("https://www.youtube.com/watch?v=IkeuKPZxEhM", "Video")</f>
        <v/>
      </c>
      <c r="B9565" t="inlineStr">
        <is>
          <t>14:43</t>
        </is>
      </c>
      <c r="C9565" t="inlineStr">
        <is>
          <t>there's a little bite in your jaw
because it's sour.</t>
        </is>
      </c>
      <c r="D9565">
        <f>HYPERLINK("https://www.youtube.com/watch?v=IkeuKPZxEhM&amp;t=883s", "Go to time")</f>
        <v/>
      </c>
    </row>
    <row r="9566">
      <c r="A9566">
        <f>HYPERLINK("https://www.youtube.com/watch?v=IkeuKPZxEhM", "Video")</f>
        <v/>
      </c>
      <c r="B9566" t="inlineStr">
        <is>
          <t>14:46</t>
        </is>
      </c>
      <c r="C9566" t="inlineStr">
        <is>
          <t>Or when you first bite
into a fried plantain.</t>
        </is>
      </c>
      <c r="D9566">
        <f>HYPERLINK("https://www.youtube.com/watch?v=IkeuKPZxEhM&amp;t=886s", "Go to time")</f>
        <v/>
      </c>
    </row>
    <row r="9567">
      <c r="A9567">
        <f>HYPERLINK("https://www.youtube.com/watch?v=IkeuKPZxEhM", "Video")</f>
        <v/>
      </c>
      <c r="B9567" t="inlineStr">
        <is>
          <t>15:24</t>
        </is>
      </c>
      <c r="C9567" t="inlineStr">
        <is>
          <t>At the same time, I'm also feeling
every little bit of pain I've ever felt</t>
        </is>
      </c>
      <c r="D9567">
        <f>HYPERLINK("https://www.youtube.com/watch?v=IkeuKPZxEhM&amp;t=924s", "Go to time")</f>
        <v/>
      </c>
    </row>
    <row r="9568">
      <c r="A9568">
        <f>HYPERLINK("https://www.youtube.com/watch?v=g3zrprEu_0Q", "Video")</f>
        <v/>
      </c>
      <c r="B9568" t="inlineStr">
        <is>
          <t>4:35</t>
        </is>
      </c>
      <c r="C9568" t="inlineStr">
        <is>
          <t>People with the mutation
aren't less likely to get bitten</t>
        </is>
      </c>
      <c r="D9568">
        <f>HYPERLINK("https://www.youtube.com/watch?v=g3zrprEu_0Q&amp;t=275s", "Go to time")</f>
        <v/>
      </c>
    </row>
    <row r="9569">
      <c r="A9569">
        <f>HYPERLINK("https://www.youtube.com/watch?v=CD7iYdtrJfY", "Video")</f>
        <v/>
      </c>
      <c r="B9569" t="inlineStr">
        <is>
          <t>5:32</t>
        </is>
      </c>
      <c r="C9569" t="inlineStr">
        <is>
          <t>So I want to try to explain
net-zero a little bit differently</t>
        </is>
      </c>
      <c r="D9569">
        <f>HYPERLINK("https://www.youtube.com/watch?v=CD7iYdtrJfY&amp;t=332s", "Go to time")</f>
        <v/>
      </c>
    </row>
    <row r="9570">
      <c r="A9570">
        <f>HYPERLINK("https://www.youtube.com/watch?v=lhoCdZFoktQ", "Video")</f>
        <v/>
      </c>
      <c r="B9570" t="inlineStr">
        <is>
          <t>2:44</t>
        </is>
      </c>
      <c r="C9570" t="inlineStr">
        <is>
          <t>to talk a little bit
about the end of life,</t>
        </is>
      </c>
      <c r="D9570">
        <f>HYPERLINK("https://www.youtube.com/watch?v=lhoCdZFoktQ&amp;t=164s", "Go to time")</f>
        <v/>
      </c>
    </row>
    <row r="9571">
      <c r="A9571">
        <f>HYPERLINK("https://www.youtube.com/watch?v=MMzNxiB7NRc", "Video")</f>
        <v/>
      </c>
      <c r="B9571" t="inlineStr">
        <is>
          <t>8:23</t>
        </is>
      </c>
      <c r="C9571" t="inlineStr">
        <is>
          <t>I was listening in a bit earlier;</t>
        </is>
      </c>
      <c r="D9571">
        <f>HYPERLINK("https://www.youtube.com/watch?v=MMzNxiB7NRc&amp;t=503s", "Go to time")</f>
        <v/>
      </c>
    </row>
    <row r="9572">
      <c r="A9572">
        <f>HYPERLINK("https://www.youtube.com/watch?v=MMzNxiB7NRc", "Video")</f>
        <v/>
      </c>
      <c r="B9572" t="inlineStr">
        <is>
          <t>8:43</t>
        </is>
      </c>
      <c r="C9572" t="inlineStr">
        <is>
          <t>Can you explain that a little bit to us?</t>
        </is>
      </c>
      <c r="D9572">
        <f>HYPERLINK("https://www.youtube.com/watch?v=MMzNxiB7NRc&amp;t=523s", "Go to time")</f>
        <v/>
      </c>
    </row>
    <row r="9573">
      <c r="A9573">
        <f>HYPERLINK("https://www.youtube.com/watch?v=bVV2Zk88beY", "Video")</f>
        <v/>
      </c>
      <c r="B9573" t="inlineStr">
        <is>
          <t>4:03</t>
        </is>
      </c>
      <c r="C9573" t="inlineStr">
        <is>
          <t>Once I saw that we were not
the ultimate arbiters of divine truth</t>
        </is>
      </c>
      <c r="D9573">
        <f>HYPERLINK("https://www.youtube.com/watch?v=bVV2Zk88beY&amp;t=243s", "Go to time")</f>
        <v/>
      </c>
    </row>
    <row r="9574">
      <c r="A9574">
        <f>HYPERLINK("https://www.youtube.com/watch?v=ZMs-gVbhNIY", "Video")</f>
        <v/>
      </c>
      <c r="B9574" t="inlineStr">
        <is>
          <t>3:36</t>
        </is>
      </c>
      <c r="C9574" t="inlineStr">
        <is>
          <t>Here, we can make habitats for animals,</t>
        </is>
      </c>
      <c r="D9574">
        <f>HYPERLINK("https://www.youtube.com/watch?v=ZMs-gVbhNIY&amp;t=216s", "Go to time")</f>
        <v/>
      </c>
    </row>
    <row r="9575">
      <c r="A9575">
        <f>HYPERLINK("https://www.youtube.com/watch?v=ZMs-gVbhNIY", "Video")</f>
        <v/>
      </c>
      <c r="B9575" t="inlineStr">
        <is>
          <t>3:46</t>
        </is>
      </c>
      <c r="C9575" t="inlineStr">
        <is>
          <t>This is a habitat for microorganisms.</t>
        </is>
      </c>
      <c r="D9575">
        <f>HYPERLINK("https://www.youtube.com/watch?v=ZMs-gVbhNIY&amp;t=226s", "Go to time")</f>
        <v/>
      </c>
    </row>
    <row r="9576">
      <c r="A9576">
        <f>HYPERLINK("https://www.youtube.com/watch?v=pkMIsc_nhQo", "Video")</f>
        <v/>
      </c>
      <c r="B9576" t="inlineStr">
        <is>
          <t>1:04</t>
        </is>
      </c>
      <c r="C9576" t="inlineStr">
        <is>
          <t>About half a million people die every year
because of mosquito bite.</t>
        </is>
      </c>
      <c r="D9576">
        <f>HYPERLINK("https://www.youtube.com/watch?v=pkMIsc_nhQo&amp;t=64s", "Go to time")</f>
        <v/>
      </c>
    </row>
    <row r="9577">
      <c r="A9577">
        <f>HYPERLINK("https://www.youtube.com/watch?v=pkMIsc_nhQo", "Video")</f>
        <v/>
      </c>
      <c r="B9577" t="inlineStr">
        <is>
          <t>2:19</t>
        </is>
      </c>
      <c r="C9577" t="inlineStr">
        <is>
          <t>Despite the sunburn
and the mosquito bites and the mud,</t>
        </is>
      </c>
      <c r="D9577">
        <f>HYPERLINK("https://www.youtube.com/watch?v=pkMIsc_nhQo&amp;t=139s", "Go to time")</f>
        <v/>
      </c>
    </row>
    <row r="9578">
      <c r="A9578">
        <f>HYPERLINK("https://www.youtube.com/watch?v=pkMIsc_nhQo", "Video")</f>
        <v/>
      </c>
      <c r="B9578" t="inlineStr">
        <is>
          <t>3:02</t>
        </is>
      </c>
      <c r="C9578" t="inlineStr">
        <is>
          <t>because of mosquito bites.</t>
        </is>
      </c>
      <c r="D9578">
        <f>HYPERLINK("https://www.youtube.com/watch?v=pkMIsc_nhQo&amp;t=182s", "Go to time")</f>
        <v/>
      </c>
    </row>
    <row r="9579">
      <c r="A9579">
        <f>HYPERLINK("https://www.youtube.com/watch?v=pkMIsc_nhQo", "Video")</f>
        <v/>
      </c>
      <c r="B9579" t="inlineStr">
        <is>
          <t>5:16</t>
        </is>
      </c>
      <c r="C9579" t="inlineStr">
        <is>
          <t>if you're a bit slow to clean
your backyard swimming pool</t>
        </is>
      </c>
      <c r="D9579">
        <f>HYPERLINK("https://www.youtube.com/watch?v=pkMIsc_nhQo&amp;t=316s", "Go to time")</f>
        <v/>
      </c>
    </row>
    <row r="9580">
      <c r="A9580">
        <f>HYPERLINK("https://www.youtube.com/watch?v=pkMIsc_nhQo", "Video")</f>
        <v/>
      </c>
      <c r="B9580" t="inlineStr">
        <is>
          <t>5:32</t>
        </is>
      </c>
      <c r="C9580" t="inlineStr">
        <is>
          <t>but during that time,
they can bite a lot of people,</t>
        </is>
      </c>
      <c r="D9580">
        <f>HYPERLINK("https://www.youtube.com/watch?v=pkMIsc_nhQo&amp;t=332s", "Go to time")</f>
        <v/>
      </c>
    </row>
    <row r="9581">
      <c r="A9581">
        <f>HYPERLINK("https://www.youtube.com/watch?v=pkMIsc_nhQo", "Video")</f>
        <v/>
      </c>
      <c r="B9581" t="inlineStr">
        <is>
          <t>5:42</t>
        </is>
      </c>
      <c r="C9581" t="inlineStr">
        <is>
          <t>Mosquitoes need blood,
that's why they bite.</t>
        </is>
      </c>
      <c r="D9581">
        <f>HYPERLINK("https://www.youtube.com/watch?v=pkMIsc_nhQo&amp;t=342s", "Go to time")</f>
        <v/>
      </c>
    </row>
    <row r="9582">
      <c r="A9582">
        <f>HYPERLINK("https://www.youtube.com/watch?v=pkMIsc_nhQo", "Video")</f>
        <v/>
      </c>
      <c r="B9582" t="inlineStr">
        <is>
          <t>5:46</t>
        </is>
      </c>
      <c r="C9582" t="inlineStr">
        <is>
          <t>It's only the female mosquito that bites,</t>
        </is>
      </c>
      <c r="D9582">
        <f>HYPERLINK("https://www.youtube.com/watch?v=pkMIsc_nhQo&amp;t=346s", "Go to time")</f>
        <v/>
      </c>
    </row>
    <row r="9583">
      <c r="A9583">
        <f>HYPERLINK("https://www.youtube.com/watch?v=pkMIsc_nhQo", "Video")</f>
        <v/>
      </c>
      <c r="B9583" t="inlineStr">
        <is>
          <t>6:08</t>
        </is>
      </c>
      <c r="C9583" t="inlineStr">
        <is>
          <t>"Boy, mosquitoes sure like to bite me</t>
        </is>
      </c>
      <c r="D9583">
        <f>HYPERLINK("https://www.youtube.com/watch?v=pkMIsc_nhQo&amp;t=368s", "Go to time")</f>
        <v/>
      </c>
    </row>
    <row r="9584">
      <c r="A9584">
        <f>HYPERLINK("https://www.youtube.com/watch?v=pkMIsc_nhQo", "Video")</f>
        <v/>
      </c>
      <c r="B9584" t="inlineStr">
        <is>
          <t>6:10</t>
        </is>
      </c>
      <c r="C9584" t="inlineStr">
        <is>
          <t>more than they like to bite my friends."</t>
        </is>
      </c>
      <c r="D9584">
        <f>HYPERLINK("https://www.youtube.com/watch?v=pkMIsc_nhQo&amp;t=370s", "Go to time")</f>
        <v/>
      </c>
    </row>
    <row r="9585">
      <c r="A9585">
        <f>HYPERLINK("https://www.youtube.com/watch?v=pkMIsc_nhQo", "Video")</f>
        <v/>
      </c>
      <c r="B9585" t="inlineStr">
        <is>
          <t>6:12</t>
        </is>
      </c>
      <c r="C9585" t="inlineStr">
        <is>
          <t>And sometimes, we can be
a bit unlucky like that.</t>
        </is>
      </c>
      <c r="D9585">
        <f>HYPERLINK("https://www.youtube.com/watch?v=pkMIsc_nhQo&amp;t=372s", "Go to time")</f>
        <v/>
      </c>
    </row>
    <row r="9586">
      <c r="A9586">
        <f>HYPERLINK("https://www.youtube.com/watch?v=pkMIsc_nhQo", "Video")</f>
        <v/>
      </c>
      <c r="B9586" t="inlineStr">
        <is>
          <t>6:16</t>
        </is>
      </c>
      <c r="C9586" t="inlineStr">
        <is>
          <t>But it's also important to remember
that mosquitoes, when they bite,</t>
        </is>
      </c>
      <c r="D9586">
        <f>HYPERLINK("https://www.youtube.com/watch?v=pkMIsc_nhQo&amp;t=376s", "Go to time")</f>
        <v/>
      </c>
    </row>
    <row r="9587">
      <c r="A9587">
        <f>HYPERLINK("https://www.youtube.com/watch?v=pkMIsc_nhQo", "Video")</f>
        <v/>
      </c>
      <c r="B9587" t="inlineStr">
        <is>
          <t>7:23</t>
        </is>
      </c>
      <c r="C9587" t="inlineStr">
        <is>
          <t>the more people they bite,</t>
        </is>
      </c>
      <c r="D9587">
        <f>HYPERLINK("https://www.youtube.com/watch?v=pkMIsc_nhQo&amp;t=443s", "Go to time")</f>
        <v/>
      </c>
    </row>
    <row r="9588">
      <c r="A9588">
        <f>HYPERLINK("https://www.youtube.com/watch?v=pkMIsc_nhQo", "Video")</f>
        <v/>
      </c>
      <c r="B9588" t="inlineStr">
        <is>
          <t>9:01</t>
        </is>
      </c>
      <c r="C9588" t="inlineStr">
        <is>
          <t>If you provide habitats
for the animals that eat mosquitoes --</t>
        </is>
      </c>
      <c r="D9588">
        <f>HYPERLINK("https://www.youtube.com/watch?v=pkMIsc_nhQo&amp;t=541s", "Go to time")</f>
        <v/>
      </c>
    </row>
    <row r="9589">
      <c r="A9589">
        <f>HYPERLINK("https://www.youtube.com/watch?v=pkMIsc_nhQo", "Video")</f>
        <v/>
      </c>
      <c r="B9589" t="inlineStr">
        <is>
          <t>9:34</t>
        </is>
      </c>
      <c r="C9589" t="inlineStr">
        <is>
          <t>and there's a mosquito
that calls these habitats home,</t>
        </is>
      </c>
      <c r="D9589">
        <f>HYPERLINK("https://www.youtube.com/watch?v=pkMIsc_nhQo&amp;t=574s", "Go to time")</f>
        <v/>
      </c>
    </row>
    <row r="9590">
      <c r="A9590">
        <f>HYPERLINK("https://www.youtube.com/watch?v=pkMIsc_nhQo", "Video")</f>
        <v/>
      </c>
      <c r="B9590" t="inlineStr">
        <is>
          <t>9:47</t>
        </is>
      </c>
      <c r="C9590" t="inlineStr">
        <is>
          <t>more so than its bite.</t>
        </is>
      </c>
      <c r="D9590">
        <f>HYPERLINK("https://www.youtube.com/watch?v=pkMIsc_nhQo&amp;t=587s", "Go to time")</f>
        <v/>
      </c>
    </row>
    <row r="9591">
      <c r="A9591">
        <f>HYPERLINK("https://www.youtube.com/watch?v=pkMIsc_nhQo", "Video")</f>
        <v/>
      </c>
      <c r="B9591" t="inlineStr">
        <is>
          <t>10:14</t>
        </is>
      </c>
      <c r="C9591" t="inlineStr">
        <is>
          <t>It's just that a mosquito
prefers to bite birds,</t>
        </is>
      </c>
      <c r="D9591">
        <f>HYPERLINK("https://www.youtube.com/watch?v=pkMIsc_nhQo&amp;t=614s", "Go to time")</f>
        <v/>
      </c>
    </row>
    <row r="9592">
      <c r="A9592">
        <f>HYPERLINK("https://www.youtube.com/watch?v=pkMIsc_nhQo", "Video")</f>
        <v/>
      </c>
      <c r="B9592" t="inlineStr">
        <is>
          <t>10:24</t>
        </is>
      </c>
      <c r="C9592" t="inlineStr">
        <is>
          <t>I'm not sure whether
I want to bite it or not."</t>
        </is>
      </c>
      <c r="D9592">
        <f>HYPERLINK("https://www.youtube.com/watch?v=pkMIsc_nhQo&amp;t=624s", "Go to time")</f>
        <v/>
      </c>
    </row>
    <row r="9593">
      <c r="A9593">
        <f>HYPERLINK("https://www.youtube.com/watch?v=pkMIsc_nhQo", "Video")</f>
        <v/>
      </c>
      <c r="B9593" t="inlineStr">
        <is>
          <t>10:26</t>
        </is>
      </c>
      <c r="C9593" t="inlineStr">
        <is>
          <t>It's bad luck for those of you
who smell a bit like a bird.</t>
        </is>
      </c>
      <c r="D9593">
        <f>HYPERLINK("https://www.youtube.com/watch?v=pkMIsc_nhQo&amp;t=626s", "Go to time")</f>
        <v/>
      </c>
    </row>
    <row r="9594">
      <c r="A9594">
        <f>HYPERLINK("https://www.youtube.com/watch?v=pkMIsc_nhQo", "Video")</f>
        <v/>
      </c>
      <c r="B9594" t="inlineStr">
        <is>
          <t>10:33</t>
        </is>
      </c>
      <c r="C9594" t="inlineStr">
        <is>
          <t>it's not just the bite of mosquitoes
that's the problem,</t>
        </is>
      </c>
      <c r="D9594">
        <f>HYPERLINK("https://www.youtube.com/watch?v=pkMIsc_nhQo&amp;t=633s", "Go to time")</f>
        <v/>
      </c>
    </row>
    <row r="9595">
      <c r="A9595">
        <f>HYPERLINK("https://www.youtube.com/watch?v=pkMIsc_nhQo", "Video")</f>
        <v/>
      </c>
      <c r="B9595" t="inlineStr">
        <is>
          <t>11:04</t>
        </is>
      </c>
      <c r="C9595" t="inlineStr">
        <is>
          <t>You all in this room
have probably been bitten</t>
        </is>
      </c>
      <c r="D9595">
        <f>HYPERLINK("https://www.youtube.com/watch?v=pkMIsc_nhQo&amp;t=664s", "Go to time")</f>
        <v/>
      </c>
    </row>
    <row r="9596">
      <c r="A9596">
        <f>HYPERLINK("https://www.youtube.com/watch?v=pkMIsc_nhQo", "Video")</f>
        <v/>
      </c>
      <c r="B9596" t="inlineStr">
        <is>
          <t>11:28</t>
        </is>
      </c>
      <c r="C9596" t="inlineStr">
        <is>
          <t>It's a nuisance biting pest,</t>
        </is>
      </c>
      <c r="D9596">
        <f>HYPERLINK("https://www.youtube.com/watch?v=pkMIsc_nhQo&amp;t=688s", "Go to time")</f>
        <v/>
      </c>
    </row>
    <row r="9597">
      <c r="A9597">
        <f>HYPERLINK("https://www.youtube.com/watch?v=pkMIsc_nhQo", "Video")</f>
        <v/>
      </c>
      <c r="B9597" t="inlineStr">
        <is>
          <t>11:34</t>
        </is>
      </c>
      <c r="C9597" t="inlineStr">
        <is>
          <t>because these same habitats
where this mosquito is found</t>
        </is>
      </c>
      <c r="D9597">
        <f>HYPERLINK("https://www.youtube.com/watch?v=pkMIsc_nhQo&amp;t=694s", "Go to time")</f>
        <v/>
      </c>
    </row>
    <row r="9598">
      <c r="A9598">
        <f>HYPERLINK("https://www.youtube.com/watch?v=pkMIsc_nhQo", "Video")</f>
        <v/>
      </c>
      <c r="B9598" t="inlineStr">
        <is>
          <t>13:15</t>
        </is>
      </c>
      <c r="C9598" t="inlineStr">
        <is>
          <t>if these habitats degrade,
they become more suitable for mosquitoes.</t>
        </is>
      </c>
      <c r="D9598">
        <f>HYPERLINK("https://www.youtube.com/watch?v=pkMIsc_nhQo&amp;t=795s", "Go to time")</f>
        <v/>
      </c>
    </row>
    <row r="9599">
      <c r="A9599">
        <f>HYPERLINK("https://www.youtube.com/watch?v=pkMIsc_nhQo", "Video")</f>
        <v/>
      </c>
      <c r="B9599" t="inlineStr">
        <is>
          <t>13:46</t>
        </is>
      </c>
      <c r="C9599" t="inlineStr">
        <is>
          <t>that can help you stop
the bite of mosquitoes</t>
        </is>
      </c>
      <c r="D9599">
        <f>HYPERLINK("https://www.youtube.com/watch?v=pkMIsc_nhQo&amp;t=826s", "Go to time")</f>
        <v/>
      </c>
    </row>
    <row r="9600">
      <c r="A9600">
        <f>HYPERLINK("https://www.youtube.com/watch?v=pkMIsc_nhQo", "Video")</f>
        <v/>
      </c>
      <c r="B9600" t="inlineStr">
        <is>
          <t>14:17</t>
        </is>
      </c>
      <c r="C9600" t="inlineStr">
        <is>
          <t>to avoid mosquito bites.</t>
        </is>
      </c>
      <c r="D9600">
        <f>HYPERLINK("https://www.youtube.com/watch?v=pkMIsc_nhQo&amp;t=857s", "Go to time")</f>
        <v/>
      </c>
    </row>
    <row r="9601">
      <c r="A9601">
        <f>HYPERLINK("https://www.youtube.com/watch?v=pkMIsc_nhQo", "Video")</f>
        <v/>
      </c>
      <c r="B9601" t="inlineStr">
        <is>
          <t>14:36</t>
        </is>
      </c>
      <c r="C9601" t="inlineStr">
        <is>
          <t>to find that gap
in your repellent and bite.</t>
        </is>
      </c>
      <c r="D9601">
        <f>HYPERLINK("https://www.youtube.com/watch?v=pkMIsc_nhQo&amp;t=876s", "Go to time")</f>
        <v/>
      </c>
    </row>
    <row r="9602">
      <c r="A9602">
        <f>HYPERLINK("https://www.youtube.com/watch?v=pkMIsc_nhQo", "Video")</f>
        <v/>
      </c>
      <c r="B9602" t="inlineStr">
        <is>
          <t>14:55</t>
        </is>
      </c>
      <c r="C9602" t="inlineStr">
        <is>
          <t>it might make it a bit harder
for that mossie</t>
        </is>
      </c>
      <c r="D9602">
        <f>HYPERLINK("https://www.youtube.com/watch?v=pkMIsc_nhQo&amp;t=895s", "Go to time")</f>
        <v/>
      </c>
    </row>
    <row r="9603">
      <c r="A9603">
        <f>HYPERLINK("https://www.youtube.com/watch?v=Ie9cACQnqew", "Video")</f>
        <v/>
      </c>
      <c r="B9603" t="inlineStr">
        <is>
          <t>5:06</t>
        </is>
      </c>
      <c r="C9603" t="inlineStr">
        <is>
          <t>They are not keen to set targets
that are ambitious enough</t>
        </is>
      </c>
      <c r="D9603">
        <f>HYPERLINK("https://www.youtube.com/watch?v=Ie9cACQnqew&amp;t=306s", "Go to time")</f>
        <v/>
      </c>
    </row>
    <row r="9604">
      <c r="A9604">
        <f>HYPERLINK("https://www.youtube.com/watch?v=qWwEoD68gwQ", "Video")</f>
        <v/>
      </c>
      <c r="B9604" t="inlineStr">
        <is>
          <t>1:40</t>
        </is>
      </c>
      <c r="C9604" t="inlineStr">
        <is>
          <t>could you talk a little bit more about</t>
        </is>
      </c>
      <c r="D9604">
        <f>HYPERLINK("https://www.youtube.com/watch?v=qWwEoD68gwQ&amp;t=100s", "Go to time")</f>
        <v/>
      </c>
    </row>
    <row r="9605">
      <c r="A9605">
        <f>HYPERLINK("https://www.youtube.com/watch?v=qWwEoD68gwQ", "Video")</f>
        <v/>
      </c>
      <c r="B9605" t="inlineStr">
        <is>
          <t>1:44</t>
        </is>
      </c>
      <c r="C9605" t="inlineStr">
        <is>
          <t>little bit more about what the situation</t>
        </is>
      </c>
      <c r="D9605">
        <f>HYPERLINK("https://www.youtube.com/watch?v=qWwEoD68gwQ&amp;t=104s", "Go to time")</f>
        <v/>
      </c>
    </row>
    <row r="9606">
      <c r="A9606">
        <f>HYPERLINK("https://www.youtube.com/watch?v=qWwEoD68gwQ", "Video")</f>
        <v/>
      </c>
      <c r="B9606" t="inlineStr">
        <is>
          <t>6:29</t>
        </is>
      </c>
      <c r="C9606" t="inlineStr">
        <is>
          <t>changed a little bit in the recent weeks</t>
        </is>
      </c>
      <c r="D9606">
        <f>HYPERLINK("https://www.youtube.com/watch?v=qWwEoD68gwQ&amp;t=389s", "Go to time")</f>
        <v/>
      </c>
    </row>
    <row r="9607">
      <c r="A9607">
        <f>HYPERLINK("https://www.youtube.com/watch?v=qWwEoD68gwQ", "Video")</f>
        <v/>
      </c>
      <c r="B9607" t="inlineStr">
        <is>
          <t>6:30</t>
        </is>
      </c>
      <c r="C9607" t="inlineStr">
        <is>
          <t>and so could you talk a little bit about</t>
        </is>
      </c>
      <c r="D9607">
        <f>HYPERLINK("https://www.youtube.com/watch?v=qWwEoD68gwQ&amp;t=390s", "Go to time")</f>
        <v/>
      </c>
    </row>
    <row r="9608">
      <c r="A9608">
        <f>HYPERLINK("https://www.youtube.com/watch?v=qWwEoD68gwQ", "Video")</f>
        <v/>
      </c>
      <c r="B9608" t="inlineStr">
        <is>
          <t>13:22</t>
        </is>
      </c>
      <c r="C9608" t="inlineStr">
        <is>
          <t>know we've created these these COBIT</t>
        </is>
      </c>
      <c r="D9608">
        <f>HYPERLINK("https://www.youtube.com/watch?v=qWwEoD68gwQ&amp;t=802s", "Go to time")</f>
        <v/>
      </c>
    </row>
    <row r="9609">
      <c r="A9609">
        <f>HYPERLINK("https://www.youtube.com/watch?v=qWwEoD68gwQ", "Video")</f>
        <v/>
      </c>
      <c r="B9609" t="inlineStr">
        <is>
          <t>15:13</t>
        </is>
      </c>
      <c r="C9609" t="inlineStr">
        <is>
          <t>little bit just you know what are some</t>
        </is>
      </c>
      <c r="D9609">
        <f>HYPERLINK("https://www.youtube.com/watch?v=qWwEoD68gwQ&amp;t=913s", "Go to time")</f>
        <v/>
      </c>
    </row>
    <row r="9610">
      <c r="A9610">
        <f>HYPERLINK("https://www.youtube.com/watch?v=qWwEoD68gwQ", "Video")</f>
        <v/>
      </c>
      <c r="B9610" t="inlineStr">
        <is>
          <t>15:49</t>
        </is>
      </c>
      <c r="C9610" t="inlineStr">
        <is>
          <t>and so there's a little bit of you know</t>
        </is>
      </c>
      <c r="D9610">
        <f>HYPERLINK("https://www.youtube.com/watch?v=qWwEoD68gwQ&amp;t=949s", "Go to time")</f>
        <v/>
      </c>
    </row>
    <row r="9611">
      <c r="A9611">
        <f>HYPERLINK("https://www.youtube.com/watch?v=qWwEoD68gwQ", "Video")</f>
        <v/>
      </c>
      <c r="B9611" t="inlineStr">
        <is>
          <t>29:19</t>
        </is>
      </c>
      <c r="C9611" t="inlineStr">
        <is>
          <t>I'd love to talk a little bit about that</t>
        </is>
      </c>
      <c r="D9611">
        <f>HYPERLINK("https://www.youtube.com/watch?v=qWwEoD68gwQ&amp;t=1759s", "Go to time")</f>
        <v/>
      </c>
    </row>
    <row r="9612">
      <c r="A9612">
        <f>HYPERLINK("https://www.youtube.com/watch?v=qWwEoD68gwQ", "Video")</f>
        <v/>
      </c>
      <c r="B9612" t="inlineStr">
        <is>
          <t>42:05</t>
        </is>
      </c>
      <c r="C9612" t="inlineStr">
        <is>
          <t>guess address that a little bit more</t>
        </is>
      </c>
      <c r="D9612">
        <f>HYPERLINK("https://www.youtube.com/watch?v=qWwEoD68gwQ&amp;t=2525s", "Go to time")</f>
        <v/>
      </c>
    </row>
    <row r="9613">
      <c r="A9613">
        <f>HYPERLINK("https://www.youtube.com/watch?v=fAJ18o5mw70", "Video")</f>
        <v/>
      </c>
      <c r="B9613" t="inlineStr">
        <is>
          <t>2:49</t>
        </is>
      </c>
      <c r="C9613" t="inlineStr">
        <is>
          <t>and created exhibitions to bring
the debate into the public sphere.</t>
        </is>
      </c>
      <c r="D9613">
        <f>HYPERLINK("https://www.youtube.com/watch?v=fAJ18o5mw70&amp;t=169s", "Go to time")</f>
        <v/>
      </c>
    </row>
    <row r="9614">
      <c r="A9614">
        <f>HYPERLINK("https://www.youtube.com/watch?v=b2tcLJWNTWM", "Video")</f>
        <v/>
      </c>
      <c r="B9614" t="inlineStr">
        <is>
          <t>0:23</t>
        </is>
      </c>
      <c r="C9614" t="inlineStr">
        <is>
          <t>Or did you even feel a little bit smug</t>
        </is>
      </c>
      <c r="D9614">
        <f>HYPERLINK("https://www.youtube.com/watch?v=b2tcLJWNTWM&amp;t=23s", "Go to time")</f>
        <v/>
      </c>
    </row>
    <row r="9615">
      <c r="A9615">
        <f>HYPERLINK("https://www.youtube.com/watch?v=b2tcLJWNTWM", "Video")</f>
        <v/>
      </c>
      <c r="B9615" t="inlineStr">
        <is>
          <t>4:25</t>
        </is>
      </c>
      <c r="C9615" t="inlineStr">
        <is>
          <t>A little bit of kindness
and an attempt at understanding</t>
        </is>
      </c>
      <c r="D9615">
        <f>HYPERLINK("https://www.youtube.com/watch?v=b2tcLJWNTWM&amp;t=265s", "Go to time")</f>
        <v/>
      </c>
    </row>
    <row r="9616">
      <c r="A9616">
        <f>HYPERLINK("https://www.youtube.com/watch?v=b2tcLJWNTWM", "Video")</f>
        <v/>
      </c>
      <c r="B9616" t="inlineStr">
        <is>
          <t>6:21</t>
        </is>
      </c>
      <c r="C9616" t="inlineStr">
        <is>
          <t>if things looked a bit tricky.</t>
        </is>
      </c>
      <c r="D9616">
        <f>HYPERLINK("https://www.youtube.com/watch?v=b2tcLJWNTWM&amp;t=381s", "Go to time")</f>
        <v/>
      </c>
    </row>
    <row r="9617">
      <c r="A9617">
        <f>HYPERLINK("https://www.youtube.com/watch?v=b2tcLJWNTWM", "Video")</f>
        <v/>
      </c>
      <c r="B9617" t="inlineStr">
        <is>
          <t>11:24</t>
        </is>
      </c>
      <c r="C9617" t="inlineStr">
        <is>
          <t>If ever you see me with Toby
and my behavior's looking a bit off,</t>
        </is>
      </c>
      <c r="D9617">
        <f>HYPERLINK("https://www.youtube.com/watch?v=b2tcLJWNTWM&amp;t=684s", "Go to time")</f>
        <v/>
      </c>
    </row>
    <row r="9618">
      <c r="A9618">
        <f>HYPERLINK("https://www.youtube.com/watch?v=mgcjr1yz7ow", "Video")</f>
        <v/>
      </c>
      <c r="B9618" t="inlineStr">
        <is>
          <t>13:51</t>
        </is>
      </c>
      <c r="C9618" t="inlineStr">
        <is>
          <t>Where can we push ourselves
a little bit further,</t>
        </is>
      </c>
      <c r="D9618">
        <f>HYPERLINK("https://www.youtube.com/watch?v=mgcjr1yz7ow&amp;t=831s", "Go to time")</f>
        <v/>
      </c>
    </row>
    <row r="9619">
      <c r="A9619">
        <f>HYPERLINK("https://www.youtube.com/watch?v=58rMMTJUp_U", "Video")</f>
        <v/>
      </c>
      <c r="B9619" t="inlineStr">
        <is>
          <t>5:37</t>
        </is>
      </c>
      <c r="C9619" t="inlineStr">
        <is>
          <t>And we can easily activate or inhibit
specific neuron cells</t>
        </is>
      </c>
      <c r="D9619">
        <f>HYPERLINK("https://www.youtube.com/watch?v=58rMMTJUp_U&amp;t=337s", "Go to time")</f>
        <v/>
      </c>
    </row>
    <row r="9620">
      <c r="A9620">
        <f>HYPERLINK("https://www.youtube.com/watch?v=58rMMTJUp_U", "Video")</f>
        <v/>
      </c>
      <c r="B9620" t="inlineStr">
        <is>
          <t>8:31</t>
        </is>
      </c>
      <c r="C9620" t="inlineStr">
        <is>
          <t>a little bit more
about those biological processes</t>
        </is>
      </c>
      <c r="D9620">
        <f>HYPERLINK("https://www.youtube.com/watch?v=58rMMTJUp_U&amp;t=511s", "Go to time")</f>
        <v/>
      </c>
    </row>
    <row r="9621">
      <c r="A9621">
        <f>HYPERLINK("https://www.youtube.com/watch?v=q-GXV4Fd1oA", "Video")</f>
        <v/>
      </c>
      <c r="B9621" t="inlineStr">
        <is>
          <t>1:41</t>
        </is>
      </c>
      <c r="C9621" t="inlineStr">
        <is>
          <t>can help us think a little bit more deeply</t>
        </is>
      </c>
      <c r="D9621">
        <f>HYPERLINK("https://www.youtube.com/watch?v=q-GXV4Fd1oA&amp;t=101s", "Go to time")</f>
        <v/>
      </c>
    </row>
    <row r="9622">
      <c r="A9622">
        <f>HYPERLINK("https://www.youtube.com/watch?v=q-GXV4Fd1oA", "Video")</f>
        <v/>
      </c>
      <c r="B9622" t="inlineStr">
        <is>
          <t>4:33</t>
        </is>
      </c>
      <c r="C9622" t="inlineStr">
        <is>
          <t>But in doing the work,
I realized a little bit more</t>
        </is>
      </c>
      <c r="D9622">
        <f>HYPERLINK("https://www.youtube.com/watch?v=q-GXV4Fd1oA&amp;t=273s", "Go to time")</f>
        <v/>
      </c>
    </row>
    <row r="9623">
      <c r="A9623">
        <f>HYPERLINK("https://www.youtube.com/watch?v=4xKgo0_HGRM", "Video")</f>
        <v/>
      </c>
      <c r="B9623" t="inlineStr">
        <is>
          <t>2:56</t>
        </is>
      </c>
      <c r="C9623" t="inlineStr">
        <is>
          <t>to inhabit a space
more than just on the ground plane.</t>
        </is>
      </c>
      <c r="D9623">
        <f>HYPERLINK("https://www.youtube.com/watch?v=4xKgo0_HGRM&amp;t=176s", "Go to time")</f>
        <v/>
      </c>
    </row>
    <row r="9624">
      <c r="A9624">
        <f>HYPERLINK("https://www.youtube.com/watch?v=Z6bxX3mcfJg", "Video")</f>
        <v/>
      </c>
      <c r="B9624" t="inlineStr">
        <is>
          <t>3:07</t>
        </is>
      </c>
      <c r="C9624" t="inlineStr">
        <is>
          <t>it wasn't because of the raccoon
that bit them two weeks ago.</t>
        </is>
      </c>
      <c r="D9624">
        <f>HYPERLINK("https://www.youtube.com/watch?v=Z6bxX3mcfJg&amp;t=187s", "Go to time")</f>
        <v/>
      </c>
    </row>
    <row r="9625">
      <c r="A9625">
        <f>HYPERLINK("https://www.youtube.com/watch?v=Z6bxX3mcfJg", "Video")</f>
        <v/>
      </c>
      <c r="B9625" t="inlineStr">
        <is>
          <t>7:28</t>
        </is>
      </c>
      <c r="C9625" t="inlineStr">
        <is>
          <t>And one more little tidbit,</t>
        </is>
      </c>
      <c r="D9625">
        <f>HYPERLINK("https://www.youtube.com/watch?v=Z6bxX3mcfJg&amp;t=448s", "Go to time")</f>
        <v/>
      </c>
    </row>
    <row r="9626">
      <c r="A9626">
        <f>HYPERLINK("https://www.youtube.com/watch?v=Z6bxX3mcfJg", "Video")</f>
        <v/>
      </c>
      <c r="B9626" t="inlineStr">
        <is>
          <t>9:52</t>
        </is>
      </c>
      <c r="C9626" t="inlineStr">
        <is>
          <t>A little improvised little bit
for you right there.</t>
        </is>
      </c>
      <c r="D9626">
        <f>HYPERLINK("https://www.youtube.com/watch?v=Z6bxX3mcfJg&amp;t=592s", "Go to time")</f>
        <v/>
      </c>
    </row>
    <row r="9627">
      <c r="A9627">
        <f>HYPERLINK("https://www.youtube.com/watch?v=Z6bxX3mcfJg", "Video")</f>
        <v/>
      </c>
      <c r="B9627" t="inlineStr">
        <is>
          <t>10:11</t>
        </is>
      </c>
      <c r="C9627" t="inlineStr">
        <is>
          <t>it comes from the habit
or something people did</t>
        </is>
      </c>
      <c r="D9627">
        <f>HYPERLINK("https://www.youtube.com/watch?v=Z6bxX3mcfJg&amp;t=611s", "Go to time")</f>
        <v/>
      </c>
    </row>
    <row r="9628">
      <c r="A9628">
        <f>HYPERLINK("https://www.youtube.com/watch?v=H8rDS6Wto5g", "Video")</f>
        <v/>
      </c>
      <c r="B9628" t="inlineStr">
        <is>
          <t>0:24</t>
        </is>
      </c>
      <c r="C9628" t="inlineStr">
        <is>
          <t>Do you want to date
your coworker for a bit of fun?</t>
        </is>
      </c>
      <c r="D9628">
        <f>HYPERLINK("https://www.youtube.com/watch?v=H8rDS6Wto5g&amp;t=24s", "Go to time")</f>
        <v/>
      </c>
    </row>
    <row r="9629">
      <c r="A9629">
        <f>HYPERLINK("https://www.youtube.com/watch?v=H8rDS6Wto5g", "Video")</f>
        <v/>
      </c>
      <c r="B9629" t="inlineStr">
        <is>
          <t>5:09</t>
        </is>
      </c>
      <c r="C9629" t="inlineStr">
        <is>
          <t>I kind of want you
to flip the script a little bit.</t>
        </is>
      </c>
      <c r="D9629">
        <f>HYPERLINK("https://www.youtube.com/watch?v=H8rDS6Wto5g&amp;t=309s", "Go to time")</f>
        <v/>
      </c>
    </row>
    <row r="9630">
      <c r="A9630">
        <f>HYPERLINK("https://www.youtube.com/watch?v=L7X17aash2s", "Video")</f>
        <v/>
      </c>
      <c r="B9630" t="inlineStr">
        <is>
          <t>5:47</t>
        </is>
      </c>
      <c r="C9630" t="inlineStr">
        <is>
          <t>because it is seven Earth-sized planets
all orbiting a very near red dwarf star.</t>
        </is>
      </c>
      <c r="D9630">
        <f>HYPERLINK("https://www.youtube.com/watch?v=L7X17aash2s&amp;t=347s", "Go to time")</f>
        <v/>
      </c>
    </row>
    <row r="9631">
      <c r="A9631">
        <f>HYPERLINK("https://www.youtube.com/watch?v=L7X17aash2s", "Video")</f>
        <v/>
      </c>
      <c r="B9631" t="inlineStr">
        <is>
          <t>6:09</t>
        </is>
      </c>
      <c r="C9631" t="inlineStr">
        <is>
          <t>So here we have the orbits
of the inner rocky planets</t>
        </is>
      </c>
      <c r="D9631">
        <f>HYPERLINK("https://www.youtube.com/watch?v=L7X17aash2s&amp;t=369s", "Go to time")</f>
        <v/>
      </c>
    </row>
    <row r="9632">
      <c r="A9632">
        <f>HYPERLINK("https://www.youtube.com/watch?v=L7X17aash2s", "Video")</f>
        <v/>
      </c>
      <c r="B9632" t="inlineStr">
        <is>
          <t>6:17</t>
        </is>
      </c>
      <c r="C9632" t="inlineStr">
        <is>
          <t>are tucked well inside
the orbit of Mercury.</t>
        </is>
      </c>
      <c r="D9632">
        <f>HYPERLINK("https://www.youtube.com/watch?v=L7X17aash2s&amp;t=377s", "Go to time")</f>
        <v/>
      </c>
    </row>
    <row r="9633">
      <c r="A9633">
        <f>HYPERLINK("https://www.youtube.com/watch?v=L7X17aash2s", "Video")</f>
        <v/>
      </c>
      <c r="B9633" t="inlineStr">
        <is>
          <t>6:23</t>
        </is>
      </c>
      <c r="C9633" t="inlineStr">
        <is>
          <t>for you to see the orbits
of the TRAPPIST-1 planets.</t>
        </is>
      </c>
      <c r="D9633">
        <f>HYPERLINK("https://www.youtube.com/watch?v=L7X17aash2s&amp;t=383s", "Go to time")</f>
        <v/>
      </c>
    </row>
    <row r="9634">
      <c r="A9634">
        <f>HYPERLINK("https://www.youtube.com/watch?v=L7X17aash2s", "Video")</f>
        <v/>
      </c>
      <c r="B9634" t="inlineStr">
        <is>
          <t>6:32</t>
        </is>
      </c>
      <c r="C9634" t="inlineStr">
        <is>
          <t>even though it's seven
Earth-size planets orbiting a star.</t>
        </is>
      </c>
      <c r="D9634">
        <f>HYPERLINK("https://www.youtube.com/watch?v=L7X17aash2s&amp;t=392s", "Go to time")</f>
        <v/>
      </c>
    </row>
    <row r="9635">
      <c r="A9635">
        <f>HYPERLINK("https://www.youtube.com/watch?v=L7X17aash2s", "Video")</f>
        <v/>
      </c>
      <c r="B9635" t="inlineStr">
        <is>
          <t>7:48</t>
        </is>
      </c>
      <c r="C9635" t="inlineStr">
        <is>
          <t>And so that means for every two orbits
of the outer planet,</t>
        </is>
      </c>
      <c r="D9635">
        <f>HYPERLINK("https://www.youtube.com/watch?v=L7X17aash2s&amp;t=468s", "Go to time")</f>
        <v/>
      </c>
    </row>
    <row r="9636">
      <c r="A9636">
        <f>HYPERLINK("https://www.youtube.com/watch?v=L7X17aash2s", "Video")</f>
        <v/>
      </c>
      <c r="B9636" t="inlineStr">
        <is>
          <t>7:51</t>
        </is>
      </c>
      <c r="C9636" t="inlineStr">
        <is>
          <t>the next one in orbits three times,</t>
        </is>
      </c>
      <c r="D9636">
        <f>HYPERLINK("https://www.youtube.com/watch?v=L7X17aash2s&amp;t=471s", "Go to time")</f>
        <v/>
      </c>
    </row>
    <row r="9637">
      <c r="A9637">
        <f>HYPERLINK("https://www.youtube.com/watch?v=L7X17aash2s", "Video")</f>
        <v/>
      </c>
      <c r="B9637" t="inlineStr">
        <is>
          <t>8:01</t>
        </is>
      </c>
      <c r="C9637" t="inlineStr">
        <is>
          <t>So you see a lot of very simple ratios
among the orbits of these planets.</t>
        </is>
      </c>
      <c r="D9637">
        <f>HYPERLINK("https://www.youtube.com/watch?v=L7X17aash2s&amp;t=481s", "Go to time")</f>
        <v/>
      </c>
    </row>
    <row r="9638">
      <c r="A9638">
        <f>HYPERLINK("https://www.youtube.com/watch?v=L7X17aash2s", "Video")</f>
        <v/>
      </c>
      <c r="B9638" t="inlineStr">
        <is>
          <t>8:28</t>
        </is>
      </c>
      <c r="C9638" t="inlineStr">
        <is>
          <t>The first thing you'll hear will be
a note for every orbit of each planet,</t>
        </is>
      </c>
      <c r="D9638">
        <f>HYPERLINK("https://www.youtube.com/watch?v=L7X17aash2s&amp;t=508s", "Go to time")</f>
        <v/>
      </c>
    </row>
    <row r="9639">
      <c r="A9639">
        <f>HYPERLINK("https://www.youtube.com/watch?v=L7X17aash2s", "Video")</f>
        <v/>
      </c>
      <c r="B9639" t="inlineStr">
        <is>
          <t>11:00</t>
        </is>
      </c>
      <c r="C9639" t="inlineStr">
        <is>
          <t>they were orbiting within a disc of gas,</t>
        </is>
      </c>
      <c r="D9639">
        <f>HYPERLINK("https://www.youtube.com/watch?v=L7X17aash2s&amp;t=660s", "Go to time")</f>
        <v/>
      </c>
    </row>
    <row r="9640">
      <c r="A9640">
        <f>HYPERLINK("https://www.youtube.com/watch?v=L7X17aash2s", "Video")</f>
        <v/>
      </c>
      <c r="B9640" t="inlineStr">
        <is>
          <t>11:07</t>
        </is>
      </c>
      <c r="C9640" t="inlineStr">
        <is>
          <t>and adjust their orbits to their neighbors</t>
        </is>
      </c>
      <c r="D9640">
        <f>HYPERLINK("https://www.youtube.com/watch?v=L7X17aash2s&amp;t=667s", "Go to time")</f>
        <v/>
      </c>
    </row>
    <row r="9641">
      <c r="A9641">
        <f>HYPERLINK("https://www.youtube.com/watch?v=L7X17aash2s", "Video")</f>
        <v/>
      </c>
      <c r="B9641" t="inlineStr">
        <is>
          <t>11:17</t>
        </is>
      </c>
      <c r="C9641" t="inlineStr">
        <is>
          <t>if every aspect of their orbits
wasn't very finely tuned,</t>
        </is>
      </c>
      <c r="D9641">
        <f>HYPERLINK("https://www.youtube.com/watch?v=L7X17aash2s&amp;t=677s", "Go to time")</f>
        <v/>
      </c>
    </row>
    <row r="9642">
      <c r="A9642">
        <f>HYPERLINK("https://www.youtube.com/watch?v=L7X17aash2s", "Video")</f>
        <v/>
      </c>
      <c r="B9642" t="inlineStr">
        <is>
          <t>11:20</t>
        </is>
      </c>
      <c r="C9642" t="inlineStr">
        <is>
          <t>they would very quickly
disrupt each other's orbits,</t>
        </is>
      </c>
      <c r="D9642">
        <f>HYPERLINK("https://www.youtube.com/watch?v=L7X17aash2s&amp;t=680s", "Go to time")</f>
        <v/>
      </c>
    </row>
    <row r="9643">
      <c r="A9643">
        <f>HYPERLINK("https://www.youtube.com/watch?v=L7X17aash2s", "Video")</f>
        <v/>
      </c>
      <c r="B9643" t="inlineStr">
        <is>
          <t>11:28</t>
        </is>
      </c>
      <c r="C9643" t="inlineStr">
        <is>
          <t>and any of its potential inhabitants.</t>
        </is>
      </c>
      <c r="D9643">
        <f>HYPERLINK("https://www.youtube.com/watch?v=L7X17aash2s&amp;t=688s", "Go to time")</f>
        <v/>
      </c>
    </row>
    <row r="9644">
      <c r="A9644">
        <f>HYPERLINK("https://www.youtube.com/watch?v=L7X17aash2s", "Video")</f>
        <v/>
      </c>
      <c r="B9644" t="inlineStr">
        <is>
          <t>12:00</t>
        </is>
      </c>
      <c r="C9644" t="inlineStr">
        <is>
          <t>they didn't have to adjust
their orbits to each other,</t>
        </is>
      </c>
      <c r="D9644">
        <f>HYPERLINK("https://www.youtube.com/watch?v=L7X17aash2s&amp;t=720s", "Go to time")</f>
        <v/>
      </c>
    </row>
    <row r="9645">
      <c r="A9645">
        <f>HYPERLINK("https://www.youtube.com/watch?v=L7X17aash2s", "Video")</f>
        <v/>
      </c>
      <c r="B9645" t="inlineStr">
        <is>
          <t>13:32</t>
        </is>
      </c>
      <c r="C9645" t="inlineStr">
        <is>
          <t>quite a bit more than TRAPPIST has,</t>
        </is>
      </c>
      <c r="D9645">
        <f>HYPERLINK("https://www.youtube.com/watch?v=L7X17aash2s&amp;t=812s", "Go to time")</f>
        <v/>
      </c>
    </row>
    <row r="9646">
      <c r="A9646">
        <f>HYPERLINK("https://www.youtube.com/watch?v=2y6GQcN9jVs", "Video")</f>
        <v/>
      </c>
      <c r="B9646" t="inlineStr">
        <is>
          <t>6:36</t>
        </is>
      </c>
      <c r="C9646" t="inlineStr">
        <is>
          <t>Now this one gets a little bit tricky
and people don't like to talk about it,</t>
        </is>
      </c>
      <c r="D9646">
        <f>HYPERLINK("https://www.youtube.com/watch?v=2y6GQcN9jVs&amp;t=396s", "Go to time")</f>
        <v/>
      </c>
    </row>
    <row r="9647">
      <c r="A9647">
        <f>HYPERLINK("https://www.youtube.com/watch?v=2y6GQcN9jVs", "Video")</f>
        <v/>
      </c>
      <c r="B9647" t="inlineStr">
        <is>
          <t>9:34</t>
        </is>
      </c>
      <c r="C9647" t="inlineStr">
        <is>
          <t>we have to be a little bit careful
about carbon removal.</t>
        </is>
      </c>
      <c r="D9647">
        <f>HYPERLINK("https://www.youtube.com/watch?v=2y6GQcN9jVs&amp;t=574s", "Go to time")</f>
        <v/>
      </c>
    </row>
    <row r="9648">
      <c r="A9648">
        <f>HYPERLINK("https://www.youtube.com/watch?v=uwKS1lT_YZU", "Video")</f>
        <v/>
      </c>
      <c r="B9648" t="inlineStr">
        <is>
          <t>0:28</t>
        </is>
      </c>
      <c r="C9648" t="inlineStr">
        <is>
          <t>still feels a bit dangerous,</t>
        </is>
      </c>
      <c r="D9648">
        <f>HYPERLINK("https://www.youtube.com/watch?v=uwKS1lT_YZU&amp;t=28s", "Go to time")</f>
        <v/>
      </c>
    </row>
    <row r="9649">
      <c r="A9649">
        <f>HYPERLINK("https://www.youtube.com/watch?v=u08T3A7slkE", "Video")</f>
        <v/>
      </c>
      <c r="B9649" t="inlineStr">
        <is>
          <t>1:08</t>
        </is>
      </c>
      <c r="C9649" t="inlineStr">
        <is>
          <t>and so hopefully by telling
a little bit of my story,</t>
        </is>
      </c>
      <c r="D9649">
        <f>HYPERLINK("https://www.youtube.com/watch?v=u08T3A7slkE&amp;t=68s", "Go to time")</f>
        <v/>
      </c>
    </row>
    <row r="9650">
      <c r="A9650">
        <f>HYPERLINK("https://www.youtube.com/watch?v=u08T3A7slkE", "Video")</f>
        <v/>
      </c>
      <c r="B9650" t="inlineStr">
        <is>
          <t>6:12</t>
        </is>
      </c>
      <c r="C9650" t="inlineStr">
        <is>
          <t>I felt a little bit lost, creatively.</t>
        </is>
      </c>
      <c r="D9650">
        <f>HYPERLINK("https://www.youtube.com/watch?v=u08T3A7slkE&amp;t=372s", "Go to time")</f>
        <v/>
      </c>
    </row>
    <row r="9651">
      <c r="A9651">
        <f>HYPERLINK("https://www.youtube.com/watch?v=u08T3A7slkE", "Video")</f>
        <v/>
      </c>
      <c r="B9651" t="inlineStr">
        <is>
          <t>6:16</t>
        </is>
      </c>
      <c r="C9651" t="inlineStr">
        <is>
          <t>The engine was going down a little bit,</t>
        </is>
      </c>
      <c r="D9651">
        <f>HYPERLINK("https://www.youtube.com/watch?v=u08T3A7slkE&amp;t=376s", "Go to time")</f>
        <v/>
      </c>
    </row>
    <row r="9652">
      <c r="A9652">
        <f>HYPERLINK("https://www.youtube.com/watch?v=iMBJrvEwv8s", "Video")</f>
        <v/>
      </c>
      <c r="B9652" t="inlineStr">
        <is>
          <t>1:28</t>
        </is>
      </c>
      <c r="C9652" t="inlineStr">
        <is>
          <t>But it's not really our fault
that we're a little bit sloppy</t>
        </is>
      </c>
      <c r="D9652">
        <f>HYPERLINK("https://www.youtube.com/watch?v=iMBJrvEwv8s&amp;t=88s", "Go to time")</f>
        <v/>
      </c>
    </row>
    <row r="9653">
      <c r="A9653">
        <f>HYPERLINK("https://www.youtube.com/watch?v=qcmNFKr-Qyk", "Video")</f>
        <v/>
      </c>
      <c r="B9653" t="inlineStr">
        <is>
          <t>8:55</t>
        </is>
      </c>
      <c r="C9653" t="inlineStr">
        <is>
          <t>Dave, talk a little bit about that.</t>
        </is>
      </c>
      <c r="D9653">
        <f>HYPERLINK("https://www.youtube.com/watch?v=qcmNFKr-Qyk&amp;t=535s", "Go to time")</f>
        <v/>
      </c>
    </row>
    <row r="9654">
      <c r="A9654">
        <f>HYPERLINK("https://www.youtube.com/watch?v=4FT5RYuifwE", "Video")</f>
        <v/>
      </c>
      <c r="B9654" t="inlineStr">
        <is>
          <t>2:13</t>
        </is>
      </c>
      <c r="C9654" t="inlineStr">
        <is>
          <t>And I felt a bit better after that,
made my way to work.</t>
        </is>
      </c>
      <c r="D9654">
        <f>HYPERLINK("https://www.youtube.com/watch?v=4FT5RYuifwE&amp;t=133s", "Go to time")</f>
        <v/>
      </c>
    </row>
    <row r="9655">
      <c r="A9655">
        <f>HYPERLINK("https://www.youtube.com/watch?v=4FT5RYuifwE", "Video")</f>
        <v/>
      </c>
      <c r="B9655" t="inlineStr">
        <is>
          <t>3:15</t>
        </is>
      </c>
      <c r="C9655" t="inlineStr">
        <is>
          <t>Another bit of advice was,</t>
        </is>
      </c>
      <c r="D9655">
        <f>HYPERLINK("https://www.youtube.com/watch?v=4FT5RYuifwE&amp;t=195s", "Go to time")</f>
        <v/>
      </c>
    </row>
    <row r="9656">
      <c r="A9656">
        <f>HYPERLINK("https://www.youtube.com/watch?v=4FT5RYuifwE", "Video")</f>
        <v/>
      </c>
      <c r="B9656" t="inlineStr">
        <is>
          <t>3:25</t>
        </is>
      </c>
      <c r="C9656" t="inlineStr">
        <is>
          <t>So I did that, helped a bit
with the morning vomiting.</t>
        </is>
      </c>
      <c r="D9656">
        <f>HYPERLINK("https://www.youtube.com/watch?v=4FT5RYuifwE&amp;t=205s", "Go to time")</f>
        <v/>
      </c>
    </row>
    <row r="9657">
      <c r="A9657">
        <f>HYPERLINK("https://www.youtube.com/watch?v=4FT5RYuifwE", "Video")</f>
        <v/>
      </c>
      <c r="B9657" t="inlineStr">
        <is>
          <t>3:56</t>
        </is>
      </c>
      <c r="C9657" t="inlineStr">
        <is>
          <t>If I do them tomorrow,
they'll be a bit rushed.</t>
        </is>
      </c>
      <c r="D9657">
        <f>HYPERLINK("https://www.youtube.com/watch?v=4FT5RYuifwE&amp;t=236s", "Go to time")</f>
        <v/>
      </c>
    </row>
    <row r="9658">
      <c r="A9658">
        <f>HYPERLINK("https://www.youtube.com/watch?v=4FT5RYuifwE", "Video")</f>
        <v/>
      </c>
      <c r="B9658" t="inlineStr">
        <is>
          <t>4:41</t>
        </is>
      </c>
      <c r="C9658" t="inlineStr">
        <is>
          <t>Anyway, with a bit of practice,
it got less awkward.</t>
        </is>
      </c>
      <c r="D9658">
        <f>HYPERLINK("https://www.youtube.com/watch?v=4FT5RYuifwE&amp;t=281s", "Go to time")</f>
        <v/>
      </c>
    </row>
    <row r="9659">
      <c r="A9659">
        <f>HYPERLINK("https://www.youtube.com/watch?v=4FT5RYuifwE", "Video")</f>
        <v/>
      </c>
      <c r="B9659" t="inlineStr">
        <is>
          <t>4:44</t>
        </is>
      </c>
      <c r="C9659" t="inlineStr">
        <is>
          <t>I got a bit less self-absorbed
and I learned to enjoy other people again.</t>
        </is>
      </c>
      <c r="D9659">
        <f>HYPERLINK("https://www.youtube.com/watch?v=4FT5RYuifwE&amp;t=284s", "Go to time")</f>
        <v/>
      </c>
    </row>
    <row r="9660">
      <c r="A9660">
        <f>HYPERLINK("https://www.youtube.com/watch?v=4FT5RYuifwE", "Video")</f>
        <v/>
      </c>
      <c r="B9660" t="inlineStr">
        <is>
          <t>6:02</t>
        </is>
      </c>
      <c r="C9660" t="inlineStr">
        <is>
          <t>That seemed to help a bit.</t>
        </is>
      </c>
      <c r="D9660">
        <f>HYPERLINK("https://www.youtube.com/watch?v=4FT5RYuifwE&amp;t=362s", "Go to time")</f>
        <v/>
      </c>
    </row>
    <row r="9661">
      <c r="A9661">
        <f>HYPERLINK("https://www.youtube.com/watch?v=4FT5RYuifwE", "Video")</f>
        <v/>
      </c>
      <c r="B9661" t="inlineStr">
        <is>
          <t>6:08</t>
        </is>
      </c>
      <c r="C9661" t="inlineStr">
        <is>
          <t>So I got a bit braver
and I said to our HR team,</t>
        </is>
      </c>
      <c r="D9661">
        <f>HYPERLINK("https://www.youtube.com/watch?v=4FT5RYuifwE&amp;t=368s", "Go to time")</f>
        <v/>
      </c>
    </row>
    <row r="9662">
      <c r="A9662">
        <f>HYPERLINK("https://www.youtube.com/watch?v=4FT5RYuifwE", "Video")</f>
        <v/>
      </c>
      <c r="B9662" t="inlineStr">
        <is>
          <t>9:40</t>
        </is>
      </c>
      <c r="C9662" t="inlineStr">
        <is>
          <t>So after that I changed a bit
what I talk to people about.</t>
        </is>
      </c>
      <c r="D9662">
        <f>HYPERLINK("https://www.youtube.com/watch?v=4FT5RYuifwE&amp;t=580s", "Go to time")</f>
        <v/>
      </c>
    </row>
    <row r="9663">
      <c r="A9663">
        <f>HYPERLINK("https://www.youtube.com/watch?v=dr1-fPkTxZM", "Video")</f>
        <v/>
      </c>
      <c r="B9663" t="inlineStr">
        <is>
          <t>3:03</t>
        </is>
      </c>
      <c r="C9663" t="inlineStr">
        <is>
          <t>sheds a little bit of light on this.</t>
        </is>
      </c>
      <c r="D9663">
        <f>HYPERLINK("https://www.youtube.com/watch?v=dr1-fPkTxZM&amp;t=183s", "Go to time")</f>
        <v/>
      </c>
    </row>
    <row r="9664">
      <c r="A9664">
        <f>HYPERLINK("https://www.youtube.com/watch?v=3OgsRa7VDtI", "Video")</f>
        <v/>
      </c>
      <c r="B9664" t="inlineStr">
        <is>
          <t>6:17</t>
        </is>
      </c>
      <c r="C9664" t="inlineStr">
        <is>
          <t>you can think
of our team a little bit like</t>
        </is>
      </c>
      <c r="D9664">
        <f>HYPERLINK("https://www.youtube.com/watch?v=3OgsRa7VDtI&amp;t=377s", "Go to time")</f>
        <v/>
      </c>
    </row>
    <row r="9665">
      <c r="A9665">
        <f>HYPERLINK("https://www.youtube.com/watch?v=3OgsRa7VDtI", "Video")</f>
        <v/>
      </c>
      <c r="B9665" t="inlineStr">
        <is>
          <t>10:34</t>
        </is>
      </c>
      <c r="C9665" t="inlineStr">
        <is>
          <t>and breaking them up
into bite-sized chunks,</t>
        </is>
      </c>
      <c r="D9665">
        <f>HYPERLINK("https://www.youtube.com/watch?v=3OgsRa7VDtI&amp;t=634s", "Go to time")</f>
        <v/>
      </c>
    </row>
    <row r="9666">
      <c r="A9666">
        <f>HYPERLINK("https://www.youtube.com/watch?v=tPBFVIxnbDw", "Video")</f>
        <v/>
      </c>
      <c r="B9666" t="inlineStr">
        <is>
          <t>7:28</t>
        </is>
      </c>
      <c r="C9666" t="inlineStr">
        <is>
          <t>to save a little bit of money
for a rainy day.</t>
        </is>
      </c>
      <c r="D9666">
        <f>HYPERLINK("https://www.youtube.com/watch?v=tPBFVIxnbDw&amp;t=448s", "Go to time")</f>
        <v/>
      </c>
    </row>
    <row r="9667">
      <c r="A9667">
        <f>HYPERLINK("https://www.youtube.com/watch?v=tPBFVIxnbDw", "Video")</f>
        <v/>
      </c>
      <c r="B9667" t="inlineStr">
        <is>
          <t>7:56</t>
        </is>
      </c>
      <c r="C9667" t="inlineStr">
        <is>
          <t>So we wanted people to keep
a little bit of money for a rainy day.</t>
        </is>
      </c>
      <c r="D9667">
        <f>HYPERLINK("https://www.youtube.com/watch?v=tPBFVIxnbDw&amp;t=476s", "Go to time")</f>
        <v/>
      </c>
    </row>
    <row r="9668">
      <c r="A9668">
        <f>HYPERLINK("https://www.youtube.com/watch?v=tPBFVIxnbDw", "Video")</f>
        <v/>
      </c>
      <c r="B9668" t="inlineStr">
        <is>
          <t>8:28</t>
        </is>
      </c>
      <c r="C9668" t="inlineStr">
        <is>
          <t>Right? I'm Jewish, a little bit
of guilt always works.</t>
        </is>
      </c>
      <c r="D9668">
        <f>HYPERLINK("https://www.youtube.com/watch?v=tPBFVIxnbDw&amp;t=508s", "Go to time")</f>
        <v/>
      </c>
    </row>
    <row r="9669">
      <c r="A9669">
        <f>HYPERLINK("https://www.youtube.com/watch?v=H03o2WCBoDU", "Video")</f>
        <v/>
      </c>
      <c r="B9669" t="inlineStr">
        <is>
          <t>1:12</t>
        </is>
      </c>
      <c r="C9669" t="inlineStr">
        <is>
          <t>Now, this may sound fine in a sound bite,</t>
        </is>
      </c>
      <c r="D9669">
        <f>HYPERLINK("https://www.youtube.com/watch?v=H03o2WCBoDU&amp;t=72s", "Go to time")</f>
        <v/>
      </c>
    </row>
    <row r="9670">
      <c r="A9670">
        <f>HYPERLINK("https://www.youtube.com/watch?v=H03o2WCBoDU", "Video")</f>
        <v/>
      </c>
      <c r="B9670" t="inlineStr">
        <is>
          <t>4:15</t>
        </is>
      </c>
      <c r="C9670" t="inlineStr">
        <is>
          <t>Well, reality's a little bit different.</t>
        </is>
      </c>
      <c r="D9670">
        <f>HYPERLINK("https://www.youtube.com/watch?v=H03o2WCBoDU&amp;t=255s", "Go to time")</f>
        <v/>
      </c>
    </row>
    <row r="9671">
      <c r="A9671">
        <f>HYPERLINK("https://www.youtube.com/watch?v=dsJWs6Z6eNs", "Video")</f>
        <v/>
      </c>
      <c r="B9671" t="inlineStr">
        <is>
          <t>14:22</t>
        </is>
      </c>
      <c r="C9671" t="inlineStr">
        <is>
          <t>Maybe that makes me a bit biased,</t>
        </is>
      </c>
      <c r="D9671">
        <f>HYPERLINK("https://www.youtube.com/watch?v=dsJWs6Z6eNs&amp;t=862s", "Go to time")</f>
        <v/>
      </c>
    </row>
    <row r="9672">
      <c r="A9672">
        <f>HYPERLINK("https://www.youtube.com/watch?v=9_H9wtQi7mg", "Video")</f>
        <v/>
      </c>
      <c r="B9672" t="inlineStr">
        <is>
          <t>1:30</t>
        </is>
      </c>
      <c r="C9672" t="inlineStr">
        <is>
          <t>fishing cats are threatened
by habitat loss,</t>
        </is>
      </c>
      <c r="D9672">
        <f>HYPERLINK("https://www.youtube.com/watch?v=9_H9wtQi7mg&amp;t=90s", "Go to time")</f>
        <v/>
      </c>
    </row>
    <row r="9673">
      <c r="A9673">
        <f>HYPERLINK("https://www.youtube.com/watch?v=9_H9wtQi7mg", "Video")</f>
        <v/>
      </c>
      <c r="B9673" t="inlineStr">
        <is>
          <t>1:46</t>
        </is>
      </c>
      <c r="C9673" t="inlineStr">
        <is>
          <t>are much more than just habitat
to the fishing cat.</t>
        </is>
      </c>
      <c r="D9673">
        <f>HYPERLINK("https://www.youtube.com/watch?v=9_H9wtQi7mg&amp;t=106s", "Go to time")</f>
        <v/>
      </c>
    </row>
    <row r="9674">
      <c r="A9674">
        <f>HYPERLINK("https://www.youtube.com/watch?v=B905LapVP7I", "Video")</f>
        <v/>
      </c>
      <c r="B9674" t="inlineStr">
        <is>
          <t>5:06</t>
        </is>
      </c>
      <c r="C9674" t="inlineStr">
        <is>
          <t>It's when every day
brings a little bit of a surprise</t>
        </is>
      </c>
      <c r="D9674">
        <f>HYPERLINK("https://www.youtube.com/watch?v=B905LapVP7I&amp;t=306s", "Go to time")</f>
        <v/>
      </c>
    </row>
    <row r="9675">
      <c r="A9675">
        <f>HYPERLINK("https://www.youtube.com/watch?v=D2o7e4_IVbs", "Video")</f>
        <v/>
      </c>
      <c r="B9675" t="inlineStr">
        <is>
          <t>6:36</t>
        </is>
      </c>
      <c r="C9675" t="inlineStr">
        <is>
          <t>But something a bit painful
was, of course,</t>
        </is>
      </c>
      <c r="D9675">
        <f>HYPERLINK("https://www.youtube.com/watch?v=D2o7e4_IVbs&amp;t=396s", "Go to time")</f>
        <v/>
      </c>
    </row>
    <row r="9676">
      <c r="A9676">
        <f>HYPERLINK("https://www.youtube.com/watch?v=r92jUj7gNRw", "Video")</f>
        <v/>
      </c>
      <c r="B9676" t="inlineStr">
        <is>
          <t>0:30</t>
        </is>
      </c>
      <c r="C9676" t="inlineStr">
        <is>
          <t>Well, it's a little bit of debate,</t>
        </is>
      </c>
      <c r="D9676">
        <f>HYPERLINK("https://www.youtube.com/watch?v=r92jUj7gNRw&amp;t=30s", "Go to time")</f>
        <v/>
      </c>
    </row>
    <row r="9677">
      <c r="A9677">
        <f>HYPERLINK("https://www.youtube.com/watch?v=r92jUj7gNRw", "Video")</f>
        <v/>
      </c>
      <c r="B9677" t="inlineStr">
        <is>
          <t>4:57</t>
        </is>
      </c>
      <c r="C9677" t="inlineStr">
        <is>
          <t>I don't think my family
were the least bit surprised.</t>
        </is>
      </c>
      <c r="D9677">
        <f>HYPERLINK("https://www.youtube.com/watch?v=r92jUj7gNRw&amp;t=297s", "Go to time")</f>
        <v/>
      </c>
    </row>
    <row r="9678">
      <c r="A9678">
        <f>HYPERLINK("https://www.youtube.com/watch?v=O13KwsyDqeE", "Video")</f>
        <v/>
      </c>
      <c r="B9678" t="inlineStr">
        <is>
          <t>5:57</t>
        </is>
      </c>
      <c r="C9678" t="inlineStr">
        <is>
          <t>and being a fairly informed gay man,
I had read a bit on HIV,</t>
        </is>
      </c>
      <c r="D9678">
        <f>HYPERLINK("https://www.youtube.com/watch?v=O13KwsyDqeE&amp;t=357s", "Go to time")</f>
        <v/>
      </c>
    </row>
    <row r="9679">
      <c r="A9679">
        <f>HYPERLINK("https://www.youtube.com/watch?v=O13KwsyDqeE", "Video")</f>
        <v/>
      </c>
      <c r="B9679" t="inlineStr">
        <is>
          <t>12:48</t>
        </is>
      </c>
      <c r="C9679" t="inlineStr">
        <is>
          <t>They would assume things
about my sex life or my sex habits.</t>
        </is>
      </c>
      <c r="D9679">
        <f>HYPERLINK("https://www.youtube.com/watch?v=O13KwsyDqeE&amp;t=768s", "Go to time")</f>
        <v/>
      </c>
    </row>
    <row r="9680">
      <c r="A9680">
        <f>HYPERLINK("https://www.youtube.com/watch?v=Ay92O1lUfqI", "Video")</f>
        <v/>
      </c>
      <c r="B9680" t="inlineStr">
        <is>
          <t>3:34</t>
        </is>
      </c>
      <c r="C9680" t="inlineStr">
        <is>
          <t>everybody wanna take a big bite I'm</t>
        </is>
      </c>
      <c r="D9680">
        <f>HYPERLINK("https://www.youtube.com/watch?v=Ay92O1lUfqI&amp;t=214s", "Go to time")</f>
        <v/>
      </c>
    </row>
    <row r="9681">
      <c r="A9681">
        <f>HYPERLINK("https://www.youtube.com/watch?v=MJd6Y50hfAM", "Video")</f>
        <v/>
      </c>
      <c r="B9681" t="inlineStr">
        <is>
          <t>0:55</t>
        </is>
      </c>
      <c r="C9681" t="inlineStr">
        <is>
          <t>I just jump right in that bitch.</t>
        </is>
      </c>
      <c r="D9681">
        <f>HYPERLINK("https://www.youtube.com/watch?v=MJd6Y50hfAM&amp;t=55s", "Go to time")</f>
        <v/>
      </c>
    </row>
    <row r="9682">
      <c r="A9682">
        <f>HYPERLINK("https://www.youtube.com/watch?v=zMWYQRKuc5M", "Video")</f>
        <v/>
      </c>
      <c r="B9682" t="inlineStr">
        <is>
          <t>5:46</t>
        </is>
      </c>
      <c r="C9682" t="inlineStr">
        <is>
          <t>I think on some level I wanted
to feel a little bit crazy,</t>
        </is>
      </c>
      <c r="D9682">
        <f>HYPERLINK("https://www.youtube.com/watch?v=zMWYQRKuc5M&amp;t=346s", "Go to time")</f>
        <v/>
      </c>
    </row>
    <row r="9683">
      <c r="A9683">
        <f>HYPERLINK("https://www.youtube.com/watch?v=zMWYQRKuc5M", "Video")</f>
        <v/>
      </c>
      <c r="B9683" t="inlineStr">
        <is>
          <t>6:46</t>
        </is>
      </c>
      <c r="C9683" t="inlineStr">
        <is>
          <t>Most of us do feel a bit mad
in the early stages of romantic love.</t>
        </is>
      </c>
      <c r="D9683">
        <f>HYPERLINK("https://www.youtube.com/watch?v=zMWYQRKuc5M&amp;t=406s", "Go to time")</f>
        <v/>
      </c>
    </row>
    <row r="9684">
      <c r="A9684">
        <f>HYPERLINK("https://www.youtube.com/watch?v=WyOSqjIABe0", "Video")</f>
        <v/>
      </c>
      <c r="B9684" t="inlineStr">
        <is>
          <t>5:05</t>
        </is>
      </c>
      <c r="C9684" t="inlineStr">
        <is>
          <t>well, I have a compulsive habit.</t>
        </is>
      </c>
      <c r="D9684">
        <f>HYPERLINK("https://www.youtube.com/watch?v=WyOSqjIABe0&amp;t=305s", "Go to time")</f>
        <v/>
      </c>
    </row>
    <row r="9685">
      <c r="A9685">
        <f>HYPERLINK("https://www.youtube.com/watch?v=WyOSqjIABe0", "Video")</f>
        <v/>
      </c>
      <c r="B9685" t="inlineStr">
        <is>
          <t>5:41</t>
        </is>
      </c>
      <c r="C9685" t="inlineStr">
        <is>
          <t>If I could move my head off
to one side a little bit,</t>
        </is>
      </c>
      <c r="D9685">
        <f>HYPERLINK("https://www.youtube.com/watch?v=WyOSqjIABe0&amp;t=341s", "Go to time")</f>
        <v/>
      </c>
    </row>
    <row r="9686">
      <c r="A9686">
        <f>HYPERLINK("https://www.youtube.com/watch?v=WyOSqjIABe0", "Video")</f>
        <v/>
      </c>
      <c r="B9686" t="inlineStr">
        <is>
          <t>10:27</t>
        </is>
      </c>
      <c r="C9686" t="inlineStr">
        <is>
          <t>like, you know,
every ambitious project is --</t>
        </is>
      </c>
      <c r="D9686">
        <f>HYPERLINK("https://www.youtube.com/watch?v=WyOSqjIABe0&amp;t=627s", "Go to time")</f>
        <v/>
      </c>
    </row>
    <row r="9687">
      <c r="A9687">
        <f>HYPERLINK("https://www.youtube.com/watch?v=WyOSqjIABe0", "Video")</f>
        <v/>
      </c>
      <c r="B9687" t="inlineStr">
        <is>
          <t>11:02</t>
        </is>
      </c>
      <c r="C9687" t="inlineStr">
        <is>
          <t>and plenty of them will turn out
to be every bit as reliable as we need,</t>
        </is>
      </c>
      <c r="D9687">
        <f>HYPERLINK("https://www.youtube.com/watch?v=WyOSqjIABe0&amp;t=662s", "Go to time")</f>
        <v/>
      </c>
    </row>
    <row r="9688">
      <c r="A9688">
        <f>HYPERLINK("https://www.youtube.com/watch?v=hokUdXYRe2Q", "Video")</f>
        <v/>
      </c>
      <c r="B9688" t="inlineStr">
        <is>
          <t>5:50</t>
        </is>
      </c>
      <c r="C9688" t="inlineStr">
        <is>
          <t>like Dropbox, Fitbit and Mint,</t>
        </is>
      </c>
      <c r="D9688">
        <f>HYPERLINK("https://www.youtube.com/watch?v=hokUdXYRe2Q&amp;t=350s", "Go to time")</f>
        <v/>
      </c>
    </row>
    <row r="9689">
      <c r="A9689">
        <f>HYPERLINK("https://www.youtube.com/watch?v=1GRt0j698T4", "Video")</f>
        <v/>
      </c>
      <c r="B9689" t="inlineStr">
        <is>
          <t>1:11</t>
        </is>
      </c>
      <c r="C9689" t="inlineStr">
        <is>
          <t>Maybe it looks a bit daunting to you,</t>
        </is>
      </c>
      <c r="D9689">
        <f>HYPERLINK("https://www.youtube.com/watch?v=1GRt0j698T4&amp;t=71s", "Go to time")</f>
        <v/>
      </c>
    </row>
    <row r="9690">
      <c r="A9690">
        <f>HYPERLINK("https://www.youtube.com/watch?v=uuviC8Uoh1Y", "Video")</f>
        <v/>
      </c>
      <c r="B9690" t="inlineStr">
        <is>
          <t>1:03</t>
        </is>
      </c>
      <c r="C9690" t="inlineStr">
        <is>
          <t>Imagine biting into
a perfectly marbled steak.</t>
        </is>
      </c>
      <c r="D9690">
        <f>HYPERLINK("https://www.youtube.com/watch?v=uuviC8Uoh1Y&amp;t=63s", "Go to time")</f>
        <v/>
      </c>
    </row>
    <row r="9691">
      <c r="A9691">
        <f>HYPERLINK("https://www.youtube.com/watch?v=uuviC8Uoh1Y", "Video")</f>
        <v/>
      </c>
      <c r="B9691" t="inlineStr">
        <is>
          <t>6:47</t>
        </is>
      </c>
      <c r="C9691" t="inlineStr">
        <is>
          <t>every bite you take
is not only delectable, healthy,</t>
        </is>
      </c>
      <c r="D9691">
        <f>HYPERLINK("https://www.youtube.com/watch?v=uuviC8Uoh1Y&amp;t=407s", "Go to time")</f>
        <v/>
      </c>
    </row>
    <row r="9692">
      <c r="A9692">
        <f>HYPERLINK("https://www.youtube.com/watch?v=VAQMsprq-Ps", "Video")</f>
        <v/>
      </c>
      <c r="B9692" t="inlineStr">
        <is>
          <t>5:14</t>
        </is>
      </c>
      <c r="C9692" t="inlineStr">
        <is>
          <t>to protect critical habitats.</t>
        </is>
      </c>
      <c r="D9692">
        <f>HYPERLINK("https://www.youtube.com/watch?v=VAQMsprq-Ps&amp;t=314s", "Go to time")</f>
        <v/>
      </c>
    </row>
    <row r="9693">
      <c r="A9693">
        <f>HYPERLINK("https://www.youtube.com/watch?v=VAQMsprq-Ps", "Video")</f>
        <v/>
      </c>
      <c r="B9693" t="inlineStr">
        <is>
          <t>5:23</t>
        </is>
      </c>
      <c r="C9693" t="inlineStr">
        <is>
          <t>to protect critical habitats
in seven marine parks</t>
        </is>
      </c>
      <c r="D9693">
        <f>HYPERLINK("https://www.youtube.com/watch?v=VAQMsprq-Ps&amp;t=323s", "Go to time")</f>
        <v/>
      </c>
    </row>
    <row r="9694">
      <c r="A9694">
        <f>HYPERLINK("https://www.youtube.com/watch?v=qWNae7vYK6s", "Video")</f>
        <v/>
      </c>
      <c r="B9694" t="inlineStr">
        <is>
          <t>10:50</t>
        </is>
      </c>
      <c r="C9694" t="inlineStr">
        <is>
          <t>whether or not you have
a forced arbitration clause</t>
        </is>
      </c>
      <c r="D9694">
        <f>HYPERLINK("https://www.youtube.com/watch?v=qWNae7vYK6s&amp;t=650s", "Go to time")</f>
        <v/>
      </c>
    </row>
    <row r="9695">
      <c r="A9695">
        <f>HYPERLINK("https://www.youtube.com/watch?v=qWNae7vYK6s", "Video")</f>
        <v/>
      </c>
      <c r="B9695" t="inlineStr">
        <is>
          <t>11:13</t>
        </is>
      </c>
      <c r="C9695" t="inlineStr">
        <is>
          <t>Forced arbitration takes away
your Seventh Amendment right</t>
        </is>
      </c>
      <c r="D9695">
        <f>HYPERLINK("https://www.youtube.com/watch?v=qWNae7vYK6s&amp;t=673s", "Go to time")</f>
        <v/>
      </c>
    </row>
    <row r="9696">
      <c r="A9696">
        <f>HYPERLINK("https://www.youtube.com/watch?v=qWNae7vYK6s", "Video")</f>
        <v/>
      </c>
      <c r="B9696" t="inlineStr">
        <is>
          <t>11:22</t>
        </is>
      </c>
      <c r="C9696" t="inlineStr">
        <is>
          <t>In many cases, the company
picks the arbitrator for you.</t>
        </is>
      </c>
      <c r="D9696">
        <f>HYPERLINK("https://www.youtube.com/watch?v=qWNae7vYK6s&amp;t=682s", "Go to time")</f>
        <v/>
      </c>
    </row>
    <row r="9697">
      <c r="A9697">
        <f>HYPERLINK("https://www.youtube.com/watch?v=6pSoGKc-U7w", "Video")</f>
        <v/>
      </c>
      <c r="B9697" t="inlineStr">
        <is>
          <t>5:32</t>
        </is>
      </c>
      <c r="C9697" t="inlineStr">
        <is>
          <t>just need to be authoritative
and ambitious in order to succeed.</t>
        </is>
      </c>
      <c r="D9697">
        <f>HYPERLINK("https://www.youtube.com/watch?v=6pSoGKc-U7w&amp;t=332s", "Go to time")</f>
        <v/>
      </c>
    </row>
    <row r="9698">
      <c r="A9698">
        <f>HYPERLINK("https://www.youtube.com/watch?v=04PmEJaYKd0", "Video")</f>
        <v/>
      </c>
      <c r="B9698" t="inlineStr">
        <is>
          <t>5:41</t>
        </is>
      </c>
      <c r="C9698" t="inlineStr">
        <is>
          <t>And if you click on "obituary," dang.</t>
        </is>
      </c>
      <c r="D9698">
        <f>HYPERLINK("https://www.youtube.com/watch?v=04PmEJaYKd0&amp;t=341s", "Go to time")</f>
        <v/>
      </c>
    </row>
    <row r="9699">
      <c r="A9699">
        <f>HYPERLINK("https://www.youtube.com/watch?v=bIBNebXhNuU", "Video")</f>
        <v/>
      </c>
      <c r="B9699" t="inlineStr">
        <is>
          <t>6:53</t>
        </is>
      </c>
      <c r="C9699" t="inlineStr">
        <is>
          <t>that sends you down a rabbit hole
of blog posts and news articles?</t>
        </is>
      </c>
      <c r="D9699">
        <f>HYPERLINK("https://www.youtube.com/watch?v=bIBNebXhNuU&amp;t=413s", "Go to time")</f>
        <v/>
      </c>
    </row>
    <row r="9700">
      <c r="A9700">
        <f>HYPERLINK("https://www.youtube.com/watch?v=bTsRTZ9hflk", "Video")</f>
        <v/>
      </c>
      <c r="B9700" t="inlineStr">
        <is>
          <t>1:19</t>
        </is>
      </c>
      <c r="C9700" t="inlineStr">
        <is>
          <t>that Cassini-Huygens,
an orbiter lander pair launched in 1997,</t>
        </is>
      </c>
      <c r="D9700">
        <f>HYPERLINK("https://www.youtube.com/watch?v=bTsRTZ9hflk&amp;t=79s", "Go to time")</f>
        <v/>
      </c>
    </row>
    <row r="9701">
      <c r="A9701">
        <f>HYPERLINK("https://www.youtube.com/watch?v=bTsRTZ9hflk", "Video")</f>
        <v/>
      </c>
      <c r="B9701" t="inlineStr">
        <is>
          <t>2:16</t>
        </is>
      </c>
      <c r="C9701" t="inlineStr">
        <is>
          <t>beyond the orbits of Mars
and the asteroid belt</t>
        </is>
      </c>
      <c r="D9701">
        <f>HYPERLINK("https://www.youtube.com/watch?v=bTsRTZ9hflk&amp;t=136s", "Go to time")</f>
        <v/>
      </c>
    </row>
    <row r="9702">
      <c r="A9702">
        <f>HYPERLINK("https://www.youtube.com/watch?v=bTsRTZ9hflk", "Video")</f>
        <v/>
      </c>
      <c r="B9702" t="inlineStr">
        <is>
          <t>4:21</t>
        </is>
      </c>
      <c r="C9702" t="inlineStr">
        <is>
          <t>In orbiting Saturn for over a decade</t>
        </is>
      </c>
      <c r="D9702">
        <f>HYPERLINK("https://www.youtube.com/watch?v=bTsRTZ9hflk&amp;t=261s", "Go to time")</f>
        <v/>
      </c>
    </row>
    <row r="9703">
      <c r="A9703">
        <f>HYPERLINK("https://www.youtube.com/watch?v=bTsRTZ9hflk", "Video")</f>
        <v/>
      </c>
      <c r="B9703" t="inlineStr">
        <is>
          <t>4:26</t>
        </is>
      </c>
      <c r="C9703" t="inlineStr">
        <is>
          <t>Cassini and Huygens pulled
Titan's veil back a bit further.</t>
        </is>
      </c>
      <c r="D9703">
        <f>HYPERLINK("https://www.youtube.com/watch?v=bTsRTZ9hflk&amp;t=266s", "Go to time")</f>
        <v/>
      </c>
    </row>
    <row r="9704">
      <c r="A9704">
        <f>HYPERLINK("https://www.youtube.com/watch?v=bTsRTZ9hflk", "Video")</f>
        <v/>
      </c>
      <c r="B9704" t="inlineStr">
        <is>
          <t>5:08</t>
        </is>
      </c>
      <c r="C9704" t="inlineStr">
        <is>
          <t>and teaching us about
the habitability of other worlds.</t>
        </is>
      </c>
      <c r="D9704">
        <f>HYPERLINK("https://www.youtube.com/watch?v=bTsRTZ9hflk&amp;t=308s", "Go to time")</f>
        <v/>
      </c>
    </row>
    <row r="9705">
      <c r="A9705">
        <f>HYPERLINK("https://www.youtube.com/watch?v=bTsRTZ9hflk", "Video")</f>
        <v/>
      </c>
      <c r="B9705" t="inlineStr">
        <is>
          <t>5:13</t>
        </is>
      </c>
      <c r="C9705" t="inlineStr">
        <is>
          <t>Habitability is a fascinating concept.</t>
        </is>
      </c>
      <c r="D9705">
        <f>HYPERLINK("https://www.youtube.com/watch?v=bTsRTZ9hflk&amp;t=313s", "Go to time")</f>
        <v/>
      </c>
    </row>
    <row r="9706">
      <c r="A9706">
        <f>HYPERLINK("https://www.youtube.com/watch?v=xDDfUWic4CI", "Video")</f>
        <v/>
      </c>
      <c r="B9706" t="inlineStr">
        <is>
          <t>2:57</t>
        </is>
      </c>
      <c r="C9706" t="inlineStr">
        <is>
          <t>new habits and routines into place and a</t>
        </is>
      </c>
      <c r="D9706">
        <f>HYPERLINK("https://www.youtube.com/watch?v=xDDfUWic4CI&amp;t=177s", "Go to time")</f>
        <v/>
      </c>
    </row>
    <row r="9707">
      <c r="A9707">
        <f>HYPERLINK("https://www.youtube.com/watch?v=xDDfUWic4CI", "Video")</f>
        <v/>
      </c>
      <c r="B9707" t="inlineStr">
        <is>
          <t>21:52</t>
        </is>
      </c>
      <c r="C9707" t="inlineStr">
        <is>
          <t>some amount of of a little bit of shared</t>
        </is>
      </c>
      <c r="D9707">
        <f>HYPERLINK("https://www.youtube.com/watch?v=xDDfUWic4CI&amp;t=1312s", "Go to time")</f>
        <v/>
      </c>
    </row>
    <row r="9708">
      <c r="A9708">
        <f>HYPERLINK("https://www.youtube.com/watch?v=xDDfUWic4CI", "Video")</f>
        <v/>
      </c>
      <c r="B9708" t="inlineStr">
        <is>
          <t>22:12</t>
        </is>
      </c>
      <c r="C9708" t="inlineStr">
        <is>
          <t>bit of like a rip in the universe um and</t>
        </is>
      </c>
      <c r="D9708">
        <f>HYPERLINK("https://www.youtube.com/watch?v=xDDfUWic4CI&amp;t=1332s", "Go to time")</f>
        <v/>
      </c>
    </row>
    <row r="9709">
      <c r="A9709">
        <f>HYPERLINK("https://www.youtube.com/watch?v=xDDfUWic4CI", "Video")</f>
        <v/>
      </c>
      <c r="B9709" t="inlineStr">
        <is>
          <t>29:11</t>
        </is>
      </c>
      <c r="C9709" t="inlineStr">
        <is>
          <t>is a little bit um counter to the maybe</t>
        </is>
      </c>
      <c r="D9709">
        <f>HYPERLINK("https://www.youtube.com/watch?v=xDDfUWic4CI&amp;t=1751s", "Go to time")</f>
        <v/>
      </c>
    </row>
    <row r="9710">
      <c r="A9710">
        <f>HYPERLINK("https://www.youtube.com/watch?v=JI-HzvXk5bk", "Video")</f>
        <v/>
      </c>
      <c r="B9710" t="inlineStr">
        <is>
          <t>3:09</t>
        </is>
      </c>
      <c r="C9710" t="inlineStr">
        <is>
          <t>and families were bitterly split.</t>
        </is>
      </c>
      <c r="D9710">
        <f>HYPERLINK("https://www.youtube.com/watch?v=JI-HzvXk5bk&amp;t=189s", "Go to time")</f>
        <v/>
      </c>
    </row>
    <row r="9711">
      <c r="A9711">
        <f>HYPERLINK("https://www.youtube.com/watch?v=WDaa6wBrDLo", "Video")</f>
        <v/>
      </c>
      <c r="B9711" t="inlineStr">
        <is>
          <t>3:06</t>
        </is>
      </c>
      <c r="C9711" t="inlineStr">
        <is>
          <t>electrifying 60 percent,
which is ambitious,</t>
        </is>
      </c>
      <c r="D9711">
        <f>HYPERLINK("https://www.youtube.com/watch?v=WDaa6wBrDLo&amp;t=186s", "Go to time")</f>
        <v/>
      </c>
    </row>
    <row r="9712">
      <c r="A9712">
        <f>HYPERLINK("https://www.youtube.com/watch?v=WDaa6wBrDLo", "Video")</f>
        <v/>
      </c>
      <c r="B9712" t="inlineStr">
        <is>
          <t>4:27</t>
        </is>
      </c>
      <c r="C9712" t="inlineStr">
        <is>
          <t>The third reason is a bit more debatable,</t>
        </is>
      </c>
      <c r="D9712">
        <f>HYPERLINK("https://www.youtube.com/watch?v=WDaa6wBrDLo&amp;t=267s", "Go to time")</f>
        <v/>
      </c>
    </row>
    <row r="9713">
      <c r="A9713">
        <f>HYPERLINK("https://www.youtube.com/watch?v=WDaa6wBrDLo", "Video")</f>
        <v/>
      </c>
      <c r="B9713" t="inlineStr">
        <is>
          <t>6:36</t>
        </is>
      </c>
      <c r="C9713" t="inlineStr">
        <is>
          <t>Again, the exact amount depends
on quite how ambitious we're able to be.</t>
        </is>
      </c>
      <c r="D9713">
        <f>HYPERLINK("https://www.youtube.com/watch?v=WDaa6wBrDLo&amp;t=396s", "Go to time")</f>
        <v/>
      </c>
    </row>
    <row r="9714">
      <c r="A9714">
        <f>HYPERLINK("https://www.youtube.com/watch?v=WDaa6wBrDLo", "Video")</f>
        <v/>
      </c>
      <c r="B9714" t="inlineStr">
        <is>
          <t>9:07</t>
        </is>
      </c>
      <c r="C9714" t="inlineStr">
        <is>
          <t>Many people are wary
of ambitious climate action</t>
        </is>
      </c>
      <c r="D9714">
        <f>HYPERLINK("https://www.youtube.com/watch?v=WDaa6wBrDLo&amp;t=547s", "Go to time")</f>
        <v/>
      </c>
    </row>
    <row r="9715">
      <c r="A9715">
        <f>HYPERLINK("https://www.youtube.com/watch?v=0xfJy96HJqo", "Video")</f>
        <v/>
      </c>
      <c r="B9715" t="inlineStr">
        <is>
          <t>4:10</t>
        </is>
      </c>
      <c r="C9715" t="inlineStr">
        <is>
          <t>that the habit of visiting libraries
is often generational tradition.</t>
        </is>
      </c>
      <c r="D9715">
        <f>HYPERLINK("https://www.youtube.com/watch?v=0xfJy96HJqo&amp;t=250s", "Go to time")</f>
        <v/>
      </c>
    </row>
    <row r="9716">
      <c r="A9716">
        <f>HYPERLINK("https://www.youtube.com/watch?v=Nh1QvWm0BrQ", "Video")</f>
        <v/>
      </c>
      <c r="B9716" t="inlineStr">
        <is>
          <t>4:47</t>
        </is>
      </c>
      <c r="C9716" t="inlineStr">
        <is>
          <t>I'm pretty sure there was
a little bit of judgment,</t>
        </is>
      </c>
      <c r="D9716">
        <f>HYPERLINK("https://www.youtube.com/watch?v=Nh1QvWm0BrQ&amp;t=287s", "Go to time")</f>
        <v/>
      </c>
    </row>
    <row r="9717">
      <c r="A9717">
        <f>HYPERLINK("https://www.youtube.com/watch?v=Nh1QvWm0BrQ", "Video")</f>
        <v/>
      </c>
      <c r="B9717" t="inlineStr">
        <is>
          <t>6:04</t>
        </is>
      </c>
      <c r="C9717" t="inlineStr">
        <is>
          <t>Will you go a little bit slower at times?</t>
        </is>
      </c>
      <c r="D9717">
        <f>HYPERLINK("https://www.youtube.com/watch?v=Nh1QvWm0BrQ&amp;t=364s", "Go to time")</f>
        <v/>
      </c>
    </row>
    <row r="9718">
      <c r="A9718">
        <f>HYPERLINK("https://www.youtube.com/watch?v=0BF2Np5J6jY", "Video")</f>
        <v/>
      </c>
      <c r="B9718" t="inlineStr">
        <is>
          <t>4:03</t>
        </is>
      </c>
      <c r="C9718" t="inlineStr">
        <is>
          <t>Rule one is to harness ambition loops,</t>
        </is>
      </c>
      <c r="D9718">
        <f>HYPERLINK("https://www.youtube.com/watch?v=0BF2Np5J6jY&amp;t=243s", "Go to time")</f>
        <v/>
      </c>
    </row>
    <row r="9719">
      <c r="A9719">
        <f>HYPERLINK("https://www.youtube.com/watch?v=0BF2Np5J6jY", "Video")</f>
        <v/>
      </c>
      <c r="B9719" t="inlineStr">
        <is>
          <t>4:06</t>
        </is>
      </c>
      <c r="C9719" t="inlineStr">
        <is>
          <t>which are simply feedback loops
driving ever-higher levels of ambition.</t>
        </is>
      </c>
      <c r="D9719">
        <f>HYPERLINK("https://www.youtube.com/watch?v=0BF2Np5J6jY&amp;t=246s", "Go to time")</f>
        <v/>
      </c>
    </row>
    <row r="9720">
      <c r="A9720">
        <f>HYPERLINK("https://www.youtube.com/watch?v=0BF2Np5J6jY", "Video")</f>
        <v/>
      </c>
      <c r="B9720" t="inlineStr">
        <is>
          <t>4:28</t>
        </is>
      </c>
      <c r="C9720" t="inlineStr">
        <is>
          <t>That’s an ambition loop,</t>
        </is>
      </c>
      <c r="D9720">
        <f>HYPERLINK("https://www.youtube.com/watch?v=0BF2Np5J6jY&amp;t=268s", "Go to time")</f>
        <v/>
      </c>
    </row>
    <row r="9721">
      <c r="A9721">
        <f>HYPERLINK("https://www.youtube.com/watch?v=0BF2Np5J6jY", "Video")</f>
        <v/>
      </c>
      <c r="B9721" t="inlineStr">
        <is>
          <t>4:31</t>
        </is>
      </c>
      <c r="C9721" t="inlineStr">
        <is>
          <t>is an opportunity to drive
an ambition loop</t>
        </is>
      </c>
      <c r="D9721">
        <f>HYPERLINK("https://www.youtube.com/watch?v=0BF2Np5J6jY&amp;t=271s", "Go to time")</f>
        <v/>
      </c>
    </row>
    <row r="9722">
      <c r="A9722">
        <f>HYPERLINK("https://www.youtube.com/watch?v=0BF2Np5J6jY", "Video")</f>
        <v/>
      </c>
      <c r="B9722" t="inlineStr">
        <is>
          <t>6:29</t>
        </is>
      </c>
      <c r="C9722" t="inlineStr">
        <is>
          <t>They’ve mapped the
interconnected ambition loops,</t>
        </is>
      </c>
      <c r="D9722">
        <f>HYPERLINK("https://www.youtube.com/watch?v=0BF2Np5J6jY&amp;t=389s", "Go to time")</f>
        <v/>
      </c>
    </row>
    <row r="9723">
      <c r="A9723">
        <f>HYPERLINK("https://www.youtube.com/watch?v=0BF2Np5J6jY", "Video")</f>
        <v/>
      </c>
      <c r="B9723" t="inlineStr">
        <is>
          <t>6:52</t>
        </is>
      </c>
      <c r="C9723" t="inlineStr">
        <is>
          <t>of all of those
interconnected ambition loops</t>
        </is>
      </c>
      <c r="D9723">
        <f>HYPERLINK("https://www.youtube.com/watch?v=0BF2Np5J6jY&amp;t=412s", "Go to time")</f>
        <v/>
      </c>
    </row>
    <row r="9724">
      <c r="A9724">
        <f>HYPERLINK("https://www.youtube.com/watch?v=0BF2Np5J6jY", "Video")</f>
        <v/>
      </c>
      <c r="B9724" t="inlineStr">
        <is>
          <t>8:47</t>
        </is>
      </c>
      <c r="C9724" t="inlineStr">
        <is>
          <t>much more ambitiously,
by 45 percent by 2030.</t>
        </is>
      </c>
      <c r="D9724">
        <f>HYPERLINK("https://www.youtube.com/watch?v=0BF2Np5J6jY&amp;t=527s", "Go to time")</f>
        <v/>
      </c>
    </row>
    <row r="9725">
      <c r="A9725">
        <f>HYPERLINK("https://www.youtube.com/watch?v=0BF2Np5J6jY", "Video")</f>
        <v/>
      </c>
      <c r="B9725" t="inlineStr">
        <is>
          <t>10:52</t>
        </is>
      </c>
      <c r="C9725" t="inlineStr">
        <is>
          <t>One, harness ambition loops,
two, pursue exponential goals,</t>
        </is>
      </c>
      <c r="D9725">
        <f>HYPERLINK("https://www.youtube.com/watch?v=0BF2Np5J6jY&amp;t=652s", "Go to time")</f>
        <v/>
      </c>
    </row>
    <row r="9726">
      <c r="A9726">
        <f>HYPERLINK("https://www.youtube.com/watch?v=0BF2Np5J6jY", "Video")</f>
        <v/>
      </c>
      <c r="B9726" t="inlineStr">
        <is>
          <t>10:59</t>
        </is>
      </c>
      <c r="C9726" t="inlineStr">
        <is>
          <t>Now, I want to finish by reflecting
on one final and crucial ambition loop,</t>
        </is>
      </c>
      <c r="D9726">
        <f>HYPERLINK("https://www.youtube.com/watch?v=0BF2Np5J6jY&amp;t=659s", "Go to time")</f>
        <v/>
      </c>
    </row>
    <row r="9727">
      <c r="A9727">
        <f>HYPERLINK("https://www.youtube.com/watch?v=0BF2Np5J6jY", "Video")</f>
        <v/>
      </c>
      <c r="B9727" t="inlineStr">
        <is>
          <t>11:27</t>
        </is>
      </c>
      <c r="C9727" t="inlineStr">
        <is>
          <t>These stories of the future
are our ambition loop.</t>
        </is>
      </c>
      <c r="D9727">
        <f>HYPERLINK("https://www.youtube.com/watch?v=0BF2Np5J6jY&amp;t=687s", "Go to time")</f>
        <v/>
      </c>
    </row>
    <row r="9728">
      <c r="A9728">
        <f>HYPERLINK("https://www.youtube.com/watch?v=0BF2Np5J6jY", "Video")</f>
        <v/>
      </c>
      <c r="B9728" t="inlineStr">
        <is>
          <t>12:09</t>
        </is>
      </c>
      <c r="C9728" t="inlineStr">
        <is>
          <t>That’s how we build the most important
and powerful ambition loop of all.</t>
        </is>
      </c>
      <c r="D9728">
        <f>HYPERLINK("https://www.youtube.com/watch?v=0BF2Np5J6jY&amp;t=729s", "Go to time")</f>
        <v/>
      </c>
    </row>
    <row r="9729">
      <c r="A9729">
        <f>HYPERLINK("https://www.youtube.com/watch?v=PrUA8L40Dic", "Video")</f>
        <v/>
      </c>
      <c r="B9729" t="inlineStr">
        <is>
          <t>1:30</t>
        </is>
      </c>
      <c r="C9729" t="inlineStr">
        <is>
          <t>and that small delay
creates a little bit of a divide.</t>
        </is>
      </c>
      <c r="D9729">
        <f>HYPERLINK("https://www.youtube.com/watch?v=PrUA8L40Dic&amp;t=90s", "Go to time")</f>
        <v/>
      </c>
    </row>
    <row r="9730">
      <c r="A9730">
        <f>HYPERLINK("https://www.youtube.com/watch?v=PrUA8L40Dic", "Video")</f>
        <v/>
      </c>
      <c r="B9730" t="inlineStr">
        <is>
          <t>9:46</t>
        </is>
      </c>
      <c r="C9730" t="inlineStr">
        <is>
          <t>I think that timeline gets a bit longer</t>
        </is>
      </c>
      <c r="D9730">
        <f>HYPERLINK("https://www.youtube.com/watch?v=PrUA8L40Dic&amp;t=586s", "Go to time")</f>
        <v/>
      </c>
    </row>
    <row r="9731">
      <c r="A9731">
        <f>HYPERLINK("https://www.youtube.com/watch?v=mjUsobGWhs8", "Video")</f>
        <v/>
      </c>
      <c r="B9731" t="inlineStr">
        <is>
          <t>1:48</t>
        </is>
      </c>
      <c r="C9731" t="inlineStr">
        <is>
          <t>Our habitat stopped being
our natural habitat.</t>
        </is>
      </c>
      <c r="D9731">
        <f>HYPERLINK("https://www.youtube.com/watch?v=mjUsobGWhs8&amp;t=108s", "Go to time")</f>
        <v/>
      </c>
    </row>
    <row r="9732">
      <c r="A9732">
        <f>HYPERLINK("https://www.youtube.com/watch?v=Rk5C149J9C0", "Video")</f>
        <v/>
      </c>
      <c r="B9732" t="inlineStr">
        <is>
          <t>3:03</t>
        </is>
      </c>
      <c r="C9732" t="inlineStr">
        <is>
          <t>I had a little bit of an epiphany.</t>
        </is>
      </c>
      <c r="D9732">
        <f>HYPERLINK("https://www.youtube.com/watch?v=Rk5C149J9C0&amp;t=183s", "Go to time")</f>
        <v/>
      </c>
    </row>
    <row r="9733">
      <c r="A9733">
        <f>HYPERLINK("https://www.youtube.com/watch?v=9mfir8F2lpE", "Video")</f>
        <v/>
      </c>
      <c r="B9733" t="inlineStr">
        <is>
          <t>8:46</t>
        </is>
      </c>
      <c r="C9733" t="inlineStr">
        <is>
          <t>to help each other
just shine a little bit brighter.</t>
        </is>
      </c>
      <c r="D9733">
        <f>HYPERLINK("https://www.youtube.com/watch?v=9mfir8F2lpE&amp;t=526s", "Go to time")</f>
        <v/>
      </c>
    </row>
    <row r="9734">
      <c r="A9734">
        <f>HYPERLINK("https://www.youtube.com/watch?v=9mfir8F2lpE", "Video")</f>
        <v/>
      </c>
      <c r="B9734" t="inlineStr">
        <is>
          <t>10:57</t>
        </is>
      </c>
      <c r="C9734" t="inlineStr">
        <is>
          <t>that happen to be
a little bit privileged,</t>
        </is>
      </c>
      <c r="D9734">
        <f>HYPERLINK("https://www.youtube.com/watch?v=9mfir8F2lpE&amp;t=657s", "Go to time")</f>
        <v/>
      </c>
    </row>
    <row r="9735">
      <c r="A9735">
        <f>HYPERLINK("https://www.youtube.com/watch?v=WvfydcUeXls", "Video")</f>
        <v/>
      </c>
      <c r="B9735" t="inlineStr">
        <is>
          <t>11:22</t>
        </is>
      </c>
      <c r="C9735" t="inlineStr">
        <is>
          <t>It was bit of an early celebration,
because actually it wasn't enough,</t>
        </is>
      </c>
      <c r="D9735">
        <f>HYPERLINK("https://www.youtube.com/watch?v=WvfydcUeXls&amp;t=682s", "Go to time")</f>
        <v/>
      </c>
    </row>
    <row r="9736">
      <c r="A9736">
        <f>HYPERLINK("https://www.youtube.com/watch?v=uyvcUVNOqeQ", "Video")</f>
        <v/>
      </c>
      <c r="B9736" t="inlineStr">
        <is>
          <t>1:27</t>
        </is>
      </c>
      <c r="C9736" t="inlineStr">
        <is>
          <t>on the shopping habits
of the rich and the famous.</t>
        </is>
      </c>
      <c r="D9736">
        <f>HYPERLINK("https://www.youtube.com/watch?v=uyvcUVNOqeQ&amp;t=87s", "Go to time")</f>
        <v/>
      </c>
    </row>
    <row r="9737">
      <c r="A9737">
        <f>HYPERLINK("https://www.youtube.com/watch?v=CEHKGV9qotM", "Video")</f>
        <v/>
      </c>
      <c r="B9737" t="inlineStr">
        <is>
          <t>2:23</t>
        </is>
      </c>
      <c r="C9737" t="inlineStr">
        <is>
          <t>It moved the needle a little bit.</t>
        </is>
      </c>
      <c r="D9737">
        <f>HYPERLINK("https://www.youtube.com/watch?v=CEHKGV9qotM&amp;t=143s", "Go to time")</f>
        <v/>
      </c>
    </row>
    <row r="9738">
      <c r="A9738">
        <f>HYPERLINK("https://www.youtube.com/watch?v=CEHKGV9qotM", "Video")</f>
        <v/>
      </c>
      <c r="B9738" t="inlineStr">
        <is>
          <t>2:37</t>
        </is>
      </c>
      <c r="C9738" t="inlineStr">
        <is>
          <t>as a bold and lofty ambition,</t>
        </is>
      </c>
      <c r="D9738">
        <f>HYPERLINK("https://www.youtube.com/watch?v=CEHKGV9qotM&amp;t=157s", "Go to time")</f>
        <v/>
      </c>
    </row>
    <row r="9739">
      <c r="A9739">
        <f>HYPERLINK("https://www.youtube.com/watch?v=8jPQjjsBbIc", "Video")</f>
        <v/>
      </c>
      <c r="B9739" t="inlineStr">
        <is>
          <t>1:39</t>
        </is>
      </c>
      <c r="C9739" t="inlineStr">
        <is>
          <t>and I know a little bit
about how the brain performs under stress.</t>
        </is>
      </c>
      <c r="D9739">
        <f>HYPERLINK("https://www.youtube.com/watch?v=8jPQjjsBbIc&amp;t=99s", "Go to time")</f>
        <v/>
      </c>
    </row>
    <row r="9740">
      <c r="A9740">
        <f>HYPERLINK("https://www.youtube.com/watch?v=4INdeZ5HYpw", "Video")</f>
        <v/>
      </c>
      <c r="B9740" t="inlineStr">
        <is>
          <t>8:42</t>
        </is>
      </c>
      <c r="C9740" t="inlineStr">
        <is>
          <t>It takes a little bit of practice,
but I think everyone here could do it,</t>
        </is>
      </c>
      <c r="D9740">
        <f>HYPERLINK("https://www.youtube.com/watch?v=4INdeZ5HYpw&amp;t=522s", "Go to time")</f>
        <v/>
      </c>
    </row>
    <row r="9741">
      <c r="A9741">
        <f>HYPERLINK("https://www.youtube.com/watch?v=ZnC_UBmeRxw", "Video")</f>
        <v/>
      </c>
      <c r="B9741" t="inlineStr">
        <is>
          <t>6:25</t>
        </is>
      </c>
      <c r="C9741" t="inlineStr">
        <is>
          <t>And every time he did this,
his anxiety ratcheted down a little bit,</t>
        </is>
      </c>
      <c r="D9741">
        <f>HYPERLINK("https://www.youtube.com/watch?v=ZnC_UBmeRxw&amp;t=385s", "Go to time")</f>
        <v/>
      </c>
    </row>
    <row r="9742">
      <c r="A9742">
        <f>HYPERLINK("https://www.youtube.com/watch?v=ZnC_UBmeRxw", "Video")</f>
        <v/>
      </c>
      <c r="B9742" t="inlineStr">
        <is>
          <t>6:28</t>
        </is>
      </c>
      <c r="C9742" t="inlineStr">
        <is>
          <t>and then a little bit more
and then a little bit more,</t>
        </is>
      </c>
      <c r="D9742">
        <f>HYPERLINK("https://www.youtube.com/watch?v=ZnC_UBmeRxw&amp;t=388s", "Go to time")</f>
        <v/>
      </c>
    </row>
    <row r="9743">
      <c r="A9743">
        <f>HYPERLINK("https://www.youtube.com/watch?v=wGGmzeCT8gU", "Video")</f>
        <v/>
      </c>
      <c r="B9743" t="inlineStr">
        <is>
          <t>1:01</t>
        </is>
      </c>
      <c r="C9743" t="inlineStr">
        <is>
          <t>or a bit further away,</t>
        </is>
      </c>
      <c r="D9743">
        <f>HYPERLINK("https://www.youtube.com/watch?v=wGGmzeCT8gU&amp;t=61s", "Go to time")</f>
        <v/>
      </c>
    </row>
    <row r="9744">
      <c r="A9744">
        <f>HYPERLINK("https://www.youtube.com/watch?v=wGGmzeCT8gU", "Video")</f>
        <v/>
      </c>
      <c r="B9744" t="inlineStr">
        <is>
          <t>3:34</t>
        </is>
      </c>
      <c r="C9744" t="inlineStr">
        <is>
          <t>is probably a little bit more surprising.</t>
        </is>
      </c>
      <c r="D9744">
        <f>HYPERLINK("https://www.youtube.com/watch?v=wGGmzeCT8gU&amp;t=214s", "Go to time")</f>
        <v/>
      </c>
    </row>
    <row r="9745">
      <c r="A9745">
        <f>HYPERLINK("https://www.youtube.com/watch?v=wGGmzeCT8gU", "Video")</f>
        <v/>
      </c>
      <c r="B9745" t="inlineStr">
        <is>
          <t>6:49</t>
        </is>
      </c>
      <c r="C9745" t="inlineStr">
        <is>
          <t>They're just a bit more delicate,
a bit more fragile.</t>
        </is>
      </c>
      <c r="D9745">
        <f>HYPERLINK("https://www.youtube.com/watch?v=wGGmzeCT8gU&amp;t=409s", "Go to time")</f>
        <v/>
      </c>
    </row>
    <row r="9746">
      <c r="A9746">
        <f>HYPERLINK("https://www.youtube.com/watch?v=wGGmzeCT8gU", "Video")</f>
        <v/>
      </c>
      <c r="B9746" t="inlineStr">
        <is>
          <t>9:10</t>
        </is>
      </c>
      <c r="C9746" t="inlineStr">
        <is>
          <t>Even if I start degrading
this map quite a bit,</t>
        </is>
      </c>
      <c r="D9746">
        <f>HYPERLINK("https://www.youtube.com/watch?v=wGGmzeCT8gU&amp;t=550s", "Go to time")</f>
        <v/>
      </c>
    </row>
    <row r="9747">
      <c r="A9747">
        <f>HYPERLINK("https://www.youtube.com/watch?v=7Yhft2Tuyeg", "Video")</f>
        <v/>
      </c>
      <c r="B9747" t="inlineStr">
        <is>
          <t>3:28</t>
        </is>
      </c>
      <c r="C9747" t="inlineStr">
        <is>
          <t>just a little bit better than you do.</t>
        </is>
      </c>
      <c r="D9747">
        <f>HYPERLINK("https://www.youtube.com/watch?v=7Yhft2Tuyeg&amp;t=208s", "Go to time")</f>
        <v/>
      </c>
    </row>
    <row r="9748">
      <c r="A9748">
        <f>HYPERLINK("https://www.youtube.com/watch?v=7Yhft2Tuyeg", "Video")</f>
        <v/>
      </c>
      <c r="B9748" t="inlineStr">
        <is>
          <t>5:51</t>
        </is>
      </c>
      <c r="C9748" t="inlineStr">
        <is>
          <t>Puppy manuals have
quite a bit of information</t>
        </is>
      </c>
      <c r="D9748">
        <f>HYPERLINK("https://www.youtube.com/watch?v=7Yhft2Tuyeg&amp;t=351s", "Go to time")</f>
        <v/>
      </c>
    </row>
    <row r="9749">
      <c r="A9749">
        <f>HYPERLINK("https://www.youtube.com/watch?v=UDvw9vWSgt4", "Video")</f>
        <v/>
      </c>
      <c r="B9749" t="inlineStr">
        <is>
          <t>7:43</t>
        </is>
      </c>
      <c r="C9749" t="inlineStr">
        <is>
          <t>and it appeared in an award-winning
Smithsonian exhibit that I curated.</t>
        </is>
      </c>
      <c r="D9749">
        <f>HYPERLINK("https://www.youtube.com/watch?v=UDvw9vWSgt4&amp;t=463s", "Go to time")</f>
        <v/>
      </c>
    </row>
    <row r="9750">
      <c r="A9750">
        <f>HYPERLINK("https://www.youtube.com/watch?v=O_MQr4lHm0c", "Video")</f>
        <v/>
      </c>
      <c r="B9750" t="inlineStr">
        <is>
          <t>8:21</t>
        </is>
      </c>
      <c r="C9750" t="inlineStr">
        <is>
          <t>The habit of giving advice or opinions
outside of one's knowledge or competence.</t>
        </is>
      </c>
      <c r="D9750">
        <f>HYPERLINK("https://www.youtube.com/watch?v=O_MQr4lHm0c&amp;t=501s", "Go to time")</f>
        <v/>
      </c>
    </row>
    <row r="9751">
      <c r="A9751">
        <f>HYPERLINK("https://www.youtube.com/watch?v=O_MQr4lHm0c", "Video")</f>
        <v/>
      </c>
      <c r="B9751" t="inlineStr">
        <is>
          <t>15:10</t>
        </is>
      </c>
      <c r="C9751" t="inlineStr">
        <is>
          <t>It's called an obituary.</t>
        </is>
      </c>
      <c r="D9751">
        <f>HYPERLINK("https://www.youtube.com/watch?v=O_MQr4lHm0c&amp;t=910s", "Go to time")</f>
        <v/>
      </c>
    </row>
    <row r="9752">
      <c r="A9752">
        <f>HYPERLINK("https://www.youtube.com/watch?v=h9deGh8_tEc", "Video")</f>
        <v/>
      </c>
      <c r="B9752" t="inlineStr">
        <is>
          <t>0:29</t>
        </is>
      </c>
      <c r="C9752" t="inlineStr">
        <is>
          <t>and mentioned that he was feeling
a bit like an outcast because he's black.</t>
        </is>
      </c>
      <c r="D9752">
        <f>HYPERLINK("https://www.youtube.com/watch?v=h9deGh8_tEc&amp;t=29s", "Go to time")</f>
        <v/>
      </c>
    </row>
    <row r="9753">
      <c r="A9753">
        <f>HYPERLINK("https://www.youtube.com/watch?v=h9deGh8_tEc", "Video")</f>
        <v/>
      </c>
      <c r="B9753" t="inlineStr">
        <is>
          <t>6:35</t>
        </is>
      </c>
      <c r="C9753" t="inlineStr">
        <is>
          <t>which as someone who's grown up
a little bit shy and awkward,</t>
        </is>
      </c>
      <c r="D9753">
        <f>HYPERLINK("https://www.youtube.com/watch?v=h9deGh8_tEc&amp;t=395s", "Go to time")</f>
        <v/>
      </c>
    </row>
    <row r="9754">
      <c r="A9754">
        <f>HYPERLINK("https://www.youtube.com/watch?v=cixIwyYkCEo", "Video")</f>
        <v/>
      </c>
      <c r="B9754" t="inlineStr">
        <is>
          <t>3:52</t>
        </is>
      </c>
      <c r="C9754" t="inlineStr">
        <is>
          <t>and it ended up getting you
quite a bit of funding</t>
        </is>
      </c>
      <c r="D9754">
        <f>HYPERLINK("https://www.youtube.com/watch?v=cixIwyYkCEo&amp;t=232s", "Go to time")</f>
        <v/>
      </c>
    </row>
    <row r="9755">
      <c r="A9755">
        <f>HYPERLINK("https://www.youtube.com/watch?v=cixIwyYkCEo", "Video")</f>
        <v/>
      </c>
      <c r="B9755" t="inlineStr">
        <is>
          <t>15:33</t>
        </is>
      </c>
      <c r="C9755" t="inlineStr">
        <is>
          <t>Just have you rest a little bit
and sit with this, right?</t>
        </is>
      </c>
      <c r="D9755">
        <f>HYPERLINK("https://www.youtube.com/watch?v=cixIwyYkCEo&amp;t=933s", "Go to time")</f>
        <v/>
      </c>
    </row>
    <row r="9756">
      <c r="A9756">
        <f>HYPERLINK("https://www.youtube.com/watch?v=Y06CZUf3cm0", "Video")</f>
        <v/>
      </c>
      <c r="B9756" t="inlineStr">
        <is>
          <t>3:12</t>
        </is>
      </c>
      <c r="C9756" t="inlineStr">
        <is>
          <t>I know I had ambitions to direct
and to act on the screen</t>
        </is>
      </c>
      <c r="D9756">
        <f>HYPERLINK("https://www.youtube.com/watch?v=Y06CZUf3cm0&amp;t=192s", "Go to time")</f>
        <v/>
      </c>
    </row>
    <row r="9757">
      <c r="A9757">
        <f>HYPERLINK("https://www.youtube.com/watch?v=Y06CZUf3cm0", "Video")</f>
        <v/>
      </c>
      <c r="B9757" t="inlineStr">
        <is>
          <t>3:23</t>
        </is>
      </c>
      <c r="C9757" t="inlineStr">
        <is>
          <t>Because just because your paycheck
doesn't match your ambition</t>
        </is>
      </c>
      <c r="D9757">
        <f>HYPERLINK("https://www.youtube.com/watch?v=Y06CZUf3cm0&amp;t=203s", "Go to time")</f>
        <v/>
      </c>
    </row>
    <row r="9758">
      <c r="A9758">
        <f>HYPERLINK("https://www.youtube.com/watch?v=vNCVrtwrAWg", "Video")</f>
        <v/>
      </c>
      <c r="B9758" t="inlineStr">
        <is>
          <t>0:13</t>
        </is>
      </c>
      <c r="C9758" t="inlineStr">
        <is>
          <t>bit me right in the leg.</t>
        </is>
      </c>
      <c r="D9758">
        <f>HYPERLINK("https://www.youtube.com/watch?v=vNCVrtwrAWg&amp;t=13s", "Go to time")</f>
        <v/>
      </c>
    </row>
    <row r="9759">
      <c r="A9759">
        <f>HYPERLINK("https://www.youtube.com/watch?v=vNCVrtwrAWg", "Video")</f>
        <v/>
      </c>
      <c r="B9759" t="inlineStr">
        <is>
          <t>7:56</t>
        </is>
      </c>
      <c r="C9759" t="inlineStr">
        <is>
          <t>about the newly launched Bitcoin fund.</t>
        </is>
      </c>
      <c r="D9759">
        <f>HYPERLINK("https://www.youtube.com/watch?v=vNCVrtwrAWg&amp;t=476s", "Go to time")</f>
        <v/>
      </c>
    </row>
    <row r="9760">
      <c r="A9760">
        <f>HYPERLINK("https://www.youtube.com/watch?v=vNCVrtwrAWg", "Video")</f>
        <v/>
      </c>
      <c r="B9760" t="inlineStr">
        <is>
          <t>11:01</t>
        </is>
      </c>
      <c r="C9760" t="inlineStr">
        <is>
          <t>Have you noticed,
people are a little bit angry?</t>
        </is>
      </c>
      <c r="D9760">
        <f>HYPERLINK("https://www.youtube.com/watch?v=vNCVrtwrAWg&amp;t=661s", "Go to time")</f>
        <v/>
      </c>
    </row>
    <row r="9761">
      <c r="A9761">
        <f>HYPERLINK("https://www.youtube.com/watch?v=7vDKuAEMDns", "Video")</f>
        <v/>
      </c>
      <c r="B9761" t="inlineStr">
        <is>
          <t>5:22</t>
        </is>
      </c>
      <c r="C9761" t="inlineStr">
        <is>
          <t>how do we all inhabit
this planet together?</t>
        </is>
      </c>
      <c r="D9761">
        <f>HYPERLINK("https://www.youtube.com/watch?v=7vDKuAEMDns&amp;t=322s", "Go to time")</f>
        <v/>
      </c>
    </row>
    <row r="9762">
      <c r="A9762">
        <f>HYPERLINK("https://www.youtube.com/watch?v=VsOJR40M0as", "Video")</f>
        <v/>
      </c>
      <c r="B9762" t="inlineStr">
        <is>
          <t>7:15</t>
        </is>
      </c>
      <c r="C9762" t="inlineStr">
        <is>
          <t>And if you need a bit of inspiration,</t>
        </is>
      </c>
      <c r="D9762">
        <f>HYPERLINK("https://www.youtube.com/watch?v=VsOJR40M0as&amp;t=435s", "Go to time")</f>
        <v/>
      </c>
    </row>
    <row r="9763">
      <c r="A9763">
        <f>HYPERLINK("https://www.youtube.com/watch?v=VsOJR40M0as", "Video")</f>
        <v/>
      </c>
      <c r="B9763" t="inlineStr">
        <is>
          <t>9:40</t>
        </is>
      </c>
      <c r="C9763" t="inlineStr">
        <is>
          <t>every bit of nature
we protect and restore matters</t>
        </is>
      </c>
      <c r="D9763">
        <f>HYPERLINK("https://www.youtube.com/watch?v=VsOJR40M0as&amp;t=580s", "Go to time")</f>
        <v/>
      </c>
    </row>
    <row r="9764">
      <c r="A9764">
        <f>HYPERLINK("https://www.youtube.com/watch?v=UhssmfRXYZI", "Video")</f>
        <v/>
      </c>
      <c r="B9764" t="inlineStr">
        <is>
          <t>0:43</t>
        </is>
      </c>
      <c r="C9764" t="inlineStr">
        <is>
          <t>To understand that, we have to first know
a little bit about how pain works.</t>
        </is>
      </c>
      <c r="D9764">
        <f>HYPERLINK("https://www.youtube.com/watch?v=UhssmfRXYZI&amp;t=43s", "Go to time")</f>
        <v/>
      </c>
    </row>
    <row r="9765">
      <c r="A9765">
        <f>HYPERLINK("https://www.youtube.com/watch?v=Irx0tC92fdE", "Video")</f>
        <v/>
      </c>
      <c r="B9765" t="inlineStr">
        <is>
          <t>17:46</t>
        </is>
      </c>
      <c r="C9765" t="inlineStr">
        <is>
          <t>and there's no rabbit-out-of-a-hat
I can pull for you,</t>
        </is>
      </c>
      <c r="D9765">
        <f>HYPERLINK("https://www.youtube.com/watch?v=Irx0tC92fdE&amp;t=1066s", "Go to time")</f>
        <v/>
      </c>
    </row>
    <row r="9766">
      <c r="A9766">
        <f>HYPERLINK("https://www.youtube.com/watch?v=waVUm5bhLbg", "Video")</f>
        <v/>
      </c>
      <c r="B9766" t="inlineStr">
        <is>
          <t>3:23</t>
        </is>
      </c>
      <c r="C9766" t="inlineStr">
        <is>
          <t>"Were you born a bitch or did you
just learn to be one over time?"</t>
        </is>
      </c>
      <c r="D9766">
        <f>HYPERLINK("https://www.youtube.com/watch?v=waVUm5bhLbg&amp;t=203s", "Go to time")</f>
        <v/>
      </c>
    </row>
    <row r="9767">
      <c r="A9767">
        <f>HYPERLINK("https://www.youtube.com/watch?v=waVUm5bhLbg", "Video")</f>
        <v/>
      </c>
      <c r="B9767" t="inlineStr">
        <is>
          <t>5:38</t>
        </is>
      </c>
      <c r="C9767" t="inlineStr">
        <is>
          <t>I'm a little bit bigger --
I don't like to use the word "fat,"</t>
        </is>
      </c>
      <c r="D9767">
        <f>HYPERLINK("https://www.youtube.com/watch?v=waVUm5bhLbg&amp;t=338s", "Go to time")</f>
        <v/>
      </c>
    </row>
    <row r="9768">
      <c r="A9768">
        <f>HYPERLINK("https://www.youtube.com/watch?v=waVUm5bhLbg", "Video")</f>
        <v/>
      </c>
      <c r="B9768" t="inlineStr">
        <is>
          <t>5:41</t>
        </is>
      </c>
      <c r="C9768" t="inlineStr">
        <is>
          <t>but I am a little bit bigger
than a lot of my classmates</t>
        </is>
      </c>
      <c r="D9768">
        <f>HYPERLINK("https://www.youtube.com/watch?v=waVUm5bhLbg&amp;t=341s", "Go to time")</f>
        <v/>
      </c>
    </row>
    <row r="9769">
      <c r="A9769">
        <f>HYPERLINK("https://www.youtube.com/watch?v=cbtkoZUOR1A", "Video")</f>
        <v/>
      </c>
      <c r="B9769" t="inlineStr">
        <is>
          <t>3:12</t>
        </is>
      </c>
      <c r="C9769" t="inlineStr">
        <is>
          <t>ambitious dreams and what the ups and</t>
        </is>
      </c>
      <c r="D9769">
        <f>HYPERLINK("https://www.youtube.com/watch?v=cbtkoZUOR1A&amp;t=192s", "Go to time")</f>
        <v/>
      </c>
    </row>
    <row r="9770">
      <c r="A9770">
        <f>HYPERLINK("https://www.youtube.com/watch?v=cbtkoZUOR1A", "Video")</f>
        <v/>
      </c>
      <c r="B9770" t="inlineStr">
        <is>
          <t>3:16</t>
        </is>
      </c>
      <c r="C9770" t="inlineStr">
        <is>
          <t>hopefully this guides a little bit or</t>
        </is>
      </c>
      <c r="D9770">
        <f>HYPERLINK("https://www.youtube.com/watch?v=cbtkoZUOR1A&amp;t=196s", "Go to time")</f>
        <v/>
      </c>
    </row>
    <row r="9771">
      <c r="A9771">
        <f>HYPERLINK("https://www.youtube.com/watch?v=cbtkoZUOR1A", "Video")</f>
        <v/>
      </c>
      <c r="B9771" t="inlineStr">
        <is>
          <t>14:25</t>
        </is>
      </c>
      <c r="C9771" t="inlineStr">
        <is>
          <t>to hear a little bit from you also about</t>
        </is>
      </c>
      <c r="D9771">
        <f>HYPERLINK("https://www.youtube.com/watch?v=cbtkoZUOR1A&amp;t=865s", "Go to time")</f>
        <v/>
      </c>
    </row>
    <row r="9772">
      <c r="A9772">
        <f>HYPERLINK("https://www.youtube.com/watch?v=cbtkoZUOR1A", "Video")</f>
        <v/>
      </c>
      <c r="B9772" t="inlineStr">
        <is>
          <t>19:14</t>
        </is>
      </c>
      <c r="C9772" t="inlineStr">
        <is>
          <t>bit forward in that but I'm still</t>
        </is>
      </c>
      <c r="D9772">
        <f>HYPERLINK("https://www.youtube.com/watch?v=cbtkoZUOR1A&amp;t=1154s", "Go to time")</f>
        <v/>
      </c>
    </row>
    <row r="9773">
      <c r="A9773">
        <f>HYPERLINK("https://www.youtube.com/watch?v=cbtkoZUOR1A", "Video")</f>
        <v/>
      </c>
      <c r="B9773" t="inlineStr">
        <is>
          <t>27:01</t>
        </is>
      </c>
      <c r="C9773" t="inlineStr">
        <is>
          <t>America a little bit um we are playing</t>
        </is>
      </c>
      <c r="D9773">
        <f>HYPERLINK("https://www.youtube.com/watch?v=cbtkoZUOR1A&amp;t=1621s", "Go to time")</f>
        <v/>
      </c>
    </row>
    <row r="9774">
      <c r="A9774">
        <f>HYPERLINK("https://www.youtube.com/watch?v=cbtkoZUOR1A", "Video")</f>
        <v/>
      </c>
      <c r="B9774" t="inlineStr">
        <is>
          <t>31:19</t>
        </is>
      </c>
      <c r="C9774" t="inlineStr">
        <is>
          <t>um how much they share in their ambition</t>
        </is>
      </c>
      <c r="D9774">
        <f>HYPERLINK("https://www.youtube.com/watch?v=cbtkoZUOR1A&amp;t=1879s", "Go to time")</f>
        <v/>
      </c>
    </row>
    <row r="9775">
      <c r="A9775">
        <f>HYPERLINK("https://www.youtube.com/watch?v=cbtkoZUOR1A", "Video")</f>
        <v/>
      </c>
      <c r="B9775" t="inlineStr">
        <is>
          <t>36:09</t>
        </is>
      </c>
      <c r="C9775" t="inlineStr">
        <is>
          <t>this just a little bit now but I guess</t>
        </is>
      </c>
      <c r="D9775">
        <f>HYPERLINK("https://www.youtube.com/watch?v=cbtkoZUOR1A&amp;t=2169s", "Go to time")</f>
        <v/>
      </c>
    </row>
    <row r="9776">
      <c r="A9776">
        <f>HYPERLINK("https://www.youtube.com/watch?v=0juLRi90kRg", "Video")</f>
        <v/>
      </c>
      <c r="B9776" t="inlineStr">
        <is>
          <t>3:16</t>
        </is>
      </c>
      <c r="C9776" t="inlineStr">
        <is>
          <t>I was angry, I was bitter,
and I wanted vengeance.</t>
        </is>
      </c>
      <c r="D9776">
        <f>HYPERLINK("https://www.youtube.com/watch?v=0juLRi90kRg&amp;t=196s", "Go to time")</f>
        <v/>
      </c>
    </row>
    <row r="9777">
      <c r="A9777">
        <f>HYPERLINK("https://www.youtube.com/watch?v=AhUhpfKeLus", "Video")</f>
        <v/>
      </c>
      <c r="B9777" t="inlineStr">
        <is>
          <t>1:39</t>
        </is>
      </c>
      <c r="C9777" t="inlineStr">
        <is>
          <t>with a postcard exhibition</t>
        </is>
      </c>
      <c r="D9777">
        <f>HYPERLINK("https://www.youtube.com/watch?v=AhUhpfKeLus&amp;t=99s", "Go to time")</f>
        <v/>
      </c>
    </row>
    <row r="9778">
      <c r="A9778">
        <f>HYPERLINK("https://www.youtube.com/watch?v=DDaldVHUedI", "Video")</f>
        <v/>
      </c>
      <c r="B9778" t="inlineStr">
        <is>
          <t>0:30</t>
        </is>
      </c>
      <c r="C9778" t="inlineStr">
        <is>
          <t>I had my two sons with me,
Sabian and Dabith.</t>
        </is>
      </c>
      <c r="D9778">
        <f>HYPERLINK("https://www.youtube.com/watch?v=DDaldVHUedI&amp;t=30s", "Go to time")</f>
        <v/>
      </c>
    </row>
    <row r="9779">
      <c r="A9779">
        <f>HYPERLINK("https://www.youtube.com/watch?v=DDaldVHUedI", "Video")</f>
        <v/>
      </c>
      <c r="B9779" t="inlineStr">
        <is>
          <t>8:56</t>
        </is>
      </c>
      <c r="C9779" t="inlineStr">
        <is>
          <t>This silk is supposed to tell us also
that they have quite a bit of money.</t>
        </is>
      </c>
      <c r="D9779">
        <f>HYPERLINK("https://www.youtube.com/watch?v=DDaldVHUedI&amp;t=536s", "Go to time")</f>
        <v/>
      </c>
    </row>
    <row r="9780">
      <c r="A9780">
        <f>HYPERLINK("https://www.youtube.com/watch?v=DDaldVHUedI", "Video")</f>
        <v/>
      </c>
      <c r="B9780" t="inlineStr">
        <is>
          <t>10:00</t>
        </is>
      </c>
      <c r="C9780" t="inlineStr">
        <is>
          <t>will emerge a little bit.</t>
        </is>
      </c>
      <c r="D9780">
        <f>HYPERLINK("https://www.youtube.com/watch?v=DDaldVHUedI&amp;t=600s", "Go to time")</f>
        <v/>
      </c>
    </row>
    <row r="9781">
      <c r="A9781">
        <f>HYPERLINK("https://www.youtube.com/watch?v=DDaldVHUedI", "Video")</f>
        <v/>
      </c>
      <c r="B9781" t="inlineStr">
        <is>
          <t>12:03</t>
        </is>
      </c>
      <c r="C9781" t="inlineStr">
        <is>
          <t>then that will help us
understand a little bit</t>
        </is>
      </c>
      <c r="D9781">
        <f>HYPERLINK("https://www.youtube.com/watch?v=DDaldVHUedI&amp;t=723s", "Go to time")</f>
        <v/>
      </c>
    </row>
    <row r="9782">
      <c r="A9782">
        <f>HYPERLINK("https://www.youtube.com/watch?v=2alYW5xz26E", "Video")</f>
        <v/>
      </c>
      <c r="B9782" t="inlineStr">
        <is>
          <t>0:58</t>
        </is>
      </c>
      <c r="C9782" t="inlineStr">
        <is>
          <t>I could see he did not trust me one bit.</t>
        </is>
      </c>
      <c r="D9782">
        <f>HYPERLINK("https://www.youtube.com/watch?v=2alYW5xz26E&amp;t=58s", "Go to time")</f>
        <v/>
      </c>
    </row>
    <row r="9783">
      <c r="A9783">
        <f>HYPERLINK("https://www.youtube.com/watch?v=2alYW5xz26E", "Video")</f>
        <v/>
      </c>
      <c r="B9783" t="inlineStr">
        <is>
          <t>3:58</t>
        </is>
      </c>
      <c r="C9783" t="inlineStr">
        <is>
          <t>a little bit at a time.</t>
        </is>
      </c>
      <c r="D9783">
        <f>HYPERLINK("https://www.youtube.com/watch?v=2alYW5xz26E&amp;t=238s", "Go to time")</f>
        <v/>
      </c>
    </row>
    <row r="9784">
      <c r="A9784">
        <f>HYPERLINK("https://www.youtube.com/watch?v=2alYW5xz26E", "Video")</f>
        <v/>
      </c>
      <c r="B9784" t="inlineStr">
        <is>
          <t>9:11</t>
        </is>
      </c>
      <c r="C9784" t="inlineStr">
        <is>
          <t>Who told you that certain
bitter tubers can be sweetened</t>
        </is>
      </c>
      <c r="D9784">
        <f>HYPERLINK("https://www.youtube.com/watch?v=2alYW5xz26E&amp;t=551s", "Go to time")</f>
        <v/>
      </c>
    </row>
    <row r="9785">
      <c r="A9785">
        <f>HYPERLINK("https://www.youtube.com/watch?v=2alYW5xz26E", "Video")</f>
        <v/>
      </c>
      <c r="B9785" t="inlineStr">
        <is>
          <t>12:34</t>
        </is>
      </c>
      <c r="C9785" t="inlineStr">
        <is>
          <t>What do they need
beneath our food habits, beliefs</t>
        </is>
      </c>
      <c r="D9785">
        <f>HYPERLINK("https://www.youtube.com/watch?v=2alYW5xz26E&amp;t=754s", "Go to time")</f>
        <v/>
      </c>
    </row>
    <row r="9786">
      <c r="A9786">
        <f>HYPERLINK("https://www.youtube.com/watch?v=oBdzOIzwtng", "Video")</f>
        <v/>
      </c>
      <c r="B9786" t="inlineStr">
        <is>
          <t>1:56</t>
        </is>
      </c>
      <c r="C9786" t="inlineStr">
        <is>
          <t>They're going to have to worry
about habitats, power, heat, light</t>
        </is>
      </c>
      <c r="D9786">
        <f>HYPERLINK("https://www.youtube.com/watch?v=oBdzOIzwtng&amp;t=116s", "Go to time")</f>
        <v/>
      </c>
    </row>
    <row r="9787">
      <c r="A9787">
        <f>HYPERLINK("https://www.youtube.com/watch?v=oBdzOIzwtng", "Video")</f>
        <v/>
      </c>
      <c r="B9787" t="inlineStr">
        <is>
          <t>2:18</t>
        </is>
      </c>
      <c r="C9787" t="inlineStr">
        <is>
          <t>is it costs about 10,000 dollars to launch
a can of Coke into low Earth orbit.</t>
        </is>
      </c>
      <c r="D9787">
        <f>HYPERLINK("https://www.youtube.com/watch?v=oBdzOIzwtng&amp;t=138s", "Go to time")</f>
        <v/>
      </c>
    </row>
    <row r="9788">
      <c r="A9788">
        <f>HYPERLINK("https://www.youtube.com/watch?v=oBdzOIzwtng", "Video")</f>
        <v/>
      </c>
      <c r="B9788" t="inlineStr">
        <is>
          <t>2:26</t>
        </is>
      </c>
      <c r="C9788" t="inlineStr">
        <is>
          <t>and you're still in low Earth orbit.</t>
        </is>
      </c>
      <c r="D9788">
        <f>HYPERLINK("https://www.youtube.com/watch?v=oBdzOIzwtng&amp;t=146s", "Go to time")</f>
        <v/>
      </c>
    </row>
    <row r="9789">
      <c r="A9789">
        <f>HYPERLINK("https://www.youtube.com/watch?v=oBdzOIzwtng", "Video")</f>
        <v/>
      </c>
      <c r="B9789" t="inlineStr">
        <is>
          <t>6:52</t>
        </is>
      </c>
      <c r="C9789" t="inlineStr">
        <is>
          <t>So we've proposed that the solution
to the habitat problem on Mars</t>
        </is>
      </c>
      <c r="D9789">
        <f>HYPERLINK("https://www.youtube.com/watch?v=oBdzOIzwtng&amp;t=412s", "Go to time")</f>
        <v/>
      </c>
    </row>
    <row r="9790">
      <c r="A9790">
        <f>HYPERLINK("https://www.youtube.com/watch?v=oBdzOIzwtng", "Video")</f>
        <v/>
      </c>
      <c r="B9790" t="inlineStr">
        <is>
          <t>8:44</t>
        </is>
      </c>
      <c r="C9790" t="inlineStr">
        <is>
          <t>and voila, you've got your habitat.</t>
        </is>
      </c>
      <c r="D9790">
        <f>HYPERLINK("https://www.youtube.com/watch?v=oBdzOIzwtng&amp;t=524s", "Go to time")</f>
        <v/>
      </c>
    </row>
    <row r="9791">
      <c r="A9791">
        <f>HYPERLINK("https://www.youtube.com/watch?v=oBdzOIzwtng", "Video")</f>
        <v/>
      </c>
      <c r="B9791" t="inlineStr">
        <is>
          <t>10:38</t>
        </is>
      </c>
      <c r="C9791" t="inlineStr">
        <is>
          <t>to take DNA and tweak it a little bit</t>
        </is>
      </c>
      <c r="D9791">
        <f>HYPERLINK("https://www.youtube.com/watch?v=oBdzOIzwtng&amp;t=638s", "Go to time")</f>
        <v/>
      </c>
    </row>
    <row r="9792">
      <c r="A9792">
        <f>HYPERLINK("https://www.youtube.com/watch?v=oBdzOIzwtng", "Video")</f>
        <v/>
      </c>
      <c r="B9792" t="inlineStr">
        <is>
          <t>13:15</t>
        </is>
      </c>
      <c r="C9792" t="inlineStr">
        <is>
          <t>and I took a picture of him a bit later,</t>
        </is>
      </c>
      <c r="D9792">
        <f>HYPERLINK("https://www.youtube.com/watch?v=oBdzOIzwtng&amp;t=795s", "Go to time")</f>
        <v/>
      </c>
    </row>
    <row r="9793">
      <c r="A9793">
        <f>HYPERLINK("https://www.youtube.com/watch?v=oBdzOIzwtng", "Video")</f>
        <v/>
      </c>
      <c r="B9793" t="inlineStr">
        <is>
          <t>13:32</t>
        </is>
      </c>
      <c r="C9793" t="inlineStr">
        <is>
          <t>If you tilt your head a little bit,</t>
        </is>
      </c>
      <c r="D9793">
        <f>HYPERLINK("https://www.youtube.com/watch?v=oBdzOIzwtng&amp;t=812s", "Go to time")</f>
        <v/>
      </c>
    </row>
    <row r="9794">
      <c r="A9794">
        <f>HYPERLINK("https://www.youtube.com/watch?v=oBdzOIzwtng", "Video")</f>
        <v/>
      </c>
      <c r="B9794" t="inlineStr">
        <is>
          <t>15:06</t>
        </is>
      </c>
      <c r="C9794" t="inlineStr">
        <is>
          <t>Finally, we have to think a little bit,</t>
        </is>
      </c>
      <c r="D9794">
        <f>HYPERLINK("https://www.youtube.com/watch?v=oBdzOIzwtng&amp;t=906s", "Go to time")</f>
        <v/>
      </c>
    </row>
    <row r="9795">
      <c r="A9795">
        <f>HYPERLINK("https://www.youtube.com/watch?v=wIkvIKeRNoY", "Video")</f>
        <v/>
      </c>
      <c r="B9795" t="inlineStr">
        <is>
          <t>1:08</t>
        </is>
      </c>
      <c r="C9795" t="inlineStr">
        <is>
          <t>So in the summer,
I did my first exhibition</t>
        </is>
      </c>
      <c r="D9795">
        <f>HYPERLINK("https://www.youtube.com/watch?v=wIkvIKeRNoY&amp;t=68s", "Go to time")</f>
        <v/>
      </c>
    </row>
    <row r="9796">
      <c r="A9796">
        <f>HYPERLINK("https://www.youtube.com/watch?v=wIkvIKeRNoY", "Video")</f>
        <v/>
      </c>
      <c r="B9796" t="inlineStr">
        <is>
          <t>1:21</t>
        </is>
      </c>
      <c r="C9796" t="inlineStr">
        <is>
          <t>the exhibition was designed
to be quite playful,</t>
        </is>
      </c>
      <c r="D9796">
        <f>HYPERLINK("https://www.youtube.com/watch?v=wIkvIKeRNoY&amp;t=81s", "Go to time")</f>
        <v/>
      </c>
    </row>
    <row r="9797">
      <c r="A9797">
        <f>HYPERLINK("https://www.youtube.com/watch?v=wIkvIKeRNoY", "Video")</f>
        <v/>
      </c>
      <c r="B9797" t="inlineStr">
        <is>
          <t>1:26</t>
        </is>
      </c>
      <c r="C9797" t="inlineStr">
        <is>
          <t>So one of our exhibits
was an interactive map of London</t>
        </is>
      </c>
      <c r="D9797">
        <f>HYPERLINK("https://www.youtube.com/watch?v=wIkvIKeRNoY&amp;t=86s", "Go to time")</f>
        <v/>
      </c>
    </row>
    <row r="9798">
      <c r="A9798">
        <f>HYPERLINK("https://www.youtube.com/watch?v=wIkvIKeRNoY", "Video")</f>
        <v/>
      </c>
      <c r="B9798" t="inlineStr">
        <is>
          <t>6:02</t>
        </is>
      </c>
      <c r="C9798" t="inlineStr">
        <is>
          <t>and the little bit that there is,
is about not polluting water courses,</t>
        </is>
      </c>
      <c r="D9798">
        <f>HYPERLINK("https://www.youtube.com/watch?v=wIkvIKeRNoY&amp;t=362s", "Go to time")</f>
        <v/>
      </c>
    </row>
    <row r="9799">
      <c r="A9799">
        <f>HYPERLINK("https://www.youtube.com/watch?v=OlgcaYAO5VM", "Video")</f>
        <v/>
      </c>
      <c r="B9799" t="inlineStr">
        <is>
          <t>4:24</t>
        </is>
      </c>
      <c r="C9799" t="inlineStr">
        <is>
          <t>an ancient art meaningful
on the native habitats.</t>
        </is>
      </c>
      <c r="D9799">
        <f>HYPERLINK("https://www.youtube.com/watch?v=OlgcaYAO5VM&amp;t=264s", "Go to time")</f>
        <v/>
      </c>
    </row>
    <row r="9800">
      <c r="A9800">
        <f>HYPERLINK("https://www.youtube.com/watch?v=oITW0XsZd3o", "Video")</f>
        <v/>
      </c>
      <c r="B9800" t="inlineStr">
        <is>
          <t>4:45</t>
        </is>
      </c>
      <c r="C9800" t="inlineStr">
        <is>
          <t>This is often an arbitrary decision.</t>
        </is>
      </c>
      <c r="D9800">
        <f>HYPERLINK("https://www.youtube.com/watch?v=oITW0XsZd3o&amp;t=285s", "Go to time")</f>
        <v/>
      </c>
    </row>
    <row r="9801">
      <c r="A9801">
        <f>HYPERLINK("https://www.youtube.com/watch?v=oITW0XsZd3o", "Video")</f>
        <v/>
      </c>
      <c r="B9801" t="inlineStr">
        <is>
          <t>7:24</t>
        </is>
      </c>
      <c r="C9801" t="inlineStr">
        <is>
          <t>And before this presentation,
I kind of felt a little bit of a rev.</t>
        </is>
      </c>
      <c r="D9801">
        <f>HYPERLINK("https://www.youtube.com/watch?v=oITW0XsZd3o&amp;t=444s", "Go to time")</f>
        <v/>
      </c>
    </row>
    <row r="9802">
      <c r="A9802">
        <f>HYPERLINK("https://www.youtube.com/watch?v=oITW0XsZd3o", "Video")</f>
        <v/>
      </c>
      <c r="B9802" t="inlineStr">
        <is>
          <t>9:51</t>
        </is>
      </c>
      <c r="C9802" t="inlineStr">
        <is>
          <t>So everybody, like, (Exhales)
blow out breath a little bit, ready?</t>
        </is>
      </c>
      <c r="D9802">
        <f>HYPERLINK("https://www.youtube.com/watch?v=oITW0XsZd3o&amp;t=591s", "Go to time")</f>
        <v/>
      </c>
    </row>
    <row r="9803">
      <c r="A9803">
        <f>HYPERLINK("https://www.youtube.com/watch?v=oITW0XsZd3o", "Video")</f>
        <v/>
      </c>
      <c r="B9803" t="inlineStr">
        <is>
          <t>15:04</t>
        </is>
      </c>
      <c r="C9803" t="inlineStr">
        <is>
          <t>you often find it's a little bit,
if not a lot, better than you expected.</t>
        </is>
      </c>
      <c r="D9803">
        <f>HYPERLINK("https://www.youtube.com/watch?v=oITW0XsZd3o&amp;t=904s", "Go to time")</f>
        <v/>
      </c>
    </row>
    <row r="9804">
      <c r="A9804">
        <f>HYPERLINK("https://www.youtube.com/watch?v=E4FrxvHJlKw", "Video")</f>
        <v/>
      </c>
      <c r="B9804" t="inlineStr">
        <is>
          <t>2:07</t>
        </is>
      </c>
      <c r="C9804" t="inlineStr">
        <is>
          <t>which prohibit them
from talking and sharing</t>
        </is>
      </c>
      <c r="D9804">
        <f>HYPERLINK("https://www.youtube.com/watch?v=E4FrxvHJlKw&amp;t=127s", "Go to time")</f>
        <v/>
      </c>
    </row>
    <row r="9805">
      <c r="A9805">
        <f>HYPERLINK("https://www.youtube.com/watch?v=B1fkNcmDrlM", "Video")</f>
        <v/>
      </c>
      <c r="B9805" t="inlineStr">
        <is>
          <t>1:29</t>
        </is>
      </c>
      <c r="C9805" t="inlineStr">
        <is>
          <t>It's actually a bit personal.</t>
        </is>
      </c>
      <c r="D9805">
        <f>HYPERLINK("https://www.youtube.com/watch?v=B1fkNcmDrlM&amp;t=89s", "Go to time")</f>
        <v/>
      </c>
    </row>
    <row r="9806">
      <c r="A9806">
        <f>HYPERLINK("https://www.youtube.com/watch?v=B1fkNcmDrlM", "Video")</f>
        <v/>
      </c>
      <c r="B9806" t="inlineStr">
        <is>
          <t>5:14</t>
        </is>
      </c>
      <c r="C9806" t="inlineStr">
        <is>
          <t>our day-to-day habits contribute
to the creation of violence</t>
        </is>
      </c>
      <c r="D9806">
        <f>HYPERLINK("https://www.youtube.com/watch?v=B1fkNcmDrlM&amp;t=314s", "Go to time")</f>
        <v/>
      </c>
    </row>
    <row r="9807">
      <c r="A9807">
        <f>HYPERLINK("https://www.youtube.com/watch?v=B1fkNcmDrlM", "Video")</f>
        <v/>
      </c>
      <c r="B9807" t="inlineStr">
        <is>
          <t>5:21</t>
        </is>
      </c>
      <c r="C9807" t="inlineStr">
        <is>
          <t>So here's a couple of habits
that I've learned contribute to violence.</t>
        </is>
      </c>
      <c r="D9807">
        <f>HYPERLINK("https://www.youtube.com/watch?v=B1fkNcmDrlM&amp;t=321s", "Go to time")</f>
        <v/>
      </c>
    </row>
    <row r="9808">
      <c r="A9808">
        <f>HYPERLINK("https://www.youtube.com/watch?v=B1fkNcmDrlM", "Video")</f>
        <v/>
      </c>
      <c r="B9808" t="inlineStr">
        <is>
          <t>6:24</t>
        </is>
      </c>
      <c r="C9808" t="inlineStr">
        <is>
          <t>Another interesting habit
that individuals used</t>
        </is>
      </c>
      <c r="D9808">
        <f>HYPERLINK("https://www.youtube.com/watch?v=B1fkNcmDrlM&amp;t=384s", "Go to time")</f>
        <v/>
      </c>
    </row>
    <row r="9809">
      <c r="A9809">
        <f>HYPERLINK("https://www.youtube.com/watch?v=B1fkNcmDrlM", "Video")</f>
        <v/>
      </c>
      <c r="B9809" t="inlineStr">
        <is>
          <t>7:34</t>
        </is>
      </c>
      <c r="C9809" t="inlineStr">
        <is>
          <t>Another habit that attackers used
to kind of rev themselves up for an attack</t>
        </is>
      </c>
      <c r="D9809">
        <f>HYPERLINK("https://www.youtube.com/watch?v=B1fkNcmDrlM&amp;t=454s", "Go to time")</f>
        <v/>
      </c>
    </row>
    <row r="9810">
      <c r="A9810">
        <f>HYPERLINK("https://www.youtube.com/watch?v=B1fkNcmDrlM", "Video")</f>
        <v/>
      </c>
      <c r="B9810" t="inlineStr">
        <is>
          <t>8:58</t>
        </is>
      </c>
      <c r="C9810" t="inlineStr">
        <is>
          <t>The last habit
that I'm going to talk about</t>
        </is>
      </c>
      <c r="D9810">
        <f>HYPERLINK("https://www.youtube.com/watch?v=B1fkNcmDrlM&amp;t=538s", "Go to time")</f>
        <v/>
      </c>
    </row>
    <row r="9811">
      <c r="A9811">
        <f>HYPERLINK("https://www.youtube.com/watch?v=B1fkNcmDrlM", "Video")</f>
        <v/>
      </c>
      <c r="B9811" t="inlineStr">
        <is>
          <t>11:47</t>
        </is>
      </c>
      <c r="C9811" t="inlineStr">
        <is>
          <t>Our everyday habits produce it.</t>
        </is>
      </c>
      <c r="D9811">
        <f>HYPERLINK("https://www.youtube.com/watch?v=B1fkNcmDrlM&amp;t=707s", "Go to time")</f>
        <v/>
      </c>
    </row>
    <row r="9812">
      <c r="A9812">
        <f>HYPERLINK("https://www.youtube.com/watch?v=B1fkNcmDrlM", "Video")</f>
        <v/>
      </c>
      <c r="B9812" t="inlineStr">
        <is>
          <t>12:28</t>
        </is>
      </c>
      <c r="C9812" t="inlineStr">
        <is>
          <t>Just from that little bit of similarity.</t>
        </is>
      </c>
      <c r="D9812">
        <f>HYPERLINK("https://www.youtube.com/watch?v=B1fkNcmDrlM&amp;t=748s", "Go to time")</f>
        <v/>
      </c>
    </row>
    <row r="9813">
      <c r="A9813">
        <f>HYPERLINK("https://www.youtube.com/watch?v=B1fkNcmDrlM", "Video")</f>
        <v/>
      </c>
      <c r="B9813" t="inlineStr">
        <is>
          <t>12:56</t>
        </is>
      </c>
      <c r="C9813" t="inlineStr">
        <is>
          <t>She taught herself to bypass certain
cultural inhibitions against violence.</t>
        </is>
      </c>
      <c r="D9813">
        <f>HYPERLINK("https://www.youtube.com/watch?v=B1fkNcmDrlM&amp;t=776s", "Go to time")</f>
        <v/>
      </c>
    </row>
    <row r="9814">
      <c r="A9814">
        <f>HYPERLINK("https://www.youtube.com/watch?v=B1fkNcmDrlM", "Video")</f>
        <v/>
      </c>
      <c r="B9814" t="inlineStr">
        <is>
          <t>13:03</t>
        </is>
      </c>
      <c r="C9814" t="inlineStr">
        <is>
          <t>she taught herself new habits,</t>
        </is>
      </c>
      <c r="D9814">
        <f>HYPERLINK("https://www.youtube.com/watch?v=B1fkNcmDrlM&amp;t=783s", "Go to time")</f>
        <v/>
      </c>
    </row>
    <row r="9815">
      <c r="A9815">
        <f>HYPERLINK("https://www.youtube.com/watch?v=B1fkNcmDrlM", "Video")</f>
        <v/>
      </c>
      <c r="B9815" t="inlineStr">
        <is>
          <t>14:37</t>
        </is>
      </c>
      <c r="C9815" t="inlineStr">
        <is>
          <t>And we often share really similar habits.</t>
        </is>
      </c>
      <c r="D9815">
        <f>HYPERLINK("https://www.youtube.com/watch?v=B1fkNcmDrlM&amp;t=877s", "Go to time")</f>
        <v/>
      </c>
    </row>
    <row r="9816">
      <c r="A9816">
        <f>HYPERLINK("https://www.youtube.com/watch?v=TST0CsV8LHI", "Video")</f>
        <v/>
      </c>
      <c r="B9816" t="inlineStr">
        <is>
          <t>1:12</t>
        </is>
      </c>
      <c r="C9816" t="inlineStr">
        <is>
          <t>we need to zoom out a bit</t>
        </is>
      </c>
      <c r="D9816">
        <f>HYPERLINK("https://www.youtube.com/watch?v=TST0CsV8LHI&amp;t=72s", "Go to time")</f>
        <v/>
      </c>
    </row>
    <row r="9817">
      <c r="A9817">
        <f>HYPERLINK("https://www.youtube.com/watch?v=TST0CsV8LHI", "Video")</f>
        <v/>
      </c>
      <c r="B9817" t="inlineStr">
        <is>
          <t>3:38</t>
        </is>
      </c>
      <c r="C9817" t="inlineStr">
        <is>
          <t>Astronomers got into the habit
of tapping a plate to their lips,</t>
        </is>
      </c>
      <c r="D9817">
        <f>HYPERLINK("https://www.youtube.com/watch?v=TST0CsV8LHI&amp;t=218s", "Go to time")</f>
        <v/>
      </c>
    </row>
    <row r="9818">
      <c r="A9818">
        <f>HYPERLINK("https://www.youtube.com/watch?v=t0Cr64zCc38", "Video")</f>
        <v/>
      </c>
      <c r="B9818" t="inlineStr">
        <is>
          <t>1:57</t>
        </is>
      </c>
      <c r="C9818" t="inlineStr">
        <is>
          <t>I understand a bit
of the pain in their voice.</t>
        </is>
      </c>
      <c r="D9818">
        <f>HYPERLINK("https://www.youtube.com/watch?v=t0Cr64zCc38&amp;t=117s", "Go to time")</f>
        <v/>
      </c>
    </row>
    <row r="9819">
      <c r="A9819">
        <f>HYPERLINK("https://www.youtube.com/watch?v=1-_pzQqo7c0", "Video")</f>
        <v/>
      </c>
      <c r="B9819" t="inlineStr">
        <is>
          <t>1:02</t>
        </is>
      </c>
      <c r="C9819" t="inlineStr">
        <is>
          <t>But right behind that wonder,
I have to admit, is a bit of envy.</t>
        </is>
      </c>
      <c r="D9819">
        <f>HYPERLINK("https://www.youtube.com/watch?v=1-_pzQqo7c0&amp;t=62s", "Go to time")</f>
        <v/>
      </c>
    </row>
    <row r="9820">
      <c r="A9820">
        <f>HYPERLINK("https://www.youtube.com/watch?v=1-_pzQqo7c0", "Video")</f>
        <v/>
      </c>
      <c r="B9820" t="inlineStr">
        <is>
          <t>4:42</t>
        </is>
      </c>
      <c r="C9820" t="inlineStr">
        <is>
          <t>So this one is a little bit older penny.</t>
        </is>
      </c>
      <c r="D9820">
        <f>HYPERLINK("https://www.youtube.com/watch?v=1-_pzQqo7c0&amp;t=282s", "Go to time")</f>
        <v/>
      </c>
    </row>
    <row r="9821">
      <c r="A9821">
        <f>HYPERLINK("https://www.youtube.com/watch?v=aGiIIGjlHg0", "Video")</f>
        <v/>
      </c>
      <c r="B9821" t="inlineStr">
        <is>
          <t>6:01</t>
        </is>
      </c>
      <c r="C9821" t="inlineStr">
        <is>
          <t>He left me a little bit of money</t>
        </is>
      </c>
      <c r="D9821">
        <f>HYPERLINK("https://www.youtube.com/watch?v=aGiIIGjlHg0&amp;t=361s", "Go to time")</f>
        <v/>
      </c>
    </row>
    <row r="9822">
      <c r="A9822">
        <f>HYPERLINK("https://www.youtube.com/watch?v=3lVNA4aF1lg", "Video")</f>
        <v/>
      </c>
      <c r="B9822" t="inlineStr">
        <is>
          <t>1:52</t>
        </is>
      </c>
      <c r="C9822" t="inlineStr">
        <is>
          <t>is starting to get a little bit irritated,</t>
        </is>
      </c>
      <c r="D9822">
        <f>HYPERLINK("https://www.youtube.com/watch?v=3lVNA4aF1lg&amp;t=112s", "Go to time")</f>
        <v/>
      </c>
    </row>
    <row r="9823">
      <c r="A9823">
        <f>HYPERLINK("https://www.youtube.com/watch?v=3lVNA4aF1lg", "Video")</f>
        <v/>
      </c>
      <c r="B9823" t="inlineStr">
        <is>
          <t>2:09</t>
        </is>
      </c>
      <c r="C9823" t="inlineStr">
        <is>
          <t>are also starting to get
a little bit irritated.</t>
        </is>
      </c>
      <c r="D9823">
        <f>HYPERLINK("https://www.youtube.com/watch?v=3lVNA4aF1lg&amp;t=129s", "Go to time")</f>
        <v/>
      </c>
    </row>
    <row r="9824">
      <c r="A9824">
        <f>HYPERLINK("https://www.youtube.com/watch?v=3lVNA4aF1lg", "Video")</f>
        <v/>
      </c>
      <c r="B9824" t="inlineStr">
        <is>
          <t>8:04</t>
        </is>
      </c>
      <c r="C9824" t="inlineStr">
        <is>
          <t>with some shops that closed
around 8pm or a little bit before that.</t>
        </is>
      </c>
      <c r="D9824">
        <f>HYPERLINK("https://www.youtube.com/watch?v=3lVNA4aF1lg&amp;t=484s", "Go to time")</f>
        <v/>
      </c>
    </row>
    <row r="9825">
      <c r="A9825">
        <f>HYPERLINK("https://www.youtube.com/watch?v=3lVNA4aF1lg", "Video")</f>
        <v/>
      </c>
      <c r="B9825" t="inlineStr">
        <is>
          <t>8:09</t>
        </is>
      </c>
      <c r="C9825" t="inlineStr">
        <is>
          <t>One day, a store owner was closing
his store a little bit later than usual,</t>
        </is>
      </c>
      <c r="D9825">
        <f>HYPERLINK("https://www.youtube.com/watch?v=3lVNA4aF1lg&amp;t=489s", "Go to time")</f>
        <v/>
      </c>
    </row>
    <row r="9826">
      <c r="A9826">
        <f>HYPERLINK("https://www.youtube.com/watch?v=3lVNA4aF1lg", "Video")</f>
        <v/>
      </c>
      <c r="B9826" t="inlineStr">
        <is>
          <t>8:13</t>
        </is>
      </c>
      <c r="C9826" t="inlineStr">
        <is>
          <t>because there was a customer
who had actually left a little bit later.</t>
        </is>
      </c>
      <c r="D9826">
        <f>HYPERLINK("https://www.youtube.com/watch?v=3lVNA4aF1lg&amp;t=493s", "Go to time")</f>
        <v/>
      </c>
    </row>
    <row r="9827">
      <c r="A9827">
        <f>HYPERLINK("https://www.youtube.com/watch?v=hUPrUJ4F_Ro", "Video")</f>
        <v/>
      </c>
      <c r="B9827" t="inlineStr">
        <is>
          <t>9:27</t>
        </is>
      </c>
      <c r="C9827" t="inlineStr">
        <is>
          <t>that makes an American
soccer mom look unambitious.</t>
        </is>
      </c>
      <c r="D9827">
        <f>HYPERLINK("https://www.youtube.com/watch?v=hUPrUJ4F_Ro&amp;t=567s", "Go to time")</f>
        <v/>
      </c>
    </row>
    <row r="9828">
      <c r="A9828">
        <f>HYPERLINK("https://www.youtube.com/watch?v=hUPrUJ4F_Ro", "Video")</f>
        <v/>
      </c>
      <c r="B9828" t="inlineStr">
        <is>
          <t>17:45</t>
        </is>
      </c>
      <c r="C9828" t="inlineStr">
        <is>
          <t>If you want to understand the world
a little bit more clearly,</t>
        </is>
      </c>
      <c r="D9828">
        <f>HYPERLINK("https://www.youtube.com/watch?v=hUPrUJ4F_Ro&amp;t=1065s", "Go to time")</f>
        <v/>
      </c>
    </row>
    <row r="9829">
      <c r="A9829">
        <f>HYPERLINK("https://www.youtube.com/watch?v=F9XB29JfKYo", "Video")</f>
        <v/>
      </c>
      <c r="B9829" t="inlineStr">
        <is>
          <t>2:16</t>
        </is>
      </c>
      <c r="C9829" t="inlineStr">
        <is>
          <t>But as you get older,
your imagination takes a bit of a knock</t>
        </is>
      </c>
      <c r="D9829">
        <f>HYPERLINK("https://www.youtube.com/watch?v=F9XB29JfKYo&amp;t=136s", "Go to time")</f>
        <v/>
      </c>
    </row>
    <row r="9830">
      <c r="A9830">
        <f>HYPERLINK("https://www.youtube.com/watch?v=F9XB29JfKYo", "Video")</f>
        <v/>
      </c>
      <c r="B9830" t="inlineStr">
        <is>
          <t>6:55</t>
        </is>
      </c>
      <c r="C9830" t="inlineStr">
        <is>
          <t>So let's look at these
in a bit more detail.</t>
        </is>
      </c>
      <c r="D9830">
        <f>HYPERLINK("https://www.youtube.com/watch?v=F9XB29JfKYo&amp;t=415s", "Go to time")</f>
        <v/>
      </c>
    </row>
    <row r="9831">
      <c r="A9831">
        <f>HYPERLINK("https://www.youtube.com/watch?v=F9XB29JfKYo", "Video")</f>
        <v/>
      </c>
      <c r="B9831" t="inlineStr">
        <is>
          <t>12:49</t>
        </is>
      </c>
      <c r="C9831" t="inlineStr">
        <is>
          <t>Let's put on our VR headsets
and follow that white rabbit.</t>
        </is>
      </c>
      <c r="D9831">
        <f>HYPERLINK("https://www.youtube.com/watch?v=F9XB29JfKYo&amp;t=769s", "Go to time")</f>
        <v/>
      </c>
    </row>
    <row r="9832">
      <c r="A9832">
        <f>HYPERLINK("https://www.youtube.com/watch?v=7_3XJhFBvEk", "Video")</f>
        <v/>
      </c>
      <c r="B9832" t="inlineStr">
        <is>
          <t>0:20</t>
        </is>
      </c>
      <c r="C9832" t="inlineStr">
        <is>
          <t>A country whose inhabitants emit
30 times less greenhouse gases</t>
        </is>
      </c>
      <c r="D9832">
        <f>HYPERLINK("https://www.youtube.com/watch?v=7_3XJhFBvEk&amp;t=20s", "Go to time")</f>
        <v/>
      </c>
    </row>
    <row r="9833">
      <c r="A9833">
        <f>HYPERLINK("https://www.youtube.com/watch?v=7_3XJhFBvEk", "Video")</f>
        <v/>
      </c>
      <c r="B9833" t="inlineStr">
        <is>
          <t>2:58</t>
        </is>
      </c>
      <c r="C9833" t="inlineStr">
        <is>
          <t>with very ambitious goals.</t>
        </is>
      </c>
      <c r="D9833">
        <f>HYPERLINK("https://www.youtube.com/watch?v=7_3XJhFBvEk&amp;t=178s", "Go to time")</f>
        <v/>
      </c>
    </row>
    <row r="9834">
      <c r="A9834">
        <f>HYPERLINK("https://www.youtube.com/watch?v=7_3XJhFBvEk", "Video")</f>
        <v/>
      </c>
      <c r="B9834" t="inlineStr">
        <is>
          <t>10:35</t>
        </is>
      </c>
      <c r="C9834" t="inlineStr">
        <is>
          <t>but for a country with only
3.4 million inhabitants,</t>
        </is>
      </c>
      <c r="D9834">
        <f>HYPERLINK("https://www.youtube.com/watch?v=7_3XJhFBvEk&amp;t=635s", "Go to time")</f>
        <v/>
      </c>
    </row>
    <row r="9835">
      <c r="A9835">
        <f>HYPERLINK("https://www.youtube.com/watch?v=uU2L5nTSHtc", "Video")</f>
        <v/>
      </c>
      <c r="B9835" t="inlineStr">
        <is>
          <t>8:38</t>
        </is>
      </c>
      <c r="C9835" t="inlineStr">
        <is>
          <t>which, in retrospect,
seemed, like, rather ambitious,</t>
        </is>
      </c>
      <c r="D9835">
        <f>HYPERLINK("https://www.youtube.com/watch?v=uU2L5nTSHtc&amp;t=518s", "Go to time")</f>
        <v/>
      </c>
    </row>
    <row r="9836">
      <c r="A9836">
        <f>HYPERLINK("https://www.youtube.com/watch?v=BoRXbjGJrI0", "Video")</f>
        <v/>
      </c>
      <c r="B9836" t="inlineStr">
        <is>
          <t>1:28</t>
        </is>
      </c>
      <c r="C9836" t="inlineStr">
        <is>
          <t>Now, I've got a bit of a quiz for you.</t>
        </is>
      </c>
      <c r="D9836">
        <f>HYPERLINK("https://www.youtube.com/watch?v=BoRXbjGJrI0&amp;t=88s", "Go to time")</f>
        <v/>
      </c>
    </row>
    <row r="9837">
      <c r="A9837">
        <f>HYPERLINK("https://www.youtube.com/watch?v=4BFL4MCnZg8", "Video")</f>
        <v/>
      </c>
      <c r="B9837" t="inlineStr">
        <is>
          <t>3:03</t>
        </is>
      </c>
      <c r="C9837" t="inlineStr">
        <is>
          <t>The second lesson
is about being ambitious.</t>
        </is>
      </c>
      <c r="D9837">
        <f>HYPERLINK("https://www.youtube.com/watch?v=4BFL4MCnZg8&amp;t=183s", "Go to time")</f>
        <v/>
      </c>
    </row>
    <row r="9838">
      <c r="A9838">
        <f>HYPERLINK("https://www.youtube.com/watch?v=4BFL4MCnZg8", "Video")</f>
        <v/>
      </c>
      <c r="B9838" t="inlineStr">
        <is>
          <t>3:38</t>
        </is>
      </c>
      <c r="C9838" t="inlineStr">
        <is>
          <t>So second lesson, be ambitious.</t>
        </is>
      </c>
      <c r="D9838">
        <f>HYPERLINK("https://www.youtube.com/watch?v=4BFL4MCnZg8&amp;t=218s", "Go to time")</f>
        <v/>
      </c>
    </row>
    <row r="9839">
      <c r="A9839">
        <f>HYPERLINK("https://www.youtube.com/watch?v=OlLFK8oSNEM", "Video")</f>
        <v/>
      </c>
      <c r="B9839" t="inlineStr">
        <is>
          <t>0:24</t>
        </is>
      </c>
      <c r="C9839" t="inlineStr">
        <is>
          <t>a bit special.</t>
        </is>
      </c>
      <c r="D9839">
        <f>HYPERLINK("https://www.youtube.com/watch?v=OlLFK8oSNEM&amp;t=24s", "Go to time")</f>
        <v/>
      </c>
    </row>
    <row r="9840">
      <c r="A9840">
        <f>HYPERLINK("https://www.youtube.com/watch?v=OlLFK8oSNEM", "Video")</f>
        <v/>
      </c>
      <c r="B9840" t="inlineStr">
        <is>
          <t>2:40</t>
        </is>
      </c>
      <c r="C9840" t="inlineStr">
        <is>
          <t>habitat is just too dense,</t>
        </is>
      </c>
      <c r="D9840">
        <f>HYPERLINK("https://www.youtube.com/watch?v=OlLFK8oSNEM&amp;t=160s", "Go to time")</f>
        <v/>
      </c>
    </row>
    <row r="9841">
      <c r="A9841">
        <f>HYPERLINK("https://www.youtube.com/watch?v=BXcFEhl7ynM", "Video")</f>
        <v/>
      </c>
      <c r="B9841" t="inlineStr">
        <is>
          <t>5:08</t>
        </is>
      </c>
      <c r="C9841" t="inlineStr">
        <is>
          <t>Our Todai Robot works similarly,
but a bit smarter</t>
        </is>
      </c>
      <c r="D9841">
        <f>HYPERLINK("https://www.youtube.com/watch?v=BXcFEhl7ynM&amp;t=308s", "Go to time")</f>
        <v/>
      </c>
    </row>
    <row r="9842">
      <c r="A9842">
        <f>HYPERLINK("https://www.youtube.com/watch?v=hU-aTB-heU0", "Video")</f>
        <v/>
      </c>
      <c r="B9842" t="inlineStr">
        <is>
          <t>0:31</t>
        </is>
      </c>
      <c r="C9842" t="inlineStr">
        <is>
          <t>gave them a little bit of money
and told them to walk west,</t>
        </is>
      </c>
      <c r="D9842">
        <f>HYPERLINK("https://www.youtube.com/watch?v=hU-aTB-heU0&amp;t=31s", "Go to time")</f>
        <v/>
      </c>
    </row>
    <row r="9843">
      <c r="A9843">
        <f>HYPERLINK("https://www.youtube.com/watch?v=th3nnEpITz0", "Video")</f>
        <v/>
      </c>
      <c r="B9843" t="inlineStr">
        <is>
          <t>18:01</t>
        </is>
      </c>
      <c r="C9843" t="inlineStr">
        <is>
          <t>yoga instruction, Bitmoji."</t>
        </is>
      </c>
      <c r="D9843">
        <f>HYPERLINK("https://www.youtube.com/watch?v=th3nnEpITz0&amp;t=1081s", "Go to time")</f>
        <v/>
      </c>
    </row>
    <row r="9844">
      <c r="A9844">
        <f>HYPERLINK("https://www.youtube.com/watch?v=vmxHUiiHgNk", "Video")</f>
        <v/>
      </c>
      <c r="B9844" t="inlineStr">
        <is>
          <t>5:49</t>
        </is>
      </c>
      <c r="C9844" t="inlineStr">
        <is>
          <t>Maybe you can make it
just a little bit better."</t>
        </is>
      </c>
      <c r="D9844">
        <f>HYPERLINK("https://www.youtube.com/watch?v=vmxHUiiHgNk&amp;t=349s", "Go to time")</f>
        <v/>
      </c>
    </row>
    <row r="9845">
      <c r="A9845">
        <f>HYPERLINK("https://www.youtube.com/watch?v=AO4In7d6X-c", "Video")</f>
        <v/>
      </c>
      <c r="B9845" t="inlineStr">
        <is>
          <t>4:50</t>
        </is>
      </c>
      <c r="C9845" t="inlineStr">
        <is>
          <t>I'll tell you a little bit
about the hardware design later.</t>
        </is>
      </c>
      <c r="D9845">
        <f>HYPERLINK("https://www.youtube.com/watch?v=AO4In7d6X-c&amp;t=290s", "Go to time")</f>
        <v/>
      </c>
    </row>
    <row r="9846">
      <c r="A9846">
        <f>HYPERLINK("https://www.youtube.com/watch?v=AO4In7d6X-c", "Video")</f>
        <v/>
      </c>
      <c r="B9846" t="inlineStr">
        <is>
          <t>6:30</t>
        </is>
      </c>
      <c r="C9846" t="inlineStr">
        <is>
          <t>I'm going to give you
a little bit of robot religion.</t>
        </is>
      </c>
      <c r="D9846">
        <f>HYPERLINK("https://www.youtube.com/watch?v=AO4In7d6X-c&amp;t=390s", "Go to time")</f>
        <v/>
      </c>
    </row>
    <row r="9847">
      <c r="A9847">
        <f>HYPERLINK("https://www.youtube.com/watch?v=AO4In7d6X-c", "Video")</f>
        <v/>
      </c>
      <c r="B9847" t="inlineStr">
        <is>
          <t>8:31</t>
        </is>
      </c>
      <c r="C9847" t="inlineStr">
        <is>
          <t>just a little bit more than me,</t>
        </is>
      </c>
      <c r="D9847">
        <f>HYPERLINK("https://www.youtube.com/watch?v=AO4In7d6X-c&amp;t=511s", "Go to time")</f>
        <v/>
      </c>
    </row>
    <row r="9848">
      <c r="A9848">
        <f>HYPERLINK("https://www.youtube.com/watch?v=AO4In7d6X-c", "Video")</f>
        <v/>
      </c>
      <c r="B9848" t="inlineStr">
        <is>
          <t>8:49</t>
        </is>
      </c>
      <c r="C9848" t="inlineStr">
        <is>
          <t>and we're going to demonstrate
a little bit of mobility,</t>
        </is>
      </c>
      <c r="D9848">
        <f>HYPERLINK("https://www.youtube.com/watch?v=AO4In7d6X-c&amp;t=529s", "Go to time")</f>
        <v/>
      </c>
    </row>
    <row r="9849">
      <c r="A9849">
        <f>HYPERLINK("https://www.youtube.com/watch?v=AO4In7d6X-c", "Video")</f>
        <v/>
      </c>
      <c r="B9849" t="inlineStr">
        <is>
          <t>9:36</t>
        </is>
      </c>
      <c r="C9849" t="inlineStr">
        <is>
          <t>And this robot
is a little bit of a show-off.</t>
        </is>
      </c>
      <c r="D9849">
        <f>HYPERLINK("https://www.youtube.com/watch?v=AO4In7d6X-c&amp;t=576s", "Go to time")</f>
        <v/>
      </c>
    </row>
    <row r="9850">
      <c r="A9850">
        <f>HYPERLINK("https://www.youtube.com/watch?v=AO4In7d6X-c", "Video")</f>
        <v/>
      </c>
      <c r="B9850" t="inlineStr">
        <is>
          <t>10:40</t>
        </is>
      </c>
      <c r="C9850" t="inlineStr">
        <is>
          <t>where it adjusts the steps
a little bit longer</t>
        </is>
      </c>
      <c r="D9850">
        <f>HYPERLINK("https://www.youtube.com/watch?v=AO4In7d6X-c&amp;t=640s", "Go to time")</f>
        <v/>
      </c>
    </row>
    <row r="9851">
      <c r="A9851">
        <f>HYPERLINK("https://www.youtube.com/watch?v=AO4In7d6X-c", "Video")</f>
        <v/>
      </c>
      <c r="B9851" t="inlineStr">
        <is>
          <t>10:42</t>
        </is>
      </c>
      <c r="C9851" t="inlineStr">
        <is>
          <t>or a little bit shorter.</t>
        </is>
      </c>
      <c r="D9851">
        <f>HYPERLINK("https://www.youtube.com/watch?v=AO4In7d6X-c&amp;t=642s", "Go to time")</f>
        <v/>
      </c>
    </row>
    <row r="9852">
      <c r="A9852">
        <f>HYPERLINK("https://www.youtube.com/watch?v=AO4In7d6X-c", "Video")</f>
        <v/>
      </c>
      <c r="B9852" t="inlineStr">
        <is>
          <t>12:21</t>
        </is>
      </c>
      <c r="C9852" t="inlineStr">
        <is>
          <t>because I'm a little bit chicken
about having it do this by itself.</t>
        </is>
      </c>
      <c r="D9852">
        <f>HYPERLINK("https://www.youtube.com/watch?v=AO4In7d6X-c&amp;t=741s", "Go to time")</f>
        <v/>
      </c>
    </row>
    <row r="9853">
      <c r="A9853">
        <f>HYPERLINK("https://www.youtube.com/watch?v=VDZO45zPW9I", "Video")</f>
        <v/>
      </c>
      <c r="B9853" t="inlineStr">
        <is>
          <t>1:05</t>
        </is>
      </c>
      <c r="C9853" t="inlineStr">
        <is>
          <t>as I think it's a bit dehumanizing,</t>
        </is>
      </c>
      <c r="D9853">
        <f>HYPERLINK("https://www.youtube.com/watch?v=VDZO45zPW9I&amp;t=65s", "Go to time")</f>
        <v/>
      </c>
    </row>
    <row r="9854">
      <c r="A9854">
        <f>HYPERLINK("https://www.youtube.com/watch?v=VDZO45zPW9I", "Video")</f>
        <v/>
      </c>
      <c r="B9854" t="inlineStr">
        <is>
          <t>7:16</t>
        </is>
      </c>
      <c r="C9854" t="inlineStr">
        <is>
          <t>which still [is]
a little bit present today.</t>
        </is>
      </c>
      <c r="D9854">
        <f>HYPERLINK("https://www.youtube.com/watch?v=VDZO45zPW9I&amp;t=436s", "Go to time")</f>
        <v/>
      </c>
    </row>
    <row r="9855">
      <c r="A9855">
        <f>HYPERLINK("https://www.youtube.com/watch?v=VDZO45zPW9I", "Video")</f>
        <v/>
      </c>
      <c r="B9855" t="inlineStr">
        <is>
          <t>8:42</t>
        </is>
      </c>
      <c r="C9855" t="inlineStr">
        <is>
          <t>I realized that sometimes
the truth was a bit blurry.</t>
        </is>
      </c>
      <c r="D9855">
        <f>HYPERLINK("https://www.youtube.com/watch?v=VDZO45zPW9I&amp;t=522s", "Go to time")</f>
        <v/>
      </c>
    </row>
    <row r="9856">
      <c r="A9856">
        <f>HYPERLINK("https://www.youtube.com/watch?v=VDZO45zPW9I", "Video")</f>
        <v/>
      </c>
      <c r="B9856" t="inlineStr">
        <is>
          <t>11:07</t>
        </is>
      </c>
      <c r="C9856" t="inlineStr">
        <is>
          <t>I've been covering the most bitterly
divided war of our time, Gaza.</t>
        </is>
      </c>
      <c r="D9856">
        <f>HYPERLINK("https://www.youtube.com/watch?v=VDZO45zPW9I&amp;t=667s", "Go to time")</f>
        <v/>
      </c>
    </row>
    <row r="9857">
      <c r="A9857">
        <f>HYPERLINK("https://www.youtube.com/watch?v=u2bQSKvZ2qI", "Video")</f>
        <v/>
      </c>
      <c r="B9857" t="inlineStr">
        <is>
          <t>2:57</t>
        </is>
      </c>
      <c r="C9857" t="inlineStr">
        <is>
          <t>There you go, a little bit to the left,
a little bit to the right.</t>
        </is>
      </c>
      <c r="D9857">
        <f>HYPERLINK("https://www.youtube.com/watch?v=u2bQSKvZ2qI&amp;t=177s", "Go to time")</f>
        <v/>
      </c>
    </row>
    <row r="9858">
      <c r="A9858">
        <f>HYPERLINK("https://www.youtube.com/watch?v=tuvxXnQrRv8", "Video")</f>
        <v/>
      </c>
      <c r="B9858" t="inlineStr">
        <is>
          <t>9:00</t>
        </is>
      </c>
      <c r="C9858" t="inlineStr">
        <is>
          <t>And with just a little bit
of clean, renewable energy,</t>
        </is>
      </c>
      <c r="D9858">
        <f>HYPERLINK("https://www.youtube.com/watch?v=tuvxXnQrRv8&amp;t=540s", "Go to time")</f>
        <v/>
      </c>
    </row>
    <row r="9859">
      <c r="A9859">
        <f>HYPERLINK("https://www.youtube.com/watch?v=ulYR5bpu68E", "Video")</f>
        <v/>
      </c>
      <c r="B9859" t="inlineStr">
        <is>
          <t>4:09</t>
        </is>
      </c>
      <c r="C9859" t="inlineStr">
        <is>
          <t>a bit like how rocks can oxidize,</t>
        </is>
      </c>
      <c r="D9859">
        <f>HYPERLINK("https://www.youtube.com/watch?v=ulYR5bpu68E&amp;t=249s", "Go to time")</f>
        <v/>
      </c>
    </row>
    <row r="9860">
      <c r="A9860">
        <f>HYPERLINK("https://www.youtube.com/watch?v=ulYR5bpu68E", "Video")</f>
        <v/>
      </c>
      <c r="B9860" t="inlineStr">
        <is>
          <t>6:36</t>
        </is>
      </c>
      <c r="C9860" t="inlineStr">
        <is>
          <t>and it has a flavor a little bit
like soda water.</t>
        </is>
      </c>
      <c r="D9860">
        <f>HYPERLINK("https://www.youtube.com/watch?v=ulYR5bpu68E&amp;t=396s", "Go to time")</f>
        <v/>
      </c>
    </row>
    <row r="9861">
      <c r="A9861">
        <f>HYPERLINK("https://www.youtube.com/watch?v=ulYR5bpu68E", "Video")</f>
        <v/>
      </c>
      <c r="B9861" t="inlineStr">
        <is>
          <t>8:56</t>
        </is>
      </c>
      <c r="C9861" t="inlineStr">
        <is>
          <t>So when we start to think -- ooh!
It's still there a bit.</t>
        </is>
      </c>
      <c r="D9861">
        <f>HYPERLINK("https://www.youtube.com/watch?v=ulYR5bpu68E&amp;t=536s", "Go to time")</f>
        <v/>
      </c>
    </row>
    <row r="9862">
      <c r="A9862">
        <f>HYPERLINK("https://www.youtube.com/watch?v=jr5mTwfFh00", "Video")</f>
        <v/>
      </c>
      <c r="B9862" t="inlineStr">
        <is>
          <t>7:49</t>
        </is>
      </c>
      <c r="C9862" t="inlineStr">
        <is>
          <t>I call it social-service arbitrage.</t>
        </is>
      </c>
      <c r="D9862">
        <f>HYPERLINK("https://www.youtube.com/watch?v=jr5mTwfFh00&amp;t=469s", "Go to time")</f>
        <v/>
      </c>
    </row>
    <row r="9863">
      <c r="A9863">
        <f>HYPERLINK("https://www.youtube.com/watch?v=jr5mTwfFh00", "Video")</f>
        <v/>
      </c>
      <c r="B9863" t="inlineStr">
        <is>
          <t>8:47</t>
        </is>
      </c>
      <c r="C9863" t="inlineStr">
        <is>
          <t>Now, you might be thinking,
"This guy's a bit different."</t>
        </is>
      </c>
      <c r="D9863">
        <f>HYPERLINK("https://www.youtube.com/watch?v=jr5mTwfFh00&amp;t=527s", "Go to time")</f>
        <v/>
      </c>
    </row>
    <row r="9864">
      <c r="A9864">
        <f>HYPERLINK("https://www.youtube.com/watch?v=PrJAX-iQ-O4", "Video")</f>
        <v/>
      </c>
      <c r="B9864" t="inlineStr">
        <is>
          <t>3:52</t>
        </is>
      </c>
      <c r="C9864" t="inlineStr">
        <is>
          <t>So, will you talk a little bit about that?</t>
        </is>
      </c>
      <c r="D9864">
        <f>HYPERLINK("https://www.youtube.com/watch?v=PrJAX-iQ-O4&amp;t=232s", "Go to time")</f>
        <v/>
      </c>
    </row>
    <row r="9865">
      <c r="A9865">
        <f>HYPERLINK("https://www.youtube.com/watch?v=PrJAX-iQ-O4", "Video")</f>
        <v/>
      </c>
      <c r="B9865" t="inlineStr">
        <is>
          <t>7:40</t>
        </is>
      </c>
      <c r="C9865" t="inlineStr">
        <is>
          <t>Even just that little bit
of using your body</t>
        </is>
      </c>
      <c r="D9865">
        <f>HYPERLINK("https://www.youtube.com/watch?v=PrJAX-iQ-O4&amp;t=460s", "Go to time")</f>
        <v/>
      </c>
    </row>
    <row r="9866">
      <c r="A9866">
        <f>HYPERLINK("https://www.youtube.com/watch?v=PrJAX-iQ-O4", "Video")</f>
        <v/>
      </c>
      <c r="B9866" t="inlineStr">
        <is>
          <t>14:56</t>
        </is>
      </c>
      <c r="C9866" t="inlineStr">
        <is>
          <t>to feel a little bit better
to take one more step.</t>
        </is>
      </c>
      <c r="D9866">
        <f>HYPERLINK("https://www.youtube.com/watch?v=PrJAX-iQ-O4&amp;t=896s", "Go to time")</f>
        <v/>
      </c>
    </row>
    <row r="9867">
      <c r="A9867">
        <f>HYPERLINK("https://www.youtube.com/watch?v=FATQ0Yf0Fhc", "Video")</f>
        <v/>
      </c>
      <c r="B9867" t="inlineStr">
        <is>
          <t>2:28</t>
        </is>
      </c>
      <c r="C9867" t="inlineStr">
        <is>
          <t>and we're sliding back
into our old habits of thought.</t>
        </is>
      </c>
      <c r="D9867">
        <f>HYPERLINK("https://www.youtube.com/watch?v=FATQ0Yf0Fhc&amp;t=148s", "Go to time")</f>
        <v/>
      </c>
    </row>
    <row r="9868">
      <c r="A9868">
        <f>HYPERLINK("https://www.youtube.com/watch?v=rsL4vztsChc", "Video")</f>
        <v/>
      </c>
      <c r="B9868" t="inlineStr">
        <is>
          <t>5:23</t>
        </is>
      </c>
      <c r="C9868" t="inlineStr">
        <is>
          <t>bit tricky and people don't like to talk</t>
        </is>
      </c>
      <c r="D9868">
        <f>HYPERLINK("https://www.youtube.com/watch?v=rsL4vztsChc&amp;t=323s", "Go to time")</f>
        <v/>
      </c>
    </row>
    <row r="9869">
      <c r="A9869">
        <f>HYPERLINK("https://www.youtube.com/watch?v=rsL4vztsChc", "Video")</f>
        <v/>
      </c>
      <c r="B9869" t="inlineStr">
        <is>
          <t>12:47</t>
        </is>
      </c>
      <c r="C9869" t="inlineStr">
        <is>
          <t>changing our eating habits isn't easy</t>
        </is>
      </c>
      <c r="D9869">
        <f>HYPERLINK("https://www.youtube.com/watch?v=rsL4vztsChc&amp;t=767s", "Go to time")</f>
        <v/>
      </c>
    </row>
    <row r="9870">
      <c r="A9870">
        <f>HYPERLINK("https://www.youtube.com/watch?v=rsL4vztsChc", "Video")</f>
        <v/>
      </c>
      <c r="B9870" t="inlineStr">
        <is>
          <t>18:20</t>
        </is>
      </c>
      <c r="C9870" t="inlineStr">
        <is>
          <t>little bit better at managing your food</t>
        </is>
      </c>
      <c r="D9870">
        <f>HYPERLINK("https://www.youtube.com/watch?v=rsL4vztsChc&amp;t=1100s", "Go to time")</f>
        <v/>
      </c>
    </row>
    <row r="9871">
      <c r="A9871">
        <f>HYPERLINK("https://www.youtube.com/watch?v=UG1eW81y7Ac", "Video")</f>
        <v/>
      </c>
      <c r="B9871" t="inlineStr">
        <is>
          <t>6:45</t>
        </is>
      </c>
      <c r="C9871" t="inlineStr">
        <is>
          <t>Abita hulita those that came before me</t>
        </is>
      </c>
      <c r="D9871">
        <f>HYPERLINK("https://www.youtube.com/watch?v=UG1eW81y7Ac&amp;t=405s", "Go to time")</f>
        <v/>
      </c>
    </row>
    <row r="9872">
      <c r="A9872">
        <f>HYPERLINK("https://www.youtube.com/watch?v=g3vSYbT1Aco", "Video")</f>
        <v/>
      </c>
      <c r="B9872" t="inlineStr">
        <is>
          <t>9:28</t>
        </is>
      </c>
      <c r="C9872" t="inlineStr">
        <is>
          <t>It's a habituation effect.</t>
        </is>
      </c>
      <c r="D9872">
        <f>HYPERLINK("https://www.youtube.com/watch?v=g3vSYbT1Aco&amp;t=568s", "Go to time")</f>
        <v/>
      </c>
    </row>
    <row r="9873">
      <c r="A9873">
        <f>HYPERLINK("https://www.youtube.com/watch?v=OsbV1_tA1oU", "Video")</f>
        <v/>
      </c>
      <c r="B9873" t="inlineStr">
        <is>
          <t>0:28</t>
        </is>
      </c>
      <c r="C9873" t="inlineStr">
        <is>
          <t>as the poorest 3.5 billion
inhabitants of the planet.</t>
        </is>
      </c>
      <c r="D9873">
        <f>HYPERLINK("https://www.youtube.com/watch?v=OsbV1_tA1oU&amp;t=28s", "Go to time")</f>
        <v/>
      </c>
    </row>
    <row r="9874">
      <c r="A9874">
        <f>HYPERLINK("https://www.youtube.com/watch?v=DhnBn_c9f8Q", "Video")</f>
        <v/>
      </c>
      <c r="B9874" t="inlineStr">
        <is>
          <t>0:26</t>
        </is>
      </c>
      <c r="C9874" t="inlineStr">
        <is>
          <t>the school called in my parents
to have a bit of a discussion,</t>
        </is>
      </c>
      <c r="D9874">
        <f>HYPERLINK("https://www.youtube.com/watch?v=DhnBn_c9f8Q&amp;t=26s", "Go to time")</f>
        <v/>
      </c>
    </row>
    <row r="9875">
      <c r="A9875">
        <f>HYPERLINK("https://www.youtube.com/watch?v=DhnBn_c9f8Q", "Video")</f>
        <v/>
      </c>
      <c r="B9875" t="inlineStr">
        <is>
          <t>2:02</t>
        </is>
      </c>
      <c r="C9875" t="inlineStr">
        <is>
          <t>school-bus-sized spacecraft to orbit.</t>
        </is>
      </c>
      <c r="D9875">
        <f>HYPERLINK("https://www.youtube.com/watch?v=DhnBn_c9f8Q&amp;t=122s", "Go to time")</f>
        <v/>
      </c>
    </row>
    <row r="9876">
      <c r="A9876">
        <f>HYPERLINK("https://www.youtube.com/watch?v=DhnBn_c9f8Q", "Video")</f>
        <v/>
      </c>
      <c r="B9876" t="inlineStr">
        <is>
          <t>2:33</t>
        </is>
      </c>
      <c r="C9876" t="inlineStr">
        <is>
          <t>for lifting these small
payloads into orbit.</t>
        </is>
      </c>
      <c r="D9876">
        <f>HYPERLINK("https://www.youtube.com/watch?v=DhnBn_c9f8Q&amp;t=153s", "Go to time")</f>
        <v/>
      </c>
    </row>
    <row r="9877">
      <c r="A9877">
        <f>HYPERLINK("https://www.youtube.com/watch?v=DhnBn_c9f8Q", "Video")</f>
        <v/>
      </c>
      <c r="B9877" t="inlineStr">
        <is>
          <t>3:05</t>
        </is>
      </c>
      <c r="C9877" t="inlineStr">
        <is>
          <t>So let's talk a little bit
about infrastructure.</t>
        </is>
      </c>
      <c r="D9877">
        <f>HYPERLINK("https://www.youtube.com/watch?v=DhnBn_c9f8Q&amp;t=185s", "Go to time")</f>
        <v/>
      </c>
    </row>
    <row r="9878">
      <c r="A9878">
        <f>HYPERLINK("https://www.youtube.com/watch?v=DhnBn_c9f8Q", "Video")</f>
        <v/>
      </c>
      <c r="B9878" t="inlineStr">
        <is>
          <t>3:12</t>
        </is>
      </c>
      <c r="C9878" t="inlineStr">
        <is>
          <t>in fact, it's the only private
orbiter launch site</t>
        </is>
      </c>
      <c r="D9878">
        <f>HYPERLINK("https://www.youtube.com/watch?v=DhnBn_c9f8Q&amp;t=192s", "Go to time")</f>
        <v/>
      </c>
    </row>
    <row r="9879">
      <c r="A9879">
        <f>HYPERLINK("https://www.youtube.com/watch?v=DhnBn_c9f8Q", "Video")</f>
        <v/>
      </c>
      <c r="B9879" t="inlineStr">
        <is>
          <t>3:17</t>
        </is>
      </c>
      <c r="C9879" t="inlineStr">
        <is>
          <t>And you may think
that's a bit of an odd place</t>
        </is>
      </c>
      <c r="D9879">
        <f>HYPERLINK("https://www.youtube.com/watch?v=DhnBn_c9f8Q&amp;t=197s", "Go to time")</f>
        <v/>
      </c>
    </row>
    <row r="9880">
      <c r="A9880">
        <f>HYPERLINK("https://www.youtube.com/watch?v=DhnBn_c9f8Q", "Video")</f>
        <v/>
      </c>
      <c r="B9880" t="inlineStr">
        <is>
          <t>4:02</t>
        </is>
      </c>
      <c r="C9880" t="inlineStr">
        <is>
          <t>So, that's kind of the infrastructure bit.</t>
        </is>
      </c>
      <c r="D9880">
        <f>HYPERLINK("https://www.youtube.com/watch?v=DhnBn_c9f8Q&amp;t=242s", "Go to time")</f>
        <v/>
      </c>
    </row>
    <row r="9881">
      <c r="A9881">
        <f>HYPERLINK("https://www.youtube.com/watch?v=DhnBn_c9f8Q", "Video")</f>
        <v/>
      </c>
      <c r="B9881" t="inlineStr">
        <is>
          <t>4:05</t>
        </is>
      </c>
      <c r="C9881" t="inlineStr">
        <is>
          <t>Now the next bit of that is regulatory.</t>
        </is>
      </c>
      <c r="D9881">
        <f>HYPERLINK("https://www.youtube.com/watch?v=DhnBn_c9f8Q&amp;t=245s", "Go to time")</f>
        <v/>
      </c>
    </row>
    <row r="9882">
      <c r="A9882">
        <f>HYPERLINK("https://www.youtube.com/watch?v=DhnBn_c9f8Q", "Video")</f>
        <v/>
      </c>
      <c r="B9882" t="inlineStr">
        <is>
          <t>4:20</t>
        </is>
      </c>
      <c r="C9882" t="inlineStr">
        <is>
          <t>because unfortunately,
if you can put a satellite into orbit,</t>
        </is>
      </c>
      <c r="D9882">
        <f>HYPERLINK("https://www.youtube.com/watch?v=DhnBn_c9f8Q&amp;t=260s", "Go to time")</f>
        <v/>
      </c>
    </row>
    <row r="9883">
      <c r="A9883">
        <f>HYPERLINK("https://www.youtube.com/watch?v=DhnBn_c9f8Q", "Video")</f>
        <v/>
      </c>
      <c r="B9883" t="inlineStr">
        <is>
          <t>5:41</t>
        </is>
      </c>
      <c r="C9883" t="inlineStr">
        <is>
          <t>You can't go and buy
bits to build a rocket.</t>
        </is>
      </c>
      <c r="D9883">
        <f>HYPERLINK("https://www.youtube.com/watch?v=DhnBn_c9f8Q&amp;t=341s", "Go to time")</f>
        <v/>
      </c>
    </row>
    <row r="9884">
      <c r="A9884">
        <f>HYPERLINK("https://www.youtube.com/watch?v=DhnBn_c9f8Q", "Video")</f>
        <v/>
      </c>
      <c r="B9884" t="inlineStr">
        <is>
          <t>7:58</t>
        </is>
      </c>
      <c r="C9884" t="inlineStr">
        <is>
          <t>which is handy when you've got
a lot of customers to put on orbit.</t>
        </is>
      </c>
      <c r="D9884">
        <f>HYPERLINK("https://www.youtube.com/watch?v=DhnBn_c9f8Q&amp;t=478s", "Go to time")</f>
        <v/>
      </c>
    </row>
    <row r="9885">
      <c r="A9885">
        <f>HYPERLINK("https://www.youtube.com/watch?v=DhnBn_c9f8Q", "Video")</f>
        <v/>
      </c>
      <c r="B9885" t="inlineStr">
        <is>
          <t>8:01</t>
        </is>
      </c>
      <c r="C9885" t="inlineStr">
        <is>
          <t>So far, we've put 25 satellites in orbit.</t>
        </is>
      </c>
      <c r="D9885">
        <f>HYPERLINK("https://www.youtube.com/watch?v=DhnBn_c9f8Q&amp;t=481s", "Go to time")</f>
        <v/>
      </c>
    </row>
    <row r="9886">
      <c r="A9886">
        <f>HYPERLINK("https://www.youtube.com/watch?v=DhnBn_c9f8Q", "Video")</f>
        <v/>
      </c>
      <c r="B9886" t="inlineStr">
        <is>
          <t>8:40</t>
        </is>
      </c>
      <c r="C9886" t="inlineStr">
        <is>
          <t>as the guy that put the most
amount of space junk in orbit.</t>
        </is>
      </c>
      <c r="D9886">
        <f>HYPERLINK("https://www.youtube.com/watch?v=DhnBn_c9f8Q&amp;t=520s", "Go to time")</f>
        <v/>
      </c>
    </row>
    <row r="9887">
      <c r="A9887">
        <f>HYPERLINK("https://www.youtube.com/watch?v=DhnBn_c9f8Q", "Video")</f>
        <v/>
      </c>
      <c r="B9887" t="inlineStr">
        <is>
          <t>8:54</t>
        </is>
      </c>
      <c r="C9887" t="inlineStr">
        <is>
          <t>Because as you ascend to orbit,</t>
        </is>
      </c>
      <c r="D9887">
        <f>HYPERLINK("https://www.youtube.com/watch?v=DhnBn_c9f8Q&amp;t=534s", "Go to time")</f>
        <v/>
      </c>
    </row>
    <row r="9888">
      <c r="A9888">
        <f>HYPERLINK("https://www.youtube.com/watch?v=DhnBn_c9f8Q", "Video")</f>
        <v/>
      </c>
      <c r="B9888" t="inlineStr">
        <is>
          <t>8:55</t>
        </is>
      </c>
      <c r="C9888" t="inlineStr">
        <is>
          <t>you have to shed
bits of the rocket to get there,</t>
        </is>
      </c>
      <c r="D9888">
        <f>HYPERLINK("https://www.youtube.com/watch?v=DhnBn_c9f8Q&amp;t=535s", "Go to time")</f>
        <v/>
      </c>
    </row>
    <row r="9889">
      <c r="A9889">
        <f>HYPERLINK("https://www.youtube.com/watch?v=DhnBn_c9f8Q", "Video")</f>
        <v/>
      </c>
      <c r="B9889" t="inlineStr">
        <is>
          <t>8:59</t>
        </is>
      </c>
      <c r="C9889" t="inlineStr">
        <is>
          <t>So I'm going to give a little
Orbital Mechanics 101 here,</t>
        </is>
      </c>
      <c r="D9889">
        <f>HYPERLINK("https://www.youtube.com/watch?v=DhnBn_c9f8Q&amp;t=539s", "Go to time")</f>
        <v/>
      </c>
    </row>
    <row r="9890">
      <c r="A9890">
        <f>HYPERLINK("https://www.youtube.com/watch?v=DhnBn_c9f8Q", "Video")</f>
        <v/>
      </c>
      <c r="B9890" t="inlineStr">
        <is>
          <t>9:02</t>
        </is>
      </c>
      <c r="C9890" t="inlineStr">
        <is>
          <t>and talk about how we go to orbit,</t>
        </is>
      </c>
      <c r="D9890">
        <f>HYPERLINK("https://www.youtube.com/watch?v=DhnBn_c9f8Q&amp;t=542s", "Go to time")</f>
        <v/>
      </c>
    </row>
    <row r="9891">
      <c r="A9891">
        <f>HYPERLINK("https://www.youtube.com/watch?v=DhnBn_c9f8Q", "Video")</f>
        <v/>
      </c>
      <c r="B9891" t="inlineStr">
        <is>
          <t>9:12</t>
        </is>
      </c>
      <c r="C9891" t="inlineStr">
        <is>
          <t>but we leave the second stage
in this highly elliptical orbit.</t>
        </is>
      </c>
      <c r="D9891">
        <f>HYPERLINK("https://www.youtube.com/watch?v=DhnBn_c9f8Q&amp;t=552s", "Go to time")</f>
        <v/>
      </c>
    </row>
    <row r="9892">
      <c r="A9892">
        <f>HYPERLINK("https://www.youtube.com/watch?v=DhnBn_c9f8Q", "Video")</f>
        <v/>
      </c>
      <c r="B9892" t="inlineStr">
        <is>
          <t>9:15</t>
        </is>
      </c>
      <c r="C9892" t="inlineStr">
        <is>
          <t>And at the perigee
of the orbit, or the lowest point,</t>
        </is>
      </c>
      <c r="D9892">
        <f>HYPERLINK("https://www.youtube.com/watch?v=DhnBn_c9f8Q&amp;t=555s", "Go to time")</f>
        <v/>
      </c>
    </row>
    <row r="9893">
      <c r="A9893">
        <f>HYPERLINK("https://www.youtube.com/watch?v=DhnBn_c9f8Q", "Video")</f>
        <v/>
      </c>
      <c r="B9893" t="inlineStr">
        <is>
          <t>9:27</t>
        </is>
      </c>
      <c r="C9893" t="inlineStr">
        <is>
          <t>and we use it to raise and trim the orbit</t>
        </is>
      </c>
      <c r="D9893">
        <f>HYPERLINK("https://www.youtube.com/watch?v=DhnBn_c9f8Q&amp;t=567s", "Go to time")</f>
        <v/>
      </c>
    </row>
    <row r="9894">
      <c r="A9894">
        <f>HYPERLINK("https://www.youtube.com/watch?v=DhnBn_c9f8Q", "Video")</f>
        <v/>
      </c>
      <c r="B9894" t="inlineStr">
        <is>
          <t>9:31</t>
        </is>
      </c>
      <c r="C9894" t="inlineStr">
        <is>
          <t>And then because it's got its own engine,
we put it into a retro orbit,</t>
        </is>
      </c>
      <c r="D9894">
        <f>HYPERLINK("https://www.youtube.com/watch?v=DhnBn_c9f8Q&amp;t=571s", "Go to time")</f>
        <v/>
      </c>
    </row>
    <row r="9895">
      <c r="A9895">
        <f>HYPERLINK("https://www.youtube.com/watch?v=DhnBn_c9f8Q", "Video")</f>
        <v/>
      </c>
      <c r="B9895" t="inlineStr">
        <is>
          <t>9:35</t>
        </is>
      </c>
      <c r="C9895" t="inlineStr">
        <is>
          <t>put it back into a highly
elliptical orbit,</t>
        </is>
      </c>
      <c r="D9895">
        <f>HYPERLINK("https://www.youtube.com/watch?v=DhnBn_c9f8Q&amp;t=575s", "Go to time")</f>
        <v/>
      </c>
    </row>
    <row r="9896">
      <c r="A9896">
        <f>HYPERLINK("https://www.youtube.com/watch?v=DhnBn_c9f8Q", "Video")</f>
        <v/>
      </c>
      <c r="B9896" t="inlineStr">
        <is>
          <t>9:52</t>
        </is>
      </c>
      <c r="C9896" t="inlineStr">
        <is>
          <t>So I want to tell you
a little bit of a story,</t>
        </is>
      </c>
      <c r="D9896">
        <f>HYPERLINK("https://www.youtube.com/watch?v=DhnBn_c9f8Q&amp;t=592s", "Go to time")</f>
        <v/>
      </c>
    </row>
    <row r="9897">
      <c r="A9897">
        <f>HYPERLINK("https://www.youtube.com/watch?v=DhnBn_c9f8Q", "Video")</f>
        <v/>
      </c>
      <c r="B9897" t="inlineStr">
        <is>
          <t>11:02</t>
        </is>
      </c>
      <c r="C9897" t="inlineStr">
        <is>
          <t>to place large constellations,
of small satellites in orbit</t>
        </is>
      </c>
      <c r="D9897">
        <f>HYPERLINK("https://www.youtube.com/watch?v=DhnBn_c9f8Q&amp;t=662s", "Go to time")</f>
        <v/>
      </c>
    </row>
    <row r="9898">
      <c r="A9898">
        <f>HYPERLINK("https://www.youtube.com/watch?v=fLMZAHyrpyo", "Video")</f>
        <v/>
      </c>
      <c r="B9898" t="inlineStr">
        <is>
          <t>0:25</t>
        </is>
      </c>
      <c r="C9898" t="inlineStr">
        <is>
          <t>And so today, I want to tell you
a little bit about what that's led to.</t>
        </is>
      </c>
      <c r="D9898">
        <f>HYPERLINK("https://www.youtube.com/watch?v=fLMZAHyrpyo&amp;t=25s", "Go to time")</f>
        <v/>
      </c>
    </row>
    <row r="9899">
      <c r="A9899">
        <f>HYPERLINK("https://www.youtube.com/watch?v=tWIMlXFk0bs", "Video")</f>
        <v/>
      </c>
      <c r="B9899" t="inlineStr">
        <is>
          <t>0:11</t>
        </is>
      </c>
      <c r="C9899" t="inlineStr">
        <is>
          <t>Maybe you did a little bit of that, too,</t>
        </is>
      </c>
      <c r="D9899">
        <f>HYPERLINK("https://www.youtube.com/watch?v=tWIMlXFk0bs&amp;t=11s", "Go to time")</f>
        <v/>
      </c>
    </row>
    <row r="9900">
      <c r="A9900">
        <f>HYPERLINK("https://www.youtube.com/watch?v=qRJJR6bGyL4", "Video")</f>
        <v/>
      </c>
      <c r="B9900" t="inlineStr">
        <is>
          <t>1:46</t>
        </is>
      </c>
      <c r="C9900" t="inlineStr">
        <is>
          <t>Their mission was to unite for defense
against the world's bitter persecution.</t>
        </is>
      </c>
      <c r="D9900">
        <f>HYPERLINK("https://www.youtube.com/watch?v=qRJJR6bGyL4&amp;t=106s", "Go to time")</f>
        <v/>
      </c>
    </row>
    <row r="9901">
      <c r="A9901">
        <f>HYPERLINK("https://www.youtube.com/watch?v=uxQ0OoyaALQ", "Video")</f>
        <v/>
      </c>
      <c r="B9901" t="inlineStr">
        <is>
          <t>5:24</t>
        </is>
      </c>
      <c r="C9901" t="inlineStr">
        <is>
          <t>little bit and you know one day you'll</t>
        </is>
      </c>
      <c r="D9901">
        <f>HYPERLINK("https://www.youtube.com/watch?v=uxQ0OoyaALQ&amp;t=324s", "Go to time")</f>
        <v/>
      </c>
    </row>
    <row r="9902">
      <c r="A9902">
        <f>HYPERLINK("https://www.youtube.com/watch?v=uxQ0OoyaALQ", "Video")</f>
        <v/>
      </c>
      <c r="B9902" t="inlineStr">
        <is>
          <t>11:38</t>
        </is>
      </c>
      <c r="C9902" t="inlineStr">
        <is>
          <t>would you be a little bit like I don't</t>
        </is>
      </c>
      <c r="D9902">
        <f>HYPERLINK("https://www.youtube.com/watch?v=uxQ0OoyaALQ&amp;t=698s", "Go to time")</f>
        <v/>
      </c>
    </row>
    <row r="9903">
      <c r="A9903">
        <f>HYPERLINK("https://www.youtube.com/watch?v=5ghYJlahAWQ", "Video")</f>
        <v/>
      </c>
      <c r="B9903" t="inlineStr">
        <is>
          <t>2:08</t>
        </is>
      </c>
      <c r="C9903" t="inlineStr">
        <is>
          <t>known as "habitat fragments."</t>
        </is>
      </c>
      <c r="D9903">
        <f>HYPERLINK("https://www.youtube.com/watch?v=5ghYJlahAWQ&amp;t=128s", "Go to time")</f>
        <v/>
      </c>
    </row>
    <row r="9904">
      <c r="A9904">
        <f>HYPERLINK("https://www.youtube.com/watch?v=5ghYJlahAWQ", "Video")</f>
        <v/>
      </c>
      <c r="B9904" t="inlineStr">
        <is>
          <t>2:29</t>
        </is>
      </c>
      <c r="C9904" t="inlineStr">
        <is>
          <t>would actually add up to create
a network of habitat fragments.</t>
        </is>
      </c>
      <c r="D9904">
        <f>HYPERLINK("https://www.youtube.com/watch?v=5ghYJlahAWQ&amp;t=149s", "Go to time")</f>
        <v/>
      </c>
    </row>
    <row r="9905">
      <c r="A9905">
        <f>HYPERLINK("https://www.youtube.com/watch?v=5ghYJlahAWQ", "Video")</f>
        <v/>
      </c>
      <c r="B9905" t="inlineStr">
        <is>
          <t>3:17</t>
        </is>
      </c>
      <c r="C9905" t="inlineStr">
        <is>
          <t>and so they acted
as habitat fragment gardeners.</t>
        </is>
      </c>
      <c r="D9905">
        <f>HYPERLINK("https://www.youtube.com/watch?v=5ghYJlahAWQ&amp;t=197s", "Go to time")</f>
        <v/>
      </c>
    </row>
    <row r="9906">
      <c r="A9906">
        <f>HYPERLINK("https://www.youtube.com/watch?v=5ghYJlahAWQ", "Video")</f>
        <v/>
      </c>
      <c r="B9906" t="inlineStr">
        <is>
          <t>3:36</t>
        </is>
      </c>
      <c r="C9906" t="inlineStr">
        <is>
          <t>their habitat fragments were adding up
to make a more resilient ecosystem --</t>
        </is>
      </c>
      <c r="D9906">
        <f>HYPERLINK("https://www.youtube.com/watch?v=5ghYJlahAWQ&amp;t=216s", "Go to time")</f>
        <v/>
      </c>
    </row>
    <row r="9907">
      <c r="A9907">
        <f>HYPERLINK("https://www.youtube.com/watch?v=5ghYJlahAWQ", "Video")</f>
        <v/>
      </c>
      <c r="B9907" t="inlineStr">
        <is>
          <t>4:16</t>
        </is>
      </c>
      <c r="C9907" t="inlineStr">
        <is>
          <t>this waiting room felt like
a social habitat fragment</t>
        </is>
      </c>
      <c r="D9907">
        <f>HYPERLINK("https://www.youtube.com/watch?v=5ghYJlahAWQ&amp;t=256s", "Go to time")</f>
        <v/>
      </c>
    </row>
    <row r="9908">
      <c r="A9908">
        <f>HYPERLINK("https://www.youtube.com/watch?v=5ghYJlahAWQ", "Video")</f>
        <v/>
      </c>
      <c r="B9908" t="inlineStr">
        <is>
          <t>5:43</t>
        </is>
      </c>
      <c r="C9908" t="inlineStr">
        <is>
          <t>of museum habitat fragments.</t>
        </is>
      </c>
      <c r="D9908">
        <f>HYPERLINK("https://www.youtube.com/watch?v=5ghYJlahAWQ&amp;t=343s", "Go to time")</f>
        <v/>
      </c>
    </row>
    <row r="9909">
      <c r="A9909">
        <f>HYPERLINK("https://www.youtube.com/watch?v=5ghYJlahAWQ", "Video")</f>
        <v/>
      </c>
      <c r="B9909" t="inlineStr">
        <is>
          <t>7:11</t>
        </is>
      </c>
      <c r="C9909" t="inlineStr">
        <is>
          <t>into habitat fragments
for social learning.</t>
        </is>
      </c>
      <c r="D9909">
        <f>HYPERLINK("https://www.youtube.com/watch?v=5ghYJlahAWQ&amp;t=431s", "Go to time")</f>
        <v/>
      </c>
    </row>
    <row r="9910">
      <c r="A9910">
        <f>HYPERLINK("https://www.youtube.com/watch?v=5ghYJlahAWQ", "Video")</f>
        <v/>
      </c>
      <c r="B9910" t="inlineStr">
        <is>
          <t>7:19</t>
        </is>
      </c>
      <c r="C9910" t="inlineStr">
        <is>
          <t>Even though each
habitat fragment is small,</t>
        </is>
      </c>
      <c r="D9910">
        <f>HYPERLINK("https://www.youtube.com/watch?v=5ghYJlahAWQ&amp;t=439s", "Go to time")</f>
        <v/>
      </c>
    </row>
    <row r="9911">
      <c r="A9911">
        <f>HYPERLINK("https://www.youtube.com/watch?v=5ghYJlahAWQ", "Video")</f>
        <v/>
      </c>
      <c r="B9911" t="inlineStr">
        <is>
          <t>8:48</t>
        </is>
      </c>
      <c r="C9911" t="inlineStr">
        <is>
          <t>There are habitat fragments everywhere,
nurtured by talented, passionate,</t>
        </is>
      </c>
      <c r="D9911">
        <f>HYPERLINK("https://www.youtube.com/watch?v=5ghYJlahAWQ&amp;t=528s", "Go to time")</f>
        <v/>
      </c>
    </row>
    <row r="9912">
      <c r="A9912">
        <f>HYPERLINK("https://www.youtube.com/watch?v=5ghYJlahAWQ", "Video")</f>
        <v/>
      </c>
      <c r="B9912" t="inlineStr">
        <is>
          <t>9:44</t>
        </is>
      </c>
      <c r="C9912" t="inlineStr">
        <is>
          <t>The world needs so many
more habitat fragments.</t>
        </is>
      </c>
      <c r="D9912">
        <f>HYPERLINK("https://www.youtube.com/watch?v=5ghYJlahAWQ&amp;t=584s", "Go to time")</f>
        <v/>
      </c>
    </row>
    <row r="9913">
      <c r="A9913">
        <f>HYPERLINK("https://www.youtube.com/watch?v=5ghYJlahAWQ", "Video")</f>
        <v/>
      </c>
      <c r="B9913" t="inlineStr">
        <is>
          <t>10:28</t>
        </is>
      </c>
      <c r="C9913" t="inlineStr">
        <is>
          <t>Step three: find the other
habitat fragments.</t>
        </is>
      </c>
      <c r="D9913">
        <f>HYPERLINK("https://www.youtube.com/watch?v=5ghYJlahAWQ&amp;t=628s", "Go to time")</f>
        <v/>
      </c>
    </row>
    <row r="9914">
      <c r="A9914">
        <f>HYPERLINK("https://www.youtube.com/watch?v=xlLXXdU0FBk", "Video")</f>
        <v/>
      </c>
      <c r="B9914" t="inlineStr">
        <is>
          <t>0:14</t>
        </is>
      </c>
      <c r="C9914" t="inlineStr">
        <is>
          <t>and I'm an editor on the obituaries desk
at the "New York Times."</t>
        </is>
      </c>
      <c r="D9914">
        <f>HYPERLINK("https://www.youtube.com/watch?v=xlLXXdU0FBk&amp;t=14s", "Go to time")</f>
        <v/>
      </c>
    </row>
    <row r="9915">
      <c r="A9915">
        <f>HYPERLINK("https://www.youtube.com/watch?v=xlLXXdU0FBk", "Video")</f>
        <v/>
      </c>
      <c r="B9915" t="inlineStr">
        <is>
          <t>0:25</t>
        </is>
      </c>
      <c r="C9915" t="inlineStr">
        <is>
          <t>"Isn't it depressing,
working on obituaries</t>
        </is>
      </c>
      <c r="D9915">
        <f>HYPERLINK("https://www.youtube.com/watch?v=xlLXXdU0FBk&amp;t=25s", "Go to time")</f>
        <v/>
      </c>
    </row>
    <row r="9916">
      <c r="A9916">
        <f>HYPERLINK("https://www.youtube.com/watch?v=xlLXXdU0FBk", "Video")</f>
        <v/>
      </c>
      <c r="B9916" t="inlineStr">
        <is>
          <t>0:31</t>
        </is>
      </c>
      <c r="C9916" t="inlineStr">
        <is>
          <t>Obits aren't about death,
they're about life,</t>
        </is>
      </c>
      <c r="D9916">
        <f>HYPERLINK("https://www.youtube.com/watch?v=xlLXXdU0FBk&amp;t=31s", "Go to time")</f>
        <v/>
      </c>
    </row>
    <row r="9917">
      <c r="A9917">
        <f>HYPERLINK("https://www.youtube.com/watch?v=xlLXXdU0FBk", "Video")</f>
        <v/>
      </c>
      <c r="B9917" t="inlineStr">
        <is>
          <t>0:40</t>
        </is>
      </c>
      <c r="C9917" t="inlineStr">
        <is>
          <t>we had the obit for the inventor
of the sock puppet.</t>
        </is>
      </c>
      <c r="D9917">
        <f>HYPERLINK("https://www.youtube.com/watch?v=xlLXXdU0FBk&amp;t=40s", "Go to time")</f>
        <v/>
      </c>
    </row>
    <row r="9918">
      <c r="A9918">
        <f>HYPERLINK("https://www.youtube.com/watch?v=xlLXXdU0FBk", "Video")</f>
        <v/>
      </c>
      <c r="B9918" t="inlineStr">
        <is>
          <t>0:52</t>
        </is>
      </c>
      <c r="C9918" t="inlineStr">
        <is>
          <t>Obits are a signature form of journalism.</t>
        </is>
      </c>
      <c r="D9918">
        <f>HYPERLINK("https://www.youtube.com/watch?v=xlLXXdU0FBk&amp;t=52s", "Go to time")</f>
        <v/>
      </c>
    </row>
    <row r="9919">
      <c r="A9919">
        <f>HYPERLINK("https://www.youtube.com/watch?v=xlLXXdU0FBk", "Video")</f>
        <v/>
      </c>
      <c r="B9919" t="inlineStr">
        <is>
          <t>1:05</t>
        </is>
      </c>
      <c r="C9919" t="inlineStr">
        <is>
          <t>the "New York Times"
has published thousands of obituaries.</t>
        </is>
      </c>
      <c r="D9919">
        <f>HYPERLINK("https://www.youtube.com/watch?v=xlLXXdU0FBk&amp;t=65s", "Go to time")</f>
        <v/>
      </c>
    </row>
    <row r="9920">
      <c r="A9920">
        <f>HYPERLINK("https://www.youtube.com/watch?v=xlLXXdU0FBk", "Video")</f>
        <v/>
      </c>
      <c r="B9920" t="inlineStr">
        <is>
          <t>1:31</t>
        </is>
      </c>
      <c r="C9920" t="inlineStr">
        <is>
          <t>who never got an obit.</t>
        </is>
      </c>
      <c r="D9920">
        <f>HYPERLINK("https://www.youtube.com/watch?v=xlLXXdU0FBk&amp;t=91s", "Go to time")</f>
        <v/>
      </c>
    </row>
    <row r="9921">
      <c r="A9921">
        <f>HYPERLINK("https://www.youtube.com/watch?v=xlLXXdU0FBk", "Video")</f>
        <v/>
      </c>
      <c r="B9921" t="inlineStr">
        <is>
          <t>1:52</t>
        </is>
      </c>
      <c r="C9921" t="inlineStr">
        <is>
          <t>I came up with the idea
when I first joined Obituaries in 2017.</t>
        </is>
      </c>
      <c r="D9921">
        <f>HYPERLINK("https://www.youtube.com/watch?v=xlLXXdU0FBk&amp;t=112s", "Go to time")</f>
        <v/>
      </c>
    </row>
    <row r="9922">
      <c r="A9922">
        <f>HYPERLINK("https://www.youtube.com/watch?v=xlLXXdU0FBk", "Video")</f>
        <v/>
      </c>
      <c r="B9922" t="inlineStr">
        <is>
          <t>2:25</t>
        </is>
      </c>
      <c r="C9922" t="inlineStr">
        <is>
          <t>in your obituaries?"</t>
        </is>
      </c>
      <c r="D9922">
        <f>HYPERLINK("https://www.youtube.com/watch?v=xlLXXdU0FBk&amp;t=145s", "Go to time")</f>
        <v/>
      </c>
    </row>
    <row r="9923">
      <c r="A9923">
        <f>HYPERLINK("https://www.youtube.com/watch?v=xlLXXdU0FBk", "Video")</f>
        <v/>
      </c>
      <c r="B9923" t="inlineStr">
        <is>
          <t>2:42</t>
        </is>
      </c>
      <c r="C9923" t="inlineStr">
        <is>
          <t>we'll start to see more women
and people of color in our obituaries."</t>
        </is>
      </c>
      <c r="D9923">
        <f>HYPERLINK("https://www.youtube.com/watch?v=xlLXXdU0FBk&amp;t=162s", "Go to time")</f>
        <v/>
      </c>
    </row>
    <row r="9924">
      <c r="A9924">
        <f>HYPERLINK("https://www.youtube.com/watch?v=xlLXXdU0FBk", "Video")</f>
        <v/>
      </c>
      <c r="B9924" t="inlineStr">
        <is>
          <t>3:28</t>
        </is>
      </c>
      <c r="C9924" t="inlineStr">
        <is>
          <t>And did she get a New York Times obituary?</t>
        </is>
      </c>
      <c r="D9924">
        <f>HYPERLINK("https://www.youtube.com/watch?v=xlLXXdU0FBk&amp;t=208s", "Go to time")</f>
        <v/>
      </c>
    </row>
    <row r="9925">
      <c r="A9925">
        <f>HYPERLINK("https://www.youtube.com/watch?v=xlLXXdU0FBk", "Video")</f>
        <v/>
      </c>
      <c r="B9925" t="inlineStr">
        <is>
          <t>6:48</t>
        </is>
      </c>
      <c r="C9925" t="inlineStr">
        <is>
          <t>"What about the future of obituaries --</t>
        </is>
      </c>
      <c r="D9925">
        <f>HYPERLINK("https://www.youtube.com/watch?v=xlLXXdU0FBk&amp;t=408s", "Go to time")</f>
        <v/>
      </c>
    </row>
    <row r="9926">
      <c r="A9926">
        <f>HYPERLINK("https://www.youtube.com/watch?v=xlLXXdU0FBk", "Video")</f>
        <v/>
      </c>
      <c r="B9926" t="inlineStr">
        <is>
          <t>7:11</t>
        </is>
      </c>
      <c r="C9926" t="inlineStr">
        <is>
          <t>He pointed me to a book called
"New York Times Obituaries Index."</t>
        </is>
      </c>
      <c r="D9926">
        <f>HYPERLINK("https://www.youtube.com/watch?v=xlLXXdU0FBk&amp;t=431s", "Go to time")</f>
        <v/>
      </c>
    </row>
    <row r="9927">
      <c r="A9927">
        <f>HYPERLINK("https://www.youtube.com/watch?v=xlLXXdU0FBk", "Video")</f>
        <v/>
      </c>
      <c r="B9927" t="inlineStr">
        <is>
          <t>7:32</t>
        </is>
      </c>
      <c r="C9927" t="inlineStr">
        <is>
          <t>only about 15 to 20 percent
of our obits were on women.</t>
        </is>
      </c>
      <c r="D9927">
        <f>HYPERLINK("https://www.youtube.com/watch?v=xlLXXdU0FBk&amp;t=452s", "Go to time")</f>
        <v/>
      </c>
    </row>
    <row r="9928">
      <c r="A9928">
        <f>HYPERLINK("https://www.youtube.com/watch?v=xlLXXdU0FBk", "Video")</f>
        <v/>
      </c>
      <c r="B9928" t="inlineStr">
        <is>
          <t>7:45</t>
        </is>
      </c>
      <c r="C9928" t="inlineStr">
        <is>
          <t>It breaks down the percentage of our obits
month to month, women to men.</t>
        </is>
      </c>
      <c r="D9928">
        <f>HYPERLINK("https://www.youtube.com/watch?v=xlLXXdU0FBk&amp;t=465s", "Go to time")</f>
        <v/>
      </c>
    </row>
    <row r="9929">
      <c r="A9929">
        <f>HYPERLINK("https://www.youtube.com/watch?v=xlLXXdU0FBk", "Video")</f>
        <v/>
      </c>
      <c r="B9929" t="inlineStr">
        <is>
          <t>8:07</t>
        </is>
      </c>
      <c r="C9929" t="inlineStr">
        <is>
          <t>I was hoping we could get
to 30 percent of our obits on women.</t>
        </is>
      </c>
      <c r="D9929">
        <f>HYPERLINK("https://www.youtube.com/watch?v=xlLXXdU0FBk&amp;t=487s", "Go to time")</f>
        <v/>
      </c>
    </row>
    <row r="9930">
      <c r="A9930">
        <f>HYPERLINK("https://www.youtube.com/watch?v=xlLXXdU0FBk", "Video")</f>
        <v/>
      </c>
      <c r="B9930" t="inlineStr">
        <is>
          <t>8:31</t>
        </is>
      </c>
      <c r="C9930" t="inlineStr">
        <is>
          <t>to build a similar tool to measure
people of color in our obits.</t>
        </is>
      </c>
      <c r="D9930">
        <f>HYPERLINK("https://www.youtube.com/watch?v=xlLXXdU0FBk&amp;t=511s", "Go to time")</f>
        <v/>
      </c>
    </row>
    <row r="9931">
      <c r="A9931">
        <f>HYPERLINK("https://www.youtube.com/watch?v=xlLXXdU0FBk", "Video")</f>
        <v/>
      </c>
      <c r="B9931" t="inlineStr">
        <is>
          <t>9:21</t>
        </is>
      </c>
      <c r="C9931" t="inlineStr">
        <is>
          <t>Recently, we had the obit
for the computer programmer Alan Turing.</t>
        </is>
      </c>
      <c r="D9931">
        <f>HYPERLINK("https://www.youtube.com/watch?v=xlLXXdU0FBk&amp;t=561s", "Go to time")</f>
        <v/>
      </c>
    </row>
    <row r="9932">
      <c r="A9932">
        <f>HYPERLINK("https://www.youtube.com/watch?v=xlLXXdU0FBk", "Video")</f>
        <v/>
      </c>
      <c r="B9932" t="inlineStr">
        <is>
          <t>9:26</t>
        </is>
      </c>
      <c r="C9932" t="inlineStr">
        <is>
          <t>Believe it or not, this brilliant man
never got an obituary,</t>
        </is>
      </c>
      <c r="D9932">
        <f>HYPERLINK("https://www.youtube.com/watch?v=xlLXXdU0FBk&amp;t=566s", "Go to time")</f>
        <v/>
      </c>
    </row>
    <row r="9933">
      <c r="A9933">
        <f>HYPERLINK("https://www.youtube.com/watch?v=xlLXXdU0FBk", "Video")</f>
        <v/>
      </c>
      <c r="B9933" t="inlineStr">
        <is>
          <t>9:44</t>
        </is>
      </c>
      <c r="C9933" t="inlineStr">
        <is>
          <t>Great things, like this obits project,
do not come easily.</t>
        </is>
      </c>
      <c r="D9933">
        <f>HYPERLINK("https://www.youtube.com/watch?v=xlLXXdU0FBk&amp;t=584s", "Go to time")</f>
        <v/>
      </c>
    </row>
    <row r="9934">
      <c r="A9934">
        <f>HYPERLINK("https://www.youtube.com/watch?v=xlLXXdU0FBk", "Video")</f>
        <v/>
      </c>
      <c r="B9934" t="inlineStr">
        <is>
          <t>10:08</t>
        </is>
      </c>
      <c r="C9934" t="inlineStr">
        <is>
          <t>And so yeah, not many people
think about obituaries.</t>
        </is>
      </c>
      <c r="D9934">
        <f>HYPERLINK("https://www.youtube.com/watch?v=xlLXXdU0FBk&amp;t=608s", "Go to time")</f>
        <v/>
      </c>
    </row>
    <row r="9935">
      <c r="A9935">
        <f>HYPERLINK("https://www.youtube.com/watch?v=Tob_DDLXImM", "Video")</f>
        <v/>
      </c>
      <c r="B9935" t="inlineStr">
        <is>
          <t>0:18</t>
        </is>
      </c>
      <c r="C9935" t="inlineStr">
        <is>
          <t>little bit faster, my shoulders tense</t>
        </is>
      </c>
      <c r="D9935">
        <f>HYPERLINK("https://www.youtube.com/watch?v=Tob_DDLXImM&amp;t=18s", "Go to time")</f>
        <v/>
      </c>
    </row>
    <row r="9936">
      <c r="A9936">
        <f>HYPERLINK("https://www.youtube.com/watch?v=Tob_DDLXImM", "Video")</f>
        <v/>
      </c>
      <c r="B9936" t="inlineStr">
        <is>
          <t>3:28</t>
        </is>
      </c>
      <c r="C9936" t="inlineStr">
        <is>
          <t>a little bit about that because in my</t>
        </is>
      </c>
      <c r="D9936">
        <f>HYPERLINK("https://www.youtube.com/watch?v=Tob_DDLXImM&amp;t=208s", "Go to time")</f>
        <v/>
      </c>
    </row>
    <row r="9937">
      <c r="A9937">
        <f>HYPERLINK("https://www.youtube.com/watch?v=Tob_DDLXImM", "Video")</f>
        <v/>
      </c>
      <c r="B9937" t="inlineStr">
        <is>
          <t>5:46</t>
        </is>
      </c>
      <c r="C9937" t="inlineStr">
        <is>
          <t>a little bit of healthy stress. And the</t>
        </is>
      </c>
      <c r="D9937">
        <f>HYPERLINK("https://www.youtube.com/watch?v=Tob_DDLXImM&amp;t=346s", "Go to time")</f>
        <v/>
      </c>
    </row>
    <row r="9938">
      <c r="A9938">
        <f>HYPERLINK("https://www.youtube.com/watch?v=Tob_DDLXImM", "Video")</f>
        <v/>
      </c>
      <c r="B9938" t="inlineStr">
        <is>
          <t>11:16</t>
        </is>
      </c>
      <c r="C9938" t="inlineStr">
        <is>
          <t>us a little bit about about the idea</t>
        </is>
      </c>
      <c r="D9938">
        <f>HYPERLINK("https://www.youtube.com/watch?v=Tob_DDLXImM&amp;t=676s", "Go to time")</f>
        <v/>
      </c>
    </row>
    <row r="9939">
      <c r="A9939">
        <f>HYPERLINK("https://www.youtube.com/watch?v=Tob_DDLXImM", "Video")</f>
        <v/>
      </c>
      <c r="B9939" t="inlineStr">
        <is>
          <t>15:16</t>
        </is>
      </c>
      <c r="C9939" t="inlineStr">
        <is>
          <t>and sort of dive into them a little bit</t>
        </is>
      </c>
      <c r="D9939">
        <f>HYPERLINK("https://www.youtube.com/watch?v=Tob_DDLXImM&amp;t=916s", "Go to time")</f>
        <v/>
      </c>
    </row>
    <row r="9940">
      <c r="A9940">
        <f>HYPERLINK("https://www.youtube.com/watch?v=Tob_DDLXImM", "Video")</f>
        <v/>
      </c>
      <c r="B9940" t="inlineStr">
        <is>
          <t>16:02</t>
        </is>
      </c>
      <c r="C9940" t="inlineStr">
        <is>
          <t>a little bit of healthy stress because</t>
        </is>
      </c>
      <c r="D9940">
        <f>HYPERLINK("https://www.youtube.com/watch?v=Tob_DDLXImM&amp;t=962s", "Go to time")</f>
        <v/>
      </c>
    </row>
    <row r="9941">
      <c r="A9941">
        <f>HYPERLINK("https://www.youtube.com/watch?v=Tob_DDLXImM", "Video")</f>
        <v/>
      </c>
      <c r="B9941" t="inlineStr">
        <is>
          <t>16:04</t>
        </is>
      </c>
      <c r="C9941" t="inlineStr">
        <is>
          <t>you need a little bit of healthy adapted</t>
        </is>
      </c>
      <c r="D9941">
        <f>HYPERLINK("https://www.youtube.com/watch?v=Tob_DDLXImM&amp;t=964s", "Go to time")</f>
        <v/>
      </c>
    </row>
    <row r="9942">
      <c r="A9942">
        <f>HYPERLINK("https://www.youtube.com/watch?v=Tob_DDLXImM", "Video")</f>
        <v/>
      </c>
      <c r="B9942" t="inlineStr">
        <is>
          <t>21:53</t>
        </is>
      </c>
      <c r="C9942" t="inlineStr">
        <is>
          <t>we can talk a little bit about what the</t>
        </is>
      </c>
      <c r="D9942">
        <f>HYPERLINK("https://www.youtube.com/watch?v=Tob_DDLXImM&amp;t=1313s", "Go to time")</f>
        <v/>
      </c>
    </row>
    <row r="9943">
      <c r="A9943">
        <f>HYPERLINK("https://www.youtube.com/watch?v=Tob_DDLXImM", "Video")</f>
        <v/>
      </c>
      <c r="B9943" t="inlineStr">
        <is>
          <t>28:50</t>
        </is>
      </c>
      <c r="C9943" t="inlineStr">
        <is>
          <t>them into your life a little bit, you</t>
        </is>
      </c>
      <c r="D9943">
        <f>HYPERLINK("https://www.youtube.com/watch?v=Tob_DDLXImM&amp;t=1730s", "Go to time")</f>
        <v/>
      </c>
    </row>
    <row r="9944">
      <c r="A9944">
        <f>HYPERLINK("https://www.youtube.com/watch?v=Tob_DDLXImM", "Video")</f>
        <v/>
      </c>
      <c r="B9944" t="inlineStr">
        <is>
          <t>31:07</t>
        </is>
      </c>
      <c r="C9944" t="inlineStr">
        <is>
          <t>start a little bit. Let's backtrack a</t>
        </is>
      </c>
      <c r="D9944">
        <f>HYPERLINK("https://www.youtube.com/watch?v=Tob_DDLXImM&amp;t=1867s", "Go to time")</f>
        <v/>
      </c>
    </row>
    <row r="9945">
      <c r="A9945">
        <f>HYPERLINK("https://www.youtube.com/watch?v=Tob_DDLXImM", "Video")</f>
        <v/>
      </c>
      <c r="B9945" t="inlineStr">
        <is>
          <t>31:08</t>
        </is>
      </c>
      <c r="C9945" t="inlineStr">
        <is>
          <t>little bit. When you are just, you know,</t>
        </is>
      </c>
      <c r="D9945">
        <f>HYPERLINK("https://www.youtube.com/watch?v=Tob_DDLXImM&amp;t=1868s", "Go to time")</f>
        <v/>
      </c>
    </row>
    <row r="9946">
      <c r="A9946">
        <f>HYPERLINK("https://www.youtube.com/watch?v=Tob_DDLXImM", "Video")</f>
        <v/>
      </c>
      <c r="B9946" t="inlineStr">
        <is>
          <t>41:24</t>
        </is>
      </c>
      <c r="C9946" t="inlineStr">
        <is>
          <t>me a little bit about horizonlessness.</t>
        </is>
      </c>
      <c r="D9946">
        <f>HYPERLINK("https://www.youtube.com/watch?v=Tob_DDLXImM&amp;t=2484s", "Go to time")</f>
        <v/>
      </c>
    </row>
    <row r="9947">
      <c r="A9947">
        <f>HYPERLINK("https://www.youtube.com/watch?v=Tob_DDLXImM", "Video")</f>
        <v/>
      </c>
      <c r="B9947" t="inlineStr">
        <is>
          <t>48:38</t>
        </is>
      </c>
      <c r="C9947" t="inlineStr">
        <is>
          <t>spaces that we inhabit to to make more</t>
        </is>
      </c>
      <c r="D9947">
        <f>HYPERLINK("https://www.youtube.com/watch?v=Tob_DDLXImM&amp;t=2918s", "Go to time")</f>
        <v/>
      </c>
    </row>
    <row r="9948">
      <c r="A9948">
        <f>HYPERLINK("https://www.youtube.com/watch?v=3o655tLnik0", "Video")</f>
        <v/>
      </c>
      <c r="B9948" t="inlineStr">
        <is>
          <t>0:33</t>
        </is>
      </c>
      <c r="C9948" t="inlineStr">
        <is>
          <t>and yet, for some reason,
I still felt a little bit unfulfilled.</t>
        </is>
      </c>
      <c r="D9948">
        <f>HYPERLINK("https://www.youtube.com/watch?v=3o655tLnik0&amp;t=33s", "Go to time")</f>
        <v/>
      </c>
    </row>
    <row r="9949">
      <c r="A9949">
        <f>HYPERLINK("https://www.youtube.com/watch?v=3o655tLnik0", "Video")</f>
        <v/>
      </c>
      <c r="B9949" t="inlineStr">
        <is>
          <t>0:41</t>
        </is>
      </c>
      <c r="C9949" t="inlineStr">
        <is>
          <t>they'd started to feel
a little bit ordinary to me.</t>
        </is>
      </c>
      <c r="D9949">
        <f>HYPERLINK("https://www.youtube.com/watch?v=3o655tLnik0&amp;t=41s", "Go to time")</f>
        <v/>
      </c>
    </row>
    <row r="9950">
      <c r="A9950">
        <f>HYPERLINK("https://www.youtube.com/watch?v=3o655tLnik0", "Video")</f>
        <v/>
      </c>
      <c r="B9950" t="inlineStr">
        <is>
          <t>4:41</t>
        </is>
      </c>
      <c r="C9950" t="inlineStr">
        <is>
          <t>And the prints at the exhibition
are around the three-meter mark.</t>
        </is>
      </c>
      <c r="D9950">
        <f>HYPERLINK("https://www.youtube.com/watch?v=3o655tLnik0&amp;t=281s", "Go to time")</f>
        <v/>
      </c>
    </row>
    <row r="9951">
      <c r="A9951">
        <f>HYPERLINK("https://www.youtube.com/watch?v=3o655tLnik0", "Video")</f>
        <v/>
      </c>
      <c r="B9951" t="inlineStr">
        <is>
          <t>5:55</t>
        </is>
      </c>
      <c r="C9951" t="inlineStr">
        <is>
          <t>In fact, one of the things
I like to do at the exhibitions</t>
        </is>
      </c>
      <c r="D9951">
        <f>HYPERLINK("https://www.youtube.com/watch?v=3o655tLnik0&amp;t=355s", "Go to time")</f>
        <v/>
      </c>
    </row>
    <row r="9952">
      <c r="A9952">
        <f>HYPERLINK("https://www.youtube.com/watch?v=3o655tLnik0", "Video")</f>
        <v/>
      </c>
      <c r="B9952" t="inlineStr">
        <is>
          <t>6:12</t>
        </is>
      </c>
      <c r="C9952" t="inlineStr">
        <is>
          <t>And at the end of the day, actually,
at the end of the day at the exhibitions,</t>
        </is>
      </c>
      <c r="D9952">
        <f>HYPERLINK("https://www.youtube.com/watch?v=3o655tLnik0&amp;t=372s", "Go to time")</f>
        <v/>
      </c>
    </row>
    <row r="9953">
      <c r="A9953">
        <f>HYPERLINK("https://www.youtube.com/watch?v=BTB_HPL2r88", "Video")</f>
        <v/>
      </c>
      <c r="B9953" t="inlineStr">
        <is>
          <t>4:13</t>
        </is>
      </c>
      <c r="C9953" t="inlineStr">
        <is>
          <t>maybe rearranging them a little bit,</t>
        </is>
      </c>
      <c r="D9953">
        <f>HYPERLINK("https://www.youtube.com/watch?v=BTB_HPL2r88&amp;t=253s", "Go to time")</f>
        <v/>
      </c>
    </row>
    <row r="9954">
      <c r="A9954">
        <f>HYPERLINK("https://www.youtube.com/watch?v=BTB_HPL2r88", "Video")</f>
        <v/>
      </c>
      <c r="B9954" t="inlineStr">
        <is>
          <t>4:15</t>
        </is>
      </c>
      <c r="C9954" t="inlineStr">
        <is>
          <t>is a little bit like finding a book</t>
        </is>
      </c>
      <c r="D9954">
        <f>HYPERLINK("https://www.youtube.com/watch?v=BTB_HPL2r88&amp;t=255s", "Go to time")</f>
        <v/>
      </c>
    </row>
    <row r="9955">
      <c r="A9955">
        <f>HYPERLINK("https://www.youtube.com/watch?v=BTB_HPL2r88", "Video")</f>
        <v/>
      </c>
      <c r="B9955" t="inlineStr">
        <is>
          <t>10:26</t>
        </is>
      </c>
      <c r="C9955" t="inlineStr">
        <is>
          <t>So that was a little bit about health.</t>
        </is>
      </c>
      <c r="D9955">
        <f>HYPERLINK("https://www.youtube.com/watch?v=BTB_HPL2r88&amp;t=626s", "Go to time")</f>
        <v/>
      </c>
    </row>
    <row r="9956">
      <c r="A9956">
        <f>HYPERLINK("https://www.youtube.com/watch?v=qYUmI5kGsYk", "Video")</f>
        <v/>
      </c>
      <c r="B9956" t="inlineStr">
        <is>
          <t>0:18</t>
        </is>
      </c>
      <c r="C9956" t="inlineStr">
        <is>
          <t>so cities, they are our natural habitat.</t>
        </is>
      </c>
      <c r="D9956">
        <f>HYPERLINK("https://www.youtube.com/watch?v=qYUmI5kGsYk&amp;t=18s", "Go to time")</f>
        <v/>
      </c>
    </row>
    <row r="9957">
      <c r="A9957">
        <f>HYPERLINK("https://www.youtube.com/watch?v=dQmaMOxwaQI", "Video")</f>
        <v/>
      </c>
      <c r="B9957" t="inlineStr">
        <is>
          <t>3:08</t>
        </is>
      </c>
      <c r="C9957" t="inlineStr">
        <is>
          <t>gives me the opportunity
to continue my cracking ambition --</t>
        </is>
      </c>
      <c r="D9957">
        <f>HYPERLINK("https://www.youtube.com/watch?v=dQmaMOxwaQI&amp;t=188s", "Go to time")</f>
        <v/>
      </c>
    </row>
    <row r="9958">
      <c r="A9958">
        <f>HYPERLINK("https://www.youtube.com/watch?v=Axh07mJ9Ag4", "Video")</f>
        <v/>
      </c>
      <c r="B9958" t="inlineStr">
        <is>
          <t>4:58</t>
        </is>
      </c>
      <c r="C9958" t="inlineStr">
        <is>
          <t>But there's actually a little bit more
nuance to our relationship with brands.</t>
        </is>
      </c>
      <c r="D9958">
        <f>HYPERLINK("https://www.youtube.com/watch?v=Axh07mJ9Ag4&amp;t=298s", "Go to time")</f>
        <v/>
      </c>
    </row>
    <row r="9959">
      <c r="A9959">
        <f>HYPERLINK("https://www.youtube.com/watch?v=Axh07mJ9Ag4", "Video")</f>
        <v/>
      </c>
      <c r="B9959" t="inlineStr">
        <is>
          <t>9:01</t>
        </is>
      </c>
      <c r="C9959" t="inlineStr">
        <is>
          <t>about some of the common
consumption habits</t>
        </is>
      </c>
      <c r="D9959">
        <f>HYPERLINK("https://www.youtube.com/watch?v=Axh07mJ9Ag4&amp;t=541s", "Go to time")</f>
        <v/>
      </c>
    </row>
    <row r="9960">
      <c r="A9960">
        <f>HYPERLINK("https://www.youtube.com/watch?v=Axh07mJ9Ag4", "Video")</f>
        <v/>
      </c>
      <c r="B9960" t="inlineStr">
        <is>
          <t>9:36</t>
        </is>
      </c>
      <c r="C9960" t="inlineStr">
        <is>
          <t>Take tea and coffee
consumption habits, for example.</t>
        </is>
      </c>
      <c r="D9960">
        <f>HYPERLINK("https://www.youtube.com/watch?v=Axh07mJ9Ag4&amp;t=576s", "Go to time")</f>
        <v/>
      </c>
    </row>
    <row r="9961">
      <c r="A9961">
        <f>HYPERLINK("https://www.youtube.com/watch?v=7x21HAC2gnA", "Video")</f>
        <v/>
      </c>
      <c r="B9961" t="inlineStr">
        <is>
          <t>3:37</t>
        </is>
      </c>
      <c r="C9961" t="inlineStr">
        <is>
          <t>bit about um those early days and and</t>
        </is>
      </c>
      <c r="D9961">
        <f>HYPERLINK("https://www.youtube.com/watch?v=7x21HAC2gnA&amp;t=217s", "Go to time")</f>
        <v/>
      </c>
    </row>
    <row r="9962">
      <c r="A9962">
        <f>HYPERLINK("https://www.youtube.com/watch?v=7x21HAC2gnA", "Video")</f>
        <v/>
      </c>
      <c r="B9962" t="inlineStr">
        <is>
          <t>5:55</t>
        </is>
      </c>
      <c r="C9962" t="inlineStr">
        <is>
          <t>little bit about your upbringing like</t>
        </is>
      </c>
      <c r="D9962">
        <f>HYPERLINK("https://www.youtube.com/watch?v=7x21HAC2gnA&amp;t=355s", "Go to time")</f>
        <v/>
      </c>
    </row>
    <row r="9963">
      <c r="A9963">
        <f>HYPERLINK("https://www.youtube.com/watch?v=7x21HAC2gnA", "Video")</f>
        <v/>
      </c>
      <c r="B9963" t="inlineStr">
        <is>
          <t>8:29</t>
        </is>
      </c>
      <c r="C9963" t="inlineStr">
        <is>
          <t>should think about a little bit more</t>
        </is>
      </c>
      <c r="D9963">
        <f>HYPERLINK("https://www.youtube.com/watch?v=7x21HAC2gnA&amp;t=509s", "Go to time")</f>
        <v/>
      </c>
    </row>
    <row r="9964">
      <c r="A9964">
        <f>HYPERLINK("https://www.youtube.com/watch?v=7x21HAC2gnA", "Video")</f>
        <v/>
      </c>
      <c r="B9964" t="inlineStr">
        <is>
          <t>16:03</t>
        </is>
      </c>
      <c r="C9964" t="inlineStr">
        <is>
          <t>looking at how fast stars are orbiting</t>
        </is>
      </c>
      <c r="D9964">
        <f>HYPERLINK("https://www.youtube.com/watch?v=7x21HAC2gnA&amp;t=963s", "Go to time")</f>
        <v/>
      </c>
    </row>
    <row r="9965">
      <c r="A9965">
        <f>HYPERLINK("https://www.youtube.com/watch?v=7x21HAC2gnA", "Video")</f>
        <v/>
      </c>
      <c r="B9965" t="inlineStr">
        <is>
          <t>16:08</t>
        </is>
      </c>
      <c r="C9965" t="inlineStr">
        <is>
          <t>orbiting galaxies and if all of the mass</t>
        </is>
      </c>
      <c r="D9965">
        <f>HYPERLINK("https://www.youtube.com/watch?v=7x21HAC2gnA&amp;t=968s", "Go to time")</f>
        <v/>
      </c>
    </row>
    <row r="9966">
      <c r="A9966">
        <f>HYPERLINK("https://www.youtube.com/watch?v=7x21HAC2gnA", "Video")</f>
        <v/>
      </c>
      <c r="B9966" t="inlineStr">
        <is>
          <t>36:30</t>
        </is>
      </c>
      <c r="C9966" t="inlineStr">
        <is>
          <t>to it a little bit more directly um but</t>
        </is>
      </c>
      <c r="D9966">
        <f>HYPERLINK("https://www.youtube.com/watch?v=7x21HAC2gnA&amp;t=2190s", "Go to time")</f>
        <v/>
      </c>
    </row>
    <row r="9967">
      <c r="A9967">
        <f>HYPERLINK("https://www.youtube.com/watch?v=7x21HAC2gnA", "Video")</f>
        <v/>
      </c>
      <c r="B9967" t="inlineStr">
        <is>
          <t>36:42</t>
        </is>
      </c>
      <c r="C9967" t="inlineStr">
        <is>
          <t>color tell us a little bit about that</t>
        </is>
      </c>
      <c r="D9967">
        <f>HYPERLINK("https://www.youtube.com/watch?v=7x21HAC2gnA&amp;t=2202s", "Go to time")</f>
        <v/>
      </c>
    </row>
    <row r="9968">
      <c r="A9968">
        <f>HYPERLINK("https://www.youtube.com/watch?v=7x21HAC2gnA", "Video")</f>
        <v/>
      </c>
      <c r="B9968" t="inlineStr">
        <is>
          <t>38:44</t>
        </is>
      </c>
      <c r="C9968" t="inlineStr">
        <is>
          <t>level all orbits around the spectral</t>
        </is>
      </c>
      <c r="D9968">
        <f>HYPERLINK("https://www.youtube.com/watch?v=7x21HAC2gnA&amp;t=2324s", "Go to time")</f>
        <v/>
      </c>
    </row>
    <row r="9969">
      <c r="A9969">
        <f>HYPERLINK("https://www.youtube.com/watch?v=7x21HAC2gnA", "Video")</f>
        <v/>
      </c>
      <c r="B9969" t="inlineStr">
        <is>
          <t>44:15</t>
        </is>
      </c>
      <c r="C9969" t="inlineStr">
        <is>
          <t>a little bit great fabulous so um</t>
        </is>
      </c>
      <c r="D9969">
        <f>HYPERLINK("https://www.youtube.com/watch?v=7x21HAC2gnA&amp;t=2655s", "Go to time")</f>
        <v/>
      </c>
    </row>
    <row r="9970">
      <c r="A9970">
        <f>HYPERLINK("https://www.youtube.com/watch?v=-mwF-znI4x0", "Video")</f>
        <v/>
      </c>
      <c r="B9970" t="inlineStr">
        <is>
          <t>2:36</t>
        </is>
      </c>
      <c r="C9970" t="inlineStr">
        <is>
          <t>that's a little bit
more difficult to answer,</t>
        </is>
      </c>
      <c r="D9970">
        <f>HYPERLINK("https://www.youtube.com/watch?v=-mwF-znI4x0&amp;t=156s", "Go to time")</f>
        <v/>
      </c>
    </row>
    <row r="9971">
      <c r="A9971">
        <f>HYPERLINK("https://www.youtube.com/watch?v=-mwF-znI4x0", "Video")</f>
        <v/>
      </c>
      <c r="B9971" t="inlineStr">
        <is>
          <t>2:55</t>
        </is>
      </c>
      <c r="C9971" t="inlineStr">
        <is>
          <t>You know, all the flappy bits
and kind of dangly things</t>
        </is>
      </c>
      <c r="D9971">
        <f>HYPERLINK("https://www.youtube.com/watch?v=-mwF-znI4x0&amp;t=175s", "Go to time")</f>
        <v/>
      </c>
    </row>
    <row r="9972">
      <c r="A9972">
        <f>HYPERLINK("https://www.youtube.com/watch?v=-mwF-znI4x0", "Video")</f>
        <v/>
      </c>
      <c r="B9972" t="inlineStr">
        <is>
          <t>5:20</t>
        </is>
      </c>
      <c r="C9972" t="inlineStr">
        <is>
          <t>took a bit of your neck off</t>
        </is>
      </c>
      <c r="D9972">
        <f>HYPERLINK("https://www.youtube.com/watch?v=-mwF-znI4x0&amp;t=320s", "Go to time")</f>
        <v/>
      </c>
    </row>
    <row r="9973">
      <c r="A9973">
        <f>HYPERLINK("https://www.youtube.com/watch?v=-mwF-znI4x0", "Video")</f>
        <v/>
      </c>
      <c r="B9973" t="inlineStr">
        <is>
          <t>9:57</t>
        </is>
      </c>
      <c r="C9973" t="inlineStr">
        <is>
          <t>MB: Now, we've had to time
this bit perfectly</t>
        </is>
      </c>
      <c r="D9973">
        <f>HYPERLINK("https://www.youtube.com/watch?v=-mwF-znI4x0&amp;t=597s", "Go to time")</f>
        <v/>
      </c>
    </row>
    <row r="9974">
      <c r="A9974">
        <f>HYPERLINK("https://www.youtube.com/watch?v=-mwF-znI4x0", "Video")</f>
        <v/>
      </c>
      <c r="B9974" t="inlineStr">
        <is>
          <t>12:18</t>
        </is>
      </c>
      <c r="C9974" t="inlineStr">
        <is>
          <t>It's getting a bit creepy with them off.</t>
        </is>
      </c>
      <c r="D9974">
        <f>HYPERLINK("https://www.youtube.com/watch?v=-mwF-znI4x0&amp;t=738s", "Go to time")</f>
        <v/>
      </c>
    </row>
    <row r="9975">
      <c r="A9975">
        <f>HYPERLINK("https://www.youtube.com/watch?v=501FEzbB1JI", "Video")</f>
        <v/>
      </c>
      <c r="B9975" t="inlineStr">
        <is>
          <t>1:20</t>
        </is>
      </c>
      <c r="C9975" t="inlineStr">
        <is>
          <t>cluttering the orbital environment.</t>
        </is>
      </c>
      <c r="D9975">
        <f>HYPERLINK("https://www.youtube.com/watch?v=501FEzbB1JI&amp;t=80s", "Go to time")</f>
        <v/>
      </c>
    </row>
    <row r="9976">
      <c r="A9976">
        <f>HYPERLINK("https://www.youtube.com/watch?v=501FEzbB1JI", "Video")</f>
        <v/>
      </c>
      <c r="B9976" t="inlineStr">
        <is>
          <t>2:33</t>
        </is>
      </c>
      <c r="C9976" t="inlineStr">
        <is>
          <t>are often left to deorbit
over many, many years,</t>
        </is>
      </c>
      <c r="D9976">
        <f>HYPERLINK("https://www.youtube.com/watch?v=501FEzbB1JI&amp;t=153s", "Go to time")</f>
        <v/>
      </c>
    </row>
    <row r="9977">
      <c r="A9977">
        <f>HYPERLINK("https://www.youtube.com/watch?v=501FEzbB1JI", "Video")</f>
        <v/>
      </c>
      <c r="B9977" t="inlineStr">
        <is>
          <t>2:59</t>
        </is>
      </c>
      <c r="C9977" t="inlineStr">
        <is>
          <t>have launched thousands
of more satellites into orbit,</t>
        </is>
      </c>
      <c r="D9977">
        <f>HYPERLINK("https://www.youtube.com/watch?v=501FEzbB1JI&amp;t=179s", "Go to time")</f>
        <v/>
      </c>
    </row>
    <row r="9978">
      <c r="A9978">
        <f>HYPERLINK("https://www.youtube.com/watch?v=501FEzbB1JI", "Video")</f>
        <v/>
      </c>
      <c r="B9978" t="inlineStr">
        <is>
          <t>3:13</t>
        </is>
      </c>
      <c r="C9978" t="inlineStr">
        <is>
          <t>Now, we send satellites
to different orbits</t>
        </is>
      </c>
      <c r="D9978">
        <f>HYPERLINK("https://www.youtube.com/watch?v=501FEzbB1JI&amp;t=193s", "Go to time")</f>
        <v/>
      </c>
    </row>
    <row r="9979">
      <c r="A9979">
        <f>HYPERLINK("https://www.youtube.com/watch?v=501FEzbB1JI", "Video")</f>
        <v/>
      </c>
      <c r="B9979" t="inlineStr">
        <is>
          <t>3:20</t>
        </is>
      </c>
      <c r="C9979" t="inlineStr">
        <is>
          <t>is the low Earth orbit,</t>
        </is>
      </c>
      <c r="D9979">
        <f>HYPERLINK("https://www.youtube.com/watch?v=501FEzbB1JI&amp;t=200s", "Go to time")</f>
        <v/>
      </c>
    </row>
    <row r="9980">
      <c r="A9980">
        <f>HYPERLINK("https://www.youtube.com/watch?v=501FEzbB1JI", "Video")</f>
        <v/>
      </c>
      <c r="B9980" t="inlineStr">
        <is>
          <t>3:30</t>
        </is>
      </c>
      <c r="C9980" t="inlineStr">
        <is>
          <t>so their orbits naturally decay,</t>
        </is>
      </c>
      <c r="D9980">
        <f>HYPERLINK("https://www.youtube.com/watch?v=501FEzbB1JI&amp;t=210s", "Go to time")</f>
        <v/>
      </c>
    </row>
    <row r="9981">
      <c r="A9981">
        <f>HYPERLINK("https://www.youtube.com/watch?v=501FEzbB1JI", "Video")</f>
        <v/>
      </c>
      <c r="B9981" t="inlineStr">
        <is>
          <t>3:38</t>
        </is>
      </c>
      <c r="C9981" t="inlineStr">
        <is>
          <t>is the geostationary orbit</t>
        </is>
      </c>
      <c r="D9981">
        <f>HYPERLINK("https://www.youtube.com/watch?v=501FEzbB1JI&amp;t=218s", "Go to time")</f>
        <v/>
      </c>
    </row>
    <row r="9982">
      <c r="A9982">
        <f>HYPERLINK("https://www.youtube.com/watch?v=501FEzbB1JI", "Video")</f>
        <v/>
      </c>
      <c r="B9982" t="inlineStr">
        <is>
          <t>3:52</t>
        </is>
      </c>
      <c r="C9982" t="inlineStr">
        <is>
          <t>Satellites in high orbits like these
could remain there for centuries.</t>
        </is>
      </c>
      <c r="D9982">
        <f>HYPERLINK("https://www.youtube.com/watch?v=501FEzbB1JI&amp;t=232s", "Go to time")</f>
        <v/>
      </c>
    </row>
    <row r="9983">
      <c r="A9983">
        <f>HYPERLINK("https://www.youtube.com/watch?v=501FEzbB1JI", "Video")</f>
        <v/>
      </c>
      <c r="B9983" t="inlineStr">
        <is>
          <t>3:57</t>
        </is>
      </c>
      <c r="C9983" t="inlineStr">
        <is>
          <t>And then there's the orbit
coined "the graveyard,"</t>
        </is>
      </c>
      <c r="D9983">
        <f>HYPERLINK("https://www.youtube.com/watch?v=501FEzbB1JI&amp;t=237s", "Go to time")</f>
        <v/>
      </c>
    </row>
    <row r="9984">
      <c r="A9984">
        <f>HYPERLINK("https://www.youtube.com/watch?v=501FEzbB1JI", "Video")</f>
        <v/>
      </c>
      <c r="B9984" t="inlineStr">
        <is>
          <t>4:01</t>
        </is>
      </c>
      <c r="C9984" t="inlineStr">
        <is>
          <t>the ominous junk or disposal orbits,</t>
        </is>
      </c>
      <c r="D9984">
        <f>HYPERLINK("https://www.youtube.com/watch?v=501FEzbB1JI&amp;t=241s", "Go to time")</f>
        <v/>
      </c>
    </row>
    <row r="9985">
      <c r="A9985">
        <f>HYPERLINK("https://www.youtube.com/watch?v=501FEzbB1JI", "Video")</f>
        <v/>
      </c>
      <c r="B9985" t="inlineStr">
        <is>
          <t>4:07</t>
        </is>
      </c>
      <c r="C9985" t="inlineStr">
        <is>
          <t>so that they're out of the way
of common operational orbits.</t>
        </is>
      </c>
      <c r="D9985">
        <f>HYPERLINK("https://www.youtube.com/watch?v=501FEzbB1JI&amp;t=247s", "Go to time")</f>
        <v/>
      </c>
    </row>
    <row r="9986">
      <c r="A9986">
        <f>HYPERLINK("https://www.youtube.com/watch?v=501FEzbB1JI", "Video")</f>
        <v/>
      </c>
      <c r="B9986" t="inlineStr">
        <is>
          <t>4:30</t>
        </is>
      </c>
      <c r="C9986" t="inlineStr">
        <is>
          <t>that are also orbiting around the Earth.</t>
        </is>
      </c>
      <c r="D9986">
        <f>HYPERLINK("https://www.youtube.com/watch?v=501FEzbB1JI&amp;t=270s", "Go to time")</f>
        <v/>
      </c>
    </row>
    <row r="9987">
      <c r="A9987">
        <f>HYPERLINK("https://www.youtube.com/watch?v=501FEzbB1JI", "Video")</f>
        <v/>
      </c>
      <c r="B9987" t="inlineStr">
        <is>
          <t>4:53</t>
        </is>
      </c>
      <c r="C9987" t="inlineStr">
        <is>
          <t>for those low-Earth orbiting spacecraft</t>
        </is>
      </c>
      <c r="D9987">
        <f>HYPERLINK("https://www.youtube.com/watch?v=501FEzbB1JI&amp;t=293s", "Go to time")</f>
        <v/>
      </c>
    </row>
    <row r="9988">
      <c r="A9988">
        <f>HYPERLINK("https://www.youtube.com/watch?v=501FEzbB1JI", "Video")</f>
        <v/>
      </c>
      <c r="B9988" t="inlineStr">
        <is>
          <t>4:55</t>
        </is>
      </c>
      <c r="C9988" t="inlineStr">
        <is>
          <t>to be made to deorbit in under 25 years,</t>
        </is>
      </c>
      <c r="D9988">
        <f>HYPERLINK("https://www.youtube.com/watch?v=501FEzbB1JI&amp;t=295s", "Go to time")</f>
        <v/>
      </c>
    </row>
    <row r="9989">
      <c r="A9989">
        <f>HYPERLINK("https://www.youtube.com/watch?v=501FEzbB1JI", "Video")</f>
        <v/>
      </c>
      <c r="B9989" t="inlineStr">
        <is>
          <t>5:08</t>
        </is>
      </c>
      <c r="C9989" t="inlineStr">
        <is>
          <t>to be moved into a graveyard orbit.</t>
        </is>
      </c>
      <c r="D9989">
        <f>HYPERLINK("https://www.youtube.com/watch?v=501FEzbB1JI&amp;t=308s", "Go to time")</f>
        <v/>
      </c>
    </row>
    <row r="9990">
      <c r="A9990">
        <f>HYPERLINK("https://www.youtube.com/watch?v=501FEzbB1JI", "Video")</f>
        <v/>
      </c>
      <c r="B9990" t="inlineStr">
        <is>
          <t>6:43</t>
        </is>
      </c>
      <c r="C9990" t="inlineStr">
        <is>
          <t>of the orbital environment</t>
        </is>
      </c>
      <c r="D9990">
        <f>HYPERLINK("https://www.youtube.com/watch?v=501FEzbB1JI&amp;t=403s", "Go to time")</f>
        <v/>
      </c>
    </row>
    <row r="9991">
      <c r="A9991">
        <f>HYPERLINK("https://www.youtube.com/watch?v=501FEzbB1JI", "Video")</f>
        <v/>
      </c>
      <c r="B9991" t="inlineStr">
        <is>
          <t>7:18</t>
        </is>
      </c>
      <c r="C9991" t="inlineStr">
        <is>
          <t>or active deorbiting?</t>
        </is>
      </c>
      <c r="D9991">
        <f>HYPERLINK("https://www.youtube.com/watch?v=501FEzbB1JI&amp;t=438s", "Go to time")</f>
        <v/>
      </c>
    </row>
    <row r="9992">
      <c r="A9992">
        <f>HYPERLINK("https://www.youtube.com/watch?v=501FEzbB1JI", "Video")</f>
        <v/>
      </c>
      <c r="B9992" t="inlineStr">
        <is>
          <t>7:34</t>
        </is>
      </c>
      <c r="C9992" t="inlineStr">
        <is>
          <t>to even launch a satellite into orbit,</t>
        </is>
      </c>
      <c r="D9992">
        <f>HYPERLINK("https://www.youtube.com/watch?v=501FEzbB1JI&amp;t=454s", "Go to time")</f>
        <v/>
      </c>
    </row>
    <row r="9993">
      <c r="A9993">
        <f>HYPERLINK("https://www.youtube.com/watch?v=501FEzbB1JI", "Video")</f>
        <v/>
      </c>
      <c r="B9993" t="inlineStr">
        <is>
          <t>7:48</t>
        </is>
      </c>
      <c r="C9993" t="inlineStr">
        <is>
          <t>to help accelerate deorbit.</t>
        </is>
      </c>
      <c r="D9993">
        <f>HYPERLINK("https://www.youtube.com/watch?v=501FEzbB1JI&amp;t=468s", "Go to time")</f>
        <v/>
      </c>
    </row>
    <row r="9994">
      <c r="A9994">
        <f>HYPERLINK("https://www.youtube.com/watch?v=501FEzbB1JI", "Video")</f>
        <v/>
      </c>
      <c r="B9994" t="inlineStr">
        <is>
          <t>8:04</t>
        </is>
      </c>
      <c r="C9994" t="inlineStr">
        <is>
          <t>but satellites that are higher
or in larger orbits</t>
        </is>
      </c>
      <c r="D9994">
        <f>HYPERLINK("https://www.youtube.com/watch?v=501FEzbB1JI&amp;t=484s", "Go to time")</f>
        <v/>
      </c>
    </row>
    <row r="9995">
      <c r="A9995">
        <f>HYPERLINK("https://www.youtube.com/watch?v=501FEzbB1JI", "Video")</f>
        <v/>
      </c>
      <c r="B9995" t="inlineStr">
        <is>
          <t>8:23</t>
        </is>
      </c>
      <c r="C9995" t="inlineStr">
        <is>
          <t>is the idea of orbital tow trucks
or space mechanics.</t>
        </is>
      </c>
      <c r="D9995">
        <f>HYPERLINK("https://www.youtube.com/watch?v=501FEzbB1JI&amp;t=503s", "Go to time")</f>
        <v/>
      </c>
    </row>
    <row r="9996">
      <c r="A9996">
        <f>HYPERLINK("https://www.youtube.com/watch?v=501FEzbB1JI", "Video")</f>
        <v/>
      </c>
      <c r="B9996" t="inlineStr">
        <is>
          <t>8:47</t>
        </is>
      </c>
      <c r="C9996" t="inlineStr">
        <is>
          <t>could extend the lives of hundreds
of satellites orbiting around the Earth.</t>
        </is>
      </c>
      <c r="D9996">
        <f>HYPERLINK("https://www.youtube.com/watch?v=501FEzbB1JI&amp;t=527s", "Go to time")</f>
        <v/>
      </c>
    </row>
    <row r="9997">
      <c r="A9997">
        <f>HYPERLINK("https://www.youtube.com/watch?v=501FEzbB1JI", "Video")</f>
        <v/>
      </c>
      <c r="B9997" t="inlineStr">
        <is>
          <t>9:28</t>
        </is>
      </c>
      <c r="C9997" t="inlineStr">
        <is>
          <t>There is without doubt congestion
in the low Earth and geostationary orbits,</t>
        </is>
      </c>
      <c r="D9997">
        <f>HYPERLINK("https://www.youtube.com/watch?v=501FEzbB1JI&amp;t=568s", "Go to time")</f>
        <v/>
      </c>
    </row>
    <row r="9998">
      <c r="A9998">
        <f>HYPERLINK("https://www.youtube.com/watch?v=501FEzbB1JI", "Video")</f>
        <v/>
      </c>
      <c r="B9998" t="inlineStr">
        <is>
          <t>10:02</t>
        </is>
      </c>
      <c r="C9998" t="inlineStr">
        <is>
          <t>Earth orbit is breathtakingly beautiful</t>
        </is>
      </c>
      <c r="D9998">
        <f>HYPERLINK("https://www.youtube.com/watch?v=501FEzbB1JI&amp;t=602s", "Go to time")</f>
        <v/>
      </c>
    </row>
    <row r="9999">
      <c r="A9999">
        <f>HYPERLINK("https://www.youtube.com/watch?v=uL5XUwfkxZw", "Video")</f>
        <v/>
      </c>
      <c r="B9999" t="inlineStr">
        <is>
          <t>7:49</t>
        </is>
      </c>
      <c r="C9999" t="inlineStr">
        <is>
          <t>keep trying to do a little bit every day.</t>
        </is>
      </c>
      <c r="D9999">
        <f>HYPERLINK("https://www.youtube.com/watch?v=uL5XUwfkxZw&amp;t=469s", "Go to time")</f>
        <v/>
      </c>
    </row>
    <row r="10000">
      <c r="A10000">
        <f>HYPERLINK("https://www.youtube.com/watch?v=uL5XUwfkxZw", "Video")</f>
        <v/>
      </c>
      <c r="B10000" t="inlineStr">
        <is>
          <t>7:51</t>
        </is>
      </c>
      <c r="C10000" t="inlineStr">
        <is>
          <t>Every day, you do a little bit,</t>
        </is>
      </c>
      <c r="D10000">
        <f>HYPERLINK("https://www.youtube.com/watch?v=uL5XUwfkxZw&amp;t=471s", "Go to time")</f>
        <v/>
      </c>
    </row>
    <row r="10001">
      <c r="A10001">
        <f>HYPERLINK("https://www.youtube.com/watch?v=IZ2N3tF4W_k", "Video")</f>
        <v/>
      </c>
      <c r="B10001" t="inlineStr">
        <is>
          <t>5:06</t>
        </is>
      </c>
      <c r="C10001" t="inlineStr">
        <is>
          <t>wiggling it a little bit,</t>
        </is>
      </c>
      <c r="D10001">
        <f>HYPERLINK("https://www.youtube.com/watch?v=IZ2N3tF4W_k&amp;t=306s", "Go to time")</f>
        <v/>
      </c>
    </row>
    <row r="10002">
      <c r="A10002">
        <f>HYPERLINK("https://www.youtube.com/watch?v=IZ2N3tF4W_k", "Video")</f>
        <v/>
      </c>
      <c r="B10002" t="inlineStr">
        <is>
          <t>9:57</t>
        </is>
      </c>
      <c r="C10002" t="inlineStr">
        <is>
          <t>DB: Let's talk about that a little bit.</t>
        </is>
      </c>
      <c r="D10002">
        <f>HYPERLINK("https://www.youtube.com/watch?v=IZ2N3tF4W_k&amp;t=597s", "Go to time")</f>
        <v/>
      </c>
    </row>
    <row r="10003">
      <c r="A10003">
        <f>HYPERLINK("https://www.youtube.com/watch?v=IZ2N3tF4W_k", "Video")</f>
        <v/>
      </c>
      <c r="B10003" t="inlineStr">
        <is>
          <t>26:54</t>
        </is>
      </c>
      <c r="C10003" t="inlineStr">
        <is>
          <t>I'd like to turn the focus
on you a little bit.</t>
        </is>
      </c>
      <c r="D10003">
        <f>HYPERLINK("https://www.youtube.com/watch?v=IZ2N3tF4W_k&amp;t=1614s", "Go to time")</f>
        <v/>
      </c>
    </row>
    <row r="10004">
      <c r="A10004">
        <f>HYPERLINK("https://www.youtube.com/watch?v=IZ2N3tF4W_k", "Video")</f>
        <v/>
      </c>
      <c r="B10004" t="inlineStr">
        <is>
          <t>30:08</t>
        </is>
      </c>
      <c r="C10004" t="inlineStr">
        <is>
          <t>you're guaranteed to have
10 megabits per second</t>
        </is>
      </c>
      <c r="D10004">
        <f>HYPERLINK("https://www.youtube.com/watch?v=IZ2N3tF4W_k&amp;t=1808s", "Go to time")</f>
        <v/>
      </c>
    </row>
    <row r="10005">
      <c r="A10005">
        <f>HYPERLINK("https://www.youtube.com/watch?v=IZ2N3tF4W_k", "Video")</f>
        <v/>
      </c>
      <c r="B10005" t="inlineStr">
        <is>
          <t>32:07</t>
        </is>
      </c>
      <c r="C10005" t="inlineStr">
        <is>
          <t>You talked a little bit
about disinformation</t>
        </is>
      </c>
      <c r="D10005">
        <f>HYPERLINK("https://www.youtube.com/watch?v=IZ2N3tF4W_k&amp;t=1927s", "Go to time")</f>
        <v/>
      </c>
    </row>
    <row r="10006">
      <c r="A10006">
        <f>HYPERLINK("https://www.youtube.com/watch?v=IZ2N3tF4W_k", "Video")</f>
        <v/>
      </c>
      <c r="B10006" t="inlineStr">
        <is>
          <t>37:48</t>
        </is>
      </c>
      <c r="C10006" t="inlineStr">
        <is>
          <t>AT: Well, a little bit, I guess.</t>
        </is>
      </c>
      <c r="D10006">
        <f>HYPERLINK("https://www.youtube.com/watch?v=IZ2N3tF4W_k&amp;t=2268s", "Go to time")</f>
        <v/>
      </c>
    </row>
    <row r="10007">
      <c r="A10007">
        <f>HYPERLINK("https://www.youtube.com/watch?v=IZ2N3tF4W_k", "Video")</f>
        <v/>
      </c>
      <c r="B10007" t="inlineStr">
        <is>
          <t>41:01</t>
        </is>
      </c>
      <c r="C10007" t="inlineStr">
        <is>
          <t>You've talked about that a little bit,</t>
        </is>
      </c>
      <c r="D10007">
        <f>HYPERLINK("https://www.youtube.com/watch?v=IZ2N3tF4W_k&amp;t=2461s", "Go to time")</f>
        <v/>
      </c>
    </row>
    <row r="10008">
      <c r="A10008">
        <f>HYPERLINK("https://www.youtube.com/watch?v=rXxUCeRVma4", "Video")</f>
        <v/>
      </c>
      <c r="B10008" t="inlineStr">
        <is>
          <t>4:08</t>
        </is>
      </c>
      <c r="C10008" t="inlineStr">
        <is>
          <t>It requires developing new practices
and giving them time to become habits.</t>
        </is>
      </c>
      <c r="D10008">
        <f>HYPERLINK("https://www.youtube.com/watch?v=rXxUCeRVma4&amp;t=248s", "Go to time")</f>
        <v/>
      </c>
    </row>
    <row r="10009">
      <c r="A10009">
        <f>HYPERLINK("https://www.youtube.com/watch?v=g80SezdX9WY", "Video")</f>
        <v/>
      </c>
      <c r="B10009" t="inlineStr">
        <is>
          <t>0:11</t>
        </is>
      </c>
      <c r="C10009" t="inlineStr">
        <is>
          <t>I'd like to just start with a bit of a</t>
        </is>
      </c>
      <c r="D10009">
        <f>HYPERLINK("https://www.youtube.com/watch?v=g80SezdX9WY&amp;t=11s", "Go to time")</f>
        <v/>
      </c>
    </row>
    <row r="10010">
      <c r="A10010">
        <f>HYPERLINK("https://www.youtube.com/watch?v=g80SezdX9WY", "Video")</f>
        <v/>
      </c>
      <c r="B10010" t="inlineStr">
        <is>
          <t>4:13</t>
        </is>
      </c>
      <c r="C10010" t="inlineStr">
        <is>
          <t>bit what happened and and how did you</t>
        </is>
      </c>
      <c r="D10010">
        <f>HYPERLINK("https://www.youtube.com/watch?v=g80SezdX9WY&amp;t=253s", "Go to time")</f>
        <v/>
      </c>
    </row>
    <row r="10011">
      <c r="A10011">
        <f>HYPERLINK("https://www.youtube.com/watch?v=g80SezdX9WY", "Video")</f>
        <v/>
      </c>
      <c r="B10011" t="inlineStr">
        <is>
          <t>7:26</t>
        </is>
      </c>
      <c r="C10011" t="inlineStr">
        <is>
          <t>a little bit about have you started to</t>
        </is>
      </c>
      <c r="D10011">
        <f>HYPERLINK("https://www.youtube.com/watch?v=g80SezdX9WY&amp;t=446s", "Go to time")</f>
        <v/>
      </c>
    </row>
    <row r="10012">
      <c r="A10012">
        <f>HYPERLINK("https://www.youtube.com/watch?v=g80SezdX9WY", "Video")</f>
        <v/>
      </c>
      <c r="B10012" t="inlineStr">
        <is>
          <t>8:54</t>
        </is>
      </c>
      <c r="C10012" t="inlineStr">
        <is>
          <t>obituaries for all the people who have</t>
        </is>
      </c>
      <c r="D10012">
        <f>HYPERLINK("https://www.youtube.com/watch?v=g80SezdX9WY&amp;t=534s", "Go to time")</f>
        <v/>
      </c>
    </row>
    <row r="10013">
      <c r="A10013">
        <f>HYPERLINK("https://www.youtube.com/watch?v=g80SezdX9WY", "Video")</f>
        <v/>
      </c>
      <c r="B10013" t="inlineStr">
        <is>
          <t>9:31</t>
        </is>
      </c>
      <c r="C10013" t="inlineStr">
        <is>
          <t>to have an obituary in you know a paper</t>
        </is>
      </c>
      <c r="D10013">
        <f>HYPERLINK("https://www.youtube.com/watch?v=g80SezdX9WY&amp;t=571s", "Go to time")</f>
        <v/>
      </c>
    </row>
    <row r="10014">
      <c r="A10014">
        <f>HYPERLINK("https://www.youtube.com/watch?v=g80SezdX9WY", "Video")</f>
        <v/>
      </c>
      <c r="B10014" t="inlineStr">
        <is>
          <t>10:55</t>
        </is>
      </c>
      <c r="C10014" t="inlineStr">
        <is>
          <t>to just talk to that a little bit about</t>
        </is>
      </c>
      <c r="D10014">
        <f>HYPERLINK("https://www.youtube.com/watch?v=g80SezdX9WY&amp;t=655s", "Go to time")</f>
        <v/>
      </c>
    </row>
    <row r="10015">
      <c r="A10015">
        <f>HYPERLINK("https://www.youtube.com/watch?v=g80SezdX9WY", "Video")</f>
        <v/>
      </c>
      <c r="B10015" t="inlineStr">
        <is>
          <t>12:01</t>
        </is>
      </c>
      <c r="C10015" t="inlineStr">
        <is>
          <t>exhibitions and collections have</t>
        </is>
      </c>
      <c r="D10015">
        <f>HYPERLINK("https://www.youtube.com/watch?v=g80SezdX9WY&amp;t=721s", "Go to time")</f>
        <v/>
      </c>
    </row>
    <row r="10016">
      <c r="A10016">
        <f>HYPERLINK("https://www.youtube.com/watch?v=g80SezdX9WY", "Video")</f>
        <v/>
      </c>
      <c r="B10016" t="inlineStr">
        <is>
          <t>16:21</t>
        </is>
      </c>
      <c r="C10016" t="inlineStr">
        <is>
          <t>disparities that COBIT has made even</t>
        </is>
      </c>
      <c r="D10016">
        <f>HYPERLINK("https://www.youtube.com/watch?v=g80SezdX9WY&amp;t=981s", "Go to time")</f>
        <v/>
      </c>
    </row>
    <row r="10017">
      <c r="A10017">
        <f>HYPERLINK("https://www.youtube.com/watch?v=g80SezdX9WY", "Video")</f>
        <v/>
      </c>
      <c r="B10017" t="inlineStr">
        <is>
          <t>19:38</t>
        </is>
      </c>
      <c r="C10017" t="inlineStr">
        <is>
          <t>done you know we have an exhibition in</t>
        </is>
      </c>
      <c r="D10017">
        <f>HYPERLINK("https://www.youtube.com/watch?v=g80SezdX9WY&amp;t=1178s", "Go to time")</f>
        <v/>
      </c>
    </row>
    <row r="10018">
      <c r="A10018">
        <f>HYPERLINK("https://www.youtube.com/watch?v=RKK7wGAYP6k", "Video")</f>
        <v/>
      </c>
      <c r="B10018" t="inlineStr">
        <is>
          <t>3:01</t>
        </is>
      </c>
      <c r="C10018" t="inlineStr">
        <is>
          <t>Or, "Move your cup
to the north-northeast a little bit."</t>
        </is>
      </c>
      <c r="D10018">
        <f>HYPERLINK("https://www.youtube.com/watch?v=RKK7wGAYP6k&amp;t=181s", "Go to time")</f>
        <v/>
      </c>
    </row>
    <row r="10019">
      <c r="A10019">
        <f>HYPERLINK("https://www.youtube.com/watch?v=e1AibqnDvEk", "Video")</f>
        <v/>
      </c>
      <c r="B10019" t="inlineStr">
        <is>
          <t>1:17</t>
        </is>
      </c>
      <c r="C10019" t="inlineStr">
        <is>
          <t>CRP: So let me just put it in context
and tell you a little bit about Peru.</t>
        </is>
      </c>
      <c r="D10019">
        <f>HYPERLINK("https://www.youtube.com/watch?v=e1AibqnDvEk&amp;t=77s", "Go to time")</f>
        <v/>
      </c>
    </row>
    <row r="10020">
      <c r="A10020">
        <f>HYPERLINK("https://www.youtube.com/watch?v=e1AibqnDvEk", "Video")</f>
        <v/>
      </c>
      <c r="B10020" t="inlineStr">
        <is>
          <t>6:43</t>
        </is>
      </c>
      <c r="C10020" t="inlineStr">
        <is>
          <t>CH: So profitability,
let's talk a little bit about that.</t>
        </is>
      </c>
      <c r="D10020">
        <f>HYPERLINK("https://www.youtube.com/watch?v=e1AibqnDvEk&amp;t=403s", "Go to time")</f>
        <v/>
      </c>
    </row>
    <row r="10021">
      <c r="A10021">
        <f>HYPERLINK("https://www.youtube.com/watch?v=e1AibqnDvEk", "Video")</f>
        <v/>
      </c>
      <c r="B10021" t="inlineStr">
        <is>
          <t>7:05</t>
        </is>
      </c>
      <c r="C10021" t="inlineStr">
        <is>
          <t>You know, it's very ambitious
for the teachers,</t>
        </is>
      </c>
      <c r="D10021">
        <f>HYPERLINK("https://www.youtube.com/watch?v=e1AibqnDvEk&amp;t=425s", "Go to time")</f>
        <v/>
      </c>
    </row>
    <row r="10022">
      <c r="A10022">
        <f>HYPERLINK("https://www.youtube.com/watch?v=e1AibqnDvEk", "Video")</f>
        <v/>
      </c>
      <c r="B10022" t="inlineStr">
        <is>
          <t>11:37</t>
        </is>
      </c>
      <c r="C10022" t="inlineStr">
        <is>
          <t>Can you talk a little bit
about how that came about</t>
        </is>
      </c>
      <c r="D10022">
        <f>HYPERLINK("https://www.youtube.com/watch?v=e1AibqnDvEk&amp;t=697s", "Go to time")</f>
        <v/>
      </c>
    </row>
    <row r="10023">
      <c r="A10023">
        <f>HYPERLINK("https://www.youtube.com/watch?v=qxgE0q1_m6U", "Video")</f>
        <v/>
      </c>
      <c r="B10023" t="inlineStr">
        <is>
          <t>0:19</t>
        </is>
      </c>
      <c r="C10023" t="inlineStr">
        <is>
          <t>while also providing habitat
for plant populations,</t>
        </is>
      </c>
      <c r="D10023">
        <f>HYPERLINK("https://www.youtube.com/watch?v=qxgE0q1_m6U&amp;t=19s", "Go to time")</f>
        <v/>
      </c>
    </row>
    <row r="10024">
      <c r="A10024">
        <f>HYPERLINK("https://www.youtube.com/watch?v=qxgE0q1_m6U", "Video")</f>
        <v/>
      </c>
      <c r="B10024" t="inlineStr">
        <is>
          <t>2:49</t>
        </is>
      </c>
      <c r="C10024" t="inlineStr">
        <is>
          <t>They have no idea that they're walking
through a monarch habitat</t>
        </is>
      </c>
      <c r="D10024">
        <f>HYPERLINK("https://www.youtube.com/watch?v=qxgE0q1_m6U&amp;t=169s", "Go to time")</f>
        <v/>
      </c>
    </row>
    <row r="10025">
      <c r="A10025">
        <f>HYPERLINK("https://www.youtube.com/watch?v=qxgE0q1_m6U", "Video")</f>
        <v/>
      </c>
      <c r="B10025" t="inlineStr">
        <is>
          <t>3:09</t>
        </is>
      </c>
      <c r="C10025" t="inlineStr">
        <is>
          <t>Indeed, we must incorporate habitat
everywhere immediately,</t>
        </is>
      </c>
      <c r="D10025">
        <f>HYPERLINK("https://www.youtube.com/watch?v=qxgE0q1_m6U&amp;t=189s", "Go to time")</f>
        <v/>
      </c>
    </row>
    <row r="10026">
      <c r="A10026">
        <f>HYPERLINK("https://www.youtube.com/watch?v=qxgE0q1_m6U", "Video")</f>
        <v/>
      </c>
      <c r="B10026" t="inlineStr">
        <is>
          <t>3:49</t>
        </is>
      </c>
      <c r="C10026" t="inlineStr">
        <is>
          <t>One in every three bites
of food that you eat</t>
        </is>
      </c>
      <c r="D10026">
        <f>HYPERLINK("https://www.youtube.com/watch?v=qxgE0q1_m6U&amp;t=229s", "Go to time")</f>
        <v/>
      </c>
    </row>
    <row r="10027">
      <c r="A10027">
        <f>HYPERLINK("https://www.youtube.com/watch?v=qxgE0q1_m6U", "Video")</f>
        <v/>
      </c>
      <c r="B10027" t="inlineStr">
        <is>
          <t>9:19</t>
        </is>
      </c>
      <c r="C10027" t="inlineStr">
        <is>
          <t>the better habitat we provide.</t>
        </is>
      </c>
      <c r="D10027">
        <f>HYPERLINK("https://www.youtube.com/watch?v=qxgE0q1_m6U&amp;t=559s", "Go to time")</f>
        <v/>
      </c>
    </row>
    <row r="10028">
      <c r="A10028">
        <f>HYPERLINK("https://www.youtube.com/watch?v=J4r9pgx_95E", "Video")</f>
        <v/>
      </c>
      <c r="B10028" t="inlineStr">
        <is>
          <t>3:35</t>
        </is>
      </c>
      <c r="C10028" t="inlineStr">
        <is>
          <t>Over time you build better habits
to decrease your exposure to pollution,</t>
        </is>
      </c>
      <c r="D10028">
        <f>HYPERLINK("https://www.youtube.com/watch?v=J4r9pgx_95E&amp;t=215s", "Go to time")</f>
        <v/>
      </c>
    </row>
    <row r="10029">
      <c r="A10029">
        <f>HYPERLINK("https://www.youtube.com/watch?v=th3KE_H27bs", "Video")</f>
        <v/>
      </c>
      <c r="B10029" t="inlineStr">
        <is>
          <t>1:24</t>
        </is>
      </c>
      <c r="C10029" t="inlineStr">
        <is>
          <t>and that is creating
a little bit of a problem.</t>
        </is>
      </c>
      <c r="D10029">
        <f>HYPERLINK("https://www.youtube.com/watch?v=th3KE_H27bs&amp;t=84s", "Go to time")</f>
        <v/>
      </c>
    </row>
    <row r="10030">
      <c r="A10030">
        <f>HYPERLINK("https://www.youtube.com/watch?v=tz9-N_mRI04", "Video")</f>
        <v/>
      </c>
      <c r="B10030" t="inlineStr">
        <is>
          <t>1:48</t>
        </is>
      </c>
      <c r="C10030" t="inlineStr">
        <is>
          <t>Now, still a bit too noisy
to see any differences,</t>
        </is>
      </c>
      <c r="D10030">
        <f>HYPERLINK("https://www.youtube.com/watch?v=tz9-N_mRI04&amp;t=108s", "Go to time")</f>
        <v/>
      </c>
    </row>
    <row r="10031">
      <c r="A10031">
        <f>HYPERLINK("https://www.youtube.com/watch?v=tz9-N_mRI04", "Video")</f>
        <v/>
      </c>
      <c r="B10031" t="inlineStr">
        <is>
          <t>4:07</t>
        </is>
      </c>
      <c r="C10031" t="inlineStr">
        <is>
          <t>But what if we cheat a little bit?</t>
        </is>
      </c>
      <c r="D10031">
        <f>HYPERLINK("https://www.youtube.com/watch?v=tz9-N_mRI04&amp;t=247s", "Go to time")</f>
        <v/>
      </c>
    </row>
    <row r="10032">
      <c r="A10032">
        <f>HYPERLINK("https://www.youtube.com/watch?v=tz9-N_mRI04", "Video")</f>
        <v/>
      </c>
      <c r="B10032" t="inlineStr">
        <is>
          <t>4:19</t>
        </is>
      </c>
      <c r="C10032" t="inlineStr">
        <is>
          <t>Also, we're going
to cheat a little bit more,</t>
        </is>
      </c>
      <c r="D10032">
        <f>HYPERLINK("https://www.youtube.com/watch?v=tz9-N_mRI04&amp;t=259s", "Go to time")</f>
        <v/>
      </c>
    </row>
    <row r="10033">
      <c r="A10033">
        <f>HYPERLINK("https://www.youtube.com/watch?v=tz9-N_mRI04", "Video")</f>
        <v/>
      </c>
      <c r="B10033" t="inlineStr">
        <is>
          <t>4:26</t>
        </is>
      </c>
      <c r="C10033" t="inlineStr">
        <is>
          <t>we're going to constrict it
a little bit more</t>
        </is>
      </c>
      <c r="D10033">
        <f>HYPERLINK("https://www.youtube.com/watch?v=tz9-N_mRI04&amp;t=266s", "Go to time")</f>
        <v/>
      </c>
    </row>
    <row r="10034">
      <c r="A10034">
        <f>HYPERLINK("https://www.youtube.com/watch?v=MG9oqntiJKg", "Video")</f>
        <v/>
      </c>
      <c r="B10034" t="inlineStr">
        <is>
          <t>8:05</t>
        </is>
      </c>
      <c r="C10034" t="inlineStr">
        <is>
          <t>a bit more scientifically.</t>
        </is>
      </c>
      <c r="D10034">
        <f>HYPERLINK("https://www.youtube.com/watch?v=MG9oqntiJKg&amp;t=485s", "Go to time")</f>
        <v/>
      </c>
    </row>
    <row r="10035">
      <c r="A10035">
        <f>HYPERLINK("https://www.youtube.com/watch?v=uKzmhuqGbw0", "Video")</f>
        <v/>
      </c>
      <c r="B10035" t="inlineStr">
        <is>
          <t>0:38</t>
        </is>
      </c>
      <c r="C10035" t="inlineStr">
        <is>
          <t>FB: Now, I did a thing
that brought on quite a bit of stress.</t>
        </is>
      </c>
      <c r="D10035">
        <f>HYPERLINK("https://www.youtube.com/watch?v=uKzmhuqGbw0&amp;t=38s", "Go to time")</f>
        <v/>
      </c>
    </row>
    <row r="10036">
      <c r="A10036">
        <f>HYPERLINK("https://www.youtube.com/watch?v=41fjuqBaUt4", "Video")</f>
        <v/>
      </c>
      <c r="B10036" t="inlineStr">
        <is>
          <t>3:28</t>
        </is>
      </c>
      <c r="C10036" t="inlineStr">
        <is>
          <t>honestly, stomp your feet
if you know what the BS term EBITDA means.</t>
        </is>
      </c>
      <c r="D10036">
        <f>HYPERLINK("https://www.youtube.com/watch?v=41fjuqBaUt4&amp;t=208s", "Go to time")</f>
        <v/>
      </c>
    </row>
    <row r="10037">
      <c r="A10037">
        <f>HYPERLINK("https://www.youtube.com/watch?v=41fjuqBaUt4", "Video")</f>
        <v/>
      </c>
      <c r="B10037" t="inlineStr">
        <is>
          <t>3:50</t>
        </is>
      </c>
      <c r="C10037" t="inlineStr">
        <is>
          <t>A little bit more.</t>
        </is>
      </c>
      <c r="D10037">
        <f>HYPERLINK("https://www.youtube.com/watch?v=41fjuqBaUt4&amp;t=230s", "Go to time")</f>
        <v/>
      </c>
    </row>
    <row r="10038">
      <c r="A10038">
        <f>HYPERLINK("https://www.youtube.com/watch?v=41fjuqBaUt4", "Video")</f>
        <v/>
      </c>
      <c r="B10038" t="inlineStr">
        <is>
          <t>4:16</t>
        </is>
      </c>
      <c r="C10038" t="inlineStr">
        <is>
          <t>EBITDA is basically income</t>
        </is>
      </c>
      <c r="D10038">
        <f>HYPERLINK("https://www.youtube.com/watch?v=41fjuqBaUt4&amp;t=256s", "Go to time")</f>
        <v/>
      </c>
    </row>
    <row r="10039">
      <c r="A10039">
        <f>HYPERLINK("https://www.youtube.com/watch?v=41fjuqBaUt4", "Video")</f>
        <v/>
      </c>
      <c r="B10039" t="inlineStr">
        <is>
          <t>7:17</t>
        </is>
      </c>
      <c r="C10039" t="inlineStr">
        <is>
          <t>and then frantically googling afterwards,
what the hell does EBITDA mean,</t>
        </is>
      </c>
      <c r="D10039">
        <f>HYPERLINK("https://www.youtube.com/watch?v=41fjuqBaUt4&amp;t=437s", "Go to time")</f>
        <v/>
      </c>
    </row>
    <row r="10040">
      <c r="A10040">
        <f>HYPERLINK("https://www.youtube.com/watch?v=41fjuqBaUt4", "Video")</f>
        <v/>
      </c>
      <c r="B10040" t="inlineStr">
        <is>
          <t>9:55</t>
        </is>
      </c>
      <c r="C10040" t="inlineStr">
        <is>
          <t>I may use EBITDA, right?</t>
        </is>
      </c>
      <c r="D10040">
        <f>HYPERLINK("https://www.youtube.com/watch?v=41fjuqBaUt4&amp;t=595s", "Go to time")</f>
        <v/>
      </c>
    </row>
    <row r="10041">
      <c r="A10041">
        <f>HYPERLINK("https://www.youtube.com/watch?v=41fjuqBaUt4", "Video")</f>
        <v/>
      </c>
      <c r="B10041" t="inlineStr">
        <is>
          <t>11:50</t>
        </is>
      </c>
      <c r="C10041" t="inlineStr">
        <is>
          <t>at least have a little bit
of an experience with Shakespeare.</t>
        </is>
      </c>
      <c r="D10041">
        <f>HYPERLINK("https://www.youtube.com/watch?v=41fjuqBaUt4&amp;t=710s", "Go to time")</f>
        <v/>
      </c>
    </row>
    <row r="10042">
      <c r="A10042">
        <f>HYPERLINK("https://www.youtube.com/watch?v=UVOnUz2BCrA", "Video")</f>
        <v/>
      </c>
      <c r="B10042" t="inlineStr">
        <is>
          <t>9:57</t>
        </is>
      </c>
      <c r="C10042" t="inlineStr">
        <is>
          <t>Let's take a little bit closer look</t>
        </is>
      </c>
      <c r="D10042">
        <f>HYPERLINK("https://www.youtube.com/watch?v=UVOnUz2BCrA&amp;t=597s", "Go to time")</f>
        <v/>
      </c>
    </row>
    <row r="10043">
      <c r="A10043">
        <f>HYPERLINK("https://www.youtube.com/watch?v=fojPLOE150c", "Video")</f>
        <v/>
      </c>
      <c r="B10043" t="inlineStr">
        <is>
          <t>29:22</t>
        </is>
      </c>
      <c r="C10043" t="inlineStr">
        <is>
          <t>the Belt and Road Initiative
is one of the most ambitious</t>
        </is>
      </c>
      <c r="D10043">
        <f>HYPERLINK("https://www.youtube.com/watch?v=fojPLOE150c&amp;t=1762s", "Go to time")</f>
        <v/>
      </c>
    </row>
    <row r="10044">
      <c r="A10044">
        <f>HYPERLINK("https://www.youtube.com/watch?v=PYRFxrLt30A", "Video")</f>
        <v/>
      </c>
      <c r="B10044" t="inlineStr">
        <is>
          <t>12:10</t>
        </is>
      </c>
      <c r="C10044" t="inlineStr">
        <is>
          <t>let me dream a little bit.</t>
        </is>
      </c>
      <c r="D10044">
        <f>HYPERLINK("https://www.youtube.com/watch?v=PYRFxrLt30A&amp;t=730s", "Go to time")</f>
        <v/>
      </c>
    </row>
    <row r="10045">
      <c r="A10045">
        <f>HYPERLINK("https://www.youtube.com/watch?v=NHwjcQDtcCo", "Video")</f>
        <v/>
      </c>
      <c r="B10045" t="inlineStr">
        <is>
          <t>2:02</t>
        </is>
      </c>
      <c r="C10045" t="inlineStr">
        <is>
          <t>bitchy gay personality,</t>
        </is>
      </c>
      <c r="D10045">
        <f>HYPERLINK("https://www.youtube.com/watch?v=NHwjcQDtcCo&amp;t=122s", "Go to time")</f>
        <v/>
      </c>
    </row>
    <row r="10046">
      <c r="A10046">
        <f>HYPERLINK("https://www.youtube.com/watch?v=NHwjcQDtcCo", "Video")</f>
        <v/>
      </c>
      <c r="B10046" t="inlineStr">
        <is>
          <t>4:12</t>
        </is>
      </c>
      <c r="C10046" t="inlineStr">
        <is>
          <t>I lied, I judged, I bitched.
I changed the way I spoke.</t>
        </is>
      </c>
      <c r="D10046">
        <f>HYPERLINK("https://www.youtube.com/watch?v=NHwjcQDtcCo&amp;t=252s", "Go to time")</f>
        <v/>
      </c>
    </row>
    <row r="10047">
      <c r="A10047">
        <f>HYPERLINK("https://www.youtube.com/watch?v=NHwjcQDtcCo", "Video")</f>
        <v/>
      </c>
      <c r="B10047" t="inlineStr">
        <is>
          <t>7:26</t>
        </is>
      </c>
      <c r="C10047" t="inlineStr">
        <is>
          <t>and I was a bit too shaken
to stay around in London,</t>
        </is>
      </c>
      <c r="D10047">
        <f>HYPERLINK("https://www.youtube.com/watch?v=NHwjcQDtcCo&amp;t=446s", "Go to time")</f>
        <v/>
      </c>
    </row>
    <row r="10048">
      <c r="A10048">
        <f>HYPERLINK("https://www.youtube.com/watch?v=NHwjcQDtcCo", "Video")</f>
        <v/>
      </c>
      <c r="B10048" t="inlineStr">
        <is>
          <t>7:48</t>
        </is>
      </c>
      <c r="C10048" t="inlineStr">
        <is>
          <t>the boys who give you a bit of a look
but respect you nonetheless.</t>
        </is>
      </c>
      <c r="D10048">
        <f>HYPERLINK("https://www.youtube.com/watch?v=NHwjcQDtcCo&amp;t=468s", "Go to time")</f>
        <v/>
      </c>
    </row>
    <row r="10049">
      <c r="A10049">
        <f>HYPERLINK("https://www.youtube.com/watch?v=NHwjcQDtcCo", "Video")</f>
        <v/>
      </c>
      <c r="B10049" t="inlineStr">
        <is>
          <t>10:18</t>
        </is>
      </c>
      <c r="C10049" t="inlineStr">
        <is>
          <t>it's time we all did a bit.</t>
        </is>
      </c>
      <c r="D10049">
        <f>HYPERLINK("https://www.youtube.com/watch?v=NHwjcQDtcCo&amp;t=618s", "Go to time")</f>
        <v/>
      </c>
    </row>
    <row r="10050">
      <c r="A10050">
        <f>HYPERLINK("https://www.youtube.com/watch?v=XZ4vxGOGNOM", "Video")</f>
        <v/>
      </c>
      <c r="B10050" t="inlineStr">
        <is>
          <t>3:22</t>
        </is>
      </c>
      <c r="C10050" t="inlineStr">
        <is>
          <t>feels like a good bite</t>
        </is>
      </c>
      <c r="D10050">
        <f>HYPERLINK("https://www.youtube.com/watch?v=XZ4vxGOGNOM&amp;t=202s", "Go to time")</f>
        <v/>
      </c>
    </row>
    <row r="10051">
      <c r="A10051">
        <f>HYPERLINK("https://www.youtube.com/watch?v=Urk3xn7l3AM", "Video")</f>
        <v/>
      </c>
      <c r="B10051" t="inlineStr">
        <is>
          <t>2:35</t>
        </is>
      </c>
      <c r="C10051" t="inlineStr">
        <is>
          <t>If you aren't at least a bit disturbed
by something I tell you here,</t>
        </is>
      </c>
      <c r="D10051">
        <f>HYPERLINK("https://www.youtube.com/watch?v=Urk3xn7l3AM&amp;t=155s", "Go to time")</f>
        <v/>
      </c>
    </row>
    <row r="10052">
      <c r="A10052">
        <f>HYPERLINK("https://www.youtube.com/watch?v=Urk3xn7l3AM", "Video")</f>
        <v/>
      </c>
      <c r="B10052" t="inlineStr">
        <is>
          <t>11:40</t>
        </is>
      </c>
      <c r="C10052" t="inlineStr">
        <is>
          <t>and then one bit comes out
from your copy to yourself,</t>
        </is>
      </c>
      <c r="D10052">
        <f>HYPERLINK("https://www.youtube.com/watch?v=Urk3xn7l3AM&amp;t=700s", "Go to time")</f>
        <v/>
      </c>
    </row>
    <row r="10053">
      <c r="A10053">
        <f>HYPERLINK("https://www.youtube.com/watch?v=cEG0Tp-iLuo", "Video")</f>
        <v/>
      </c>
      <c r="B10053" t="inlineStr">
        <is>
          <t>2:40</t>
        </is>
      </c>
      <c r="C10053" t="inlineStr">
        <is>
          <t>he was always told he was a bit stupid,</t>
        </is>
      </c>
      <c r="D10053">
        <f>HYPERLINK("https://www.youtube.com/watch?v=cEG0Tp-iLuo&amp;t=160s", "Go to time")</f>
        <v/>
      </c>
    </row>
    <row r="10054">
      <c r="A10054">
        <f>HYPERLINK("https://www.youtube.com/watch?v=cEG0Tp-iLuo", "Video")</f>
        <v/>
      </c>
      <c r="B10054" t="inlineStr">
        <is>
          <t>2:42</t>
        </is>
      </c>
      <c r="C10054" t="inlineStr">
        <is>
          <t>a bit “twp,” as we’d say in Wales.</t>
        </is>
      </c>
      <c r="D10054">
        <f>HYPERLINK("https://www.youtube.com/watch?v=cEG0Tp-iLuo&amp;t=162s", "Go to time")</f>
        <v/>
      </c>
    </row>
    <row r="10055">
      <c r="A10055">
        <f>HYPERLINK("https://www.youtube.com/watch?v=cEG0Tp-iLuo", "Video")</f>
        <v/>
      </c>
      <c r="B10055" t="inlineStr">
        <is>
          <t>2:46</t>
        </is>
      </c>
      <c r="C10055" t="inlineStr">
        <is>
          <t>saying that he was always
a bit hopeless as well,</t>
        </is>
      </c>
      <c r="D10055">
        <f>HYPERLINK("https://www.youtube.com/watch?v=cEG0Tp-iLuo&amp;t=166s", "Go to time")</f>
        <v/>
      </c>
    </row>
    <row r="10056">
      <c r="A10056">
        <f>HYPERLINK("https://www.youtube.com/watch?v=cEG0Tp-iLuo", "Video")</f>
        <v/>
      </c>
      <c r="B10056" t="inlineStr">
        <is>
          <t>3:11</t>
        </is>
      </c>
      <c r="C10056" t="inlineStr">
        <is>
          <t>who sounded like me a bit,</t>
        </is>
      </c>
      <c r="D10056">
        <f>HYPERLINK("https://www.youtube.com/watch?v=cEG0Tp-iLuo&amp;t=191s", "Go to time")</f>
        <v/>
      </c>
    </row>
    <row r="10057">
      <c r="A10057">
        <f>HYPERLINK("https://www.youtube.com/watch?v=cEG0Tp-iLuo", "Video")</f>
        <v/>
      </c>
      <c r="B10057" t="inlineStr">
        <is>
          <t>3:14</t>
        </is>
      </c>
      <c r="C10057" t="inlineStr">
        <is>
          <t>who looked a bit like me,
but were out there.</t>
        </is>
      </c>
      <c r="D10057">
        <f>HYPERLINK("https://www.youtube.com/watch?v=cEG0Tp-iLuo&amp;t=194s", "Go to time")</f>
        <v/>
      </c>
    </row>
    <row r="10058">
      <c r="A10058">
        <f>HYPERLINK("https://www.youtube.com/watch?v=cEG0Tp-iLuo", "Video")</f>
        <v/>
      </c>
      <c r="B10058" t="inlineStr">
        <is>
          <t>12:53</t>
        </is>
      </c>
      <c r="C10058" t="inlineStr">
        <is>
          <t>advising them, giving them
a bit of confidence</t>
        </is>
      </c>
      <c r="D10058">
        <f>HYPERLINK("https://www.youtube.com/watch?v=cEG0Tp-iLuo&amp;t=773s", "Go to time")</f>
        <v/>
      </c>
    </row>
    <row r="10059">
      <c r="A10059">
        <f>HYPERLINK("https://www.youtube.com/watch?v=pzN4WGPC4kc", "Video")</f>
        <v/>
      </c>
      <c r="B10059" t="inlineStr">
        <is>
          <t>3:37</t>
        </is>
      </c>
      <c r="C10059" t="inlineStr">
        <is>
          <t>you pay with the crypto-currency bitcoin,</t>
        </is>
      </c>
      <c r="D10059">
        <f>HYPERLINK("https://www.youtube.com/watch?v=pzN4WGPC4kc&amp;t=217s", "Go to time")</f>
        <v/>
      </c>
    </row>
    <row r="10060">
      <c r="A10060">
        <f>HYPERLINK("https://www.youtube.com/watch?v=pzN4WGPC4kc", "Video")</f>
        <v/>
      </c>
      <c r="B10060" t="inlineStr">
        <is>
          <t>7:38</t>
        </is>
      </c>
      <c r="C10060" t="inlineStr">
        <is>
          <t>So you use the crypto-currency bitcoin,</t>
        </is>
      </c>
      <c r="D10060">
        <f>HYPERLINK("https://www.youtube.com/watch?v=pzN4WGPC4kc&amp;t=458s", "Go to time")</f>
        <v/>
      </c>
    </row>
    <row r="10061">
      <c r="A10061">
        <f>HYPERLINK("https://www.youtube.com/watch?v=pzN4WGPC4kc", "Video")</f>
        <v/>
      </c>
      <c r="B10061" t="inlineStr">
        <is>
          <t>7:52</t>
        </is>
      </c>
      <c r="C10061" t="inlineStr">
        <is>
          <t>Some of the unscrupulous dealers
were running away with peoples' bitcoin</t>
        </is>
      </c>
      <c r="D10061">
        <f>HYPERLINK("https://www.youtube.com/watch?v=pzN4WGPC4kc&amp;t=472s", "Go to time")</f>
        <v/>
      </c>
    </row>
    <row r="10062">
      <c r="A10062">
        <f>HYPERLINK("https://www.youtube.com/watch?v=pzN4WGPC4kc", "Video")</f>
        <v/>
      </c>
      <c r="B10062" t="inlineStr">
        <is>
          <t>8:10</t>
        </is>
      </c>
      <c r="C10062" t="inlineStr">
        <is>
          <t>I would send my bitcoin</t>
        </is>
      </c>
      <c r="D10062">
        <f>HYPERLINK("https://www.youtube.com/watch?v=pzN4WGPC4kc&amp;t=490s", "Go to time")</f>
        <v/>
      </c>
    </row>
    <row r="10063">
      <c r="A10063">
        <f>HYPERLINK("https://www.youtube.com/watch?v=pzN4WGPC4kc", "Video")</f>
        <v/>
      </c>
      <c r="B10063" t="inlineStr">
        <is>
          <t>8:42</t>
        </is>
      </c>
      <c r="C10063" t="inlineStr">
        <is>
          <t>But then they realized there was
a problem with bitcoin,</t>
        </is>
      </c>
      <c r="D10063">
        <f>HYPERLINK("https://www.youtube.com/watch?v=pzN4WGPC4kc&amp;t=522s", "Go to time")</f>
        <v/>
      </c>
    </row>
    <row r="10064">
      <c r="A10064">
        <f>HYPERLINK("https://www.youtube.com/watch?v=pzN4WGPC4kc", "Video")</f>
        <v/>
      </c>
      <c r="B10064" t="inlineStr">
        <is>
          <t>8:45</t>
        </is>
      </c>
      <c r="C10064" t="inlineStr">
        <is>
          <t>because every bitcoin transaction</t>
        </is>
      </c>
      <c r="D10064">
        <f>HYPERLINK("https://www.youtube.com/watch?v=pzN4WGPC4kc&amp;t=525s", "Go to time")</f>
        <v/>
      </c>
    </row>
    <row r="10065">
      <c r="A10065">
        <f>HYPERLINK("https://www.youtube.com/watch?v=pzN4WGPC4kc", "Video")</f>
        <v/>
      </c>
      <c r="B10065" t="inlineStr">
        <is>
          <t>8:56</t>
        </is>
      </c>
      <c r="C10065" t="inlineStr">
        <is>
          <t>Hundreds of people send
their bitcoin into one address,</t>
        </is>
      </c>
      <c r="D10065">
        <f>HYPERLINK("https://www.youtube.com/watch?v=pzN4WGPC4kc&amp;t=536s", "Go to time")</f>
        <v/>
      </c>
    </row>
    <row r="10066">
      <c r="A10066">
        <f>HYPERLINK("https://www.youtube.com/watch?v=pzN4WGPC4kc", "Video")</f>
        <v/>
      </c>
      <c r="B10066" t="inlineStr">
        <is>
          <t>9:05</t>
        </is>
      </c>
      <c r="C10066" t="inlineStr">
        <is>
          <t>but they're different bitcoins:</t>
        </is>
      </c>
      <c r="D10066">
        <f>HYPERLINK("https://www.youtube.com/watch?v=pzN4WGPC4kc&amp;t=545s", "Go to time")</f>
        <v/>
      </c>
    </row>
    <row r="10067">
      <c r="A10067">
        <f>HYPERLINK("https://www.youtube.com/watch?v=UJz69v_7258", "Video")</f>
        <v/>
      </c>
      <c r="B10067" t="inlineStr">
        <is>
          <t>1:20</t>
        </is>
      </c>
      <c r="C10067" t="inlineStr">
        <is>
          <t>Algorithms picking your next job
sounds a little bit scary,</t>
        </is>
      </c>
      <c r="D10067">
        <f>HYPERLINK("https://www.youtube.com/watch?v=UJz69v_7258&amp;t=80s", "Go to time")</f>
        <v/>
      </c>
    </row>
    <row r="10068">
      <c r="A10068">
        <f>HYPERLINK("https://www.youtube.com/watch?v=UJz69v_7258", "Video")</f>
        <v/>
      </c>
      <c r="B10068" t="inlineStr">
        <is>
          <t>2:27</t>
        </is>
      </c>
      <c r="C10068" t="inlineStr">
        <is>
          <t>who takes just a little bit longer
to be 100 percent sure.</t>
        </is>
      </c>
      <c r="D10068">
        <f>HYPERLINK("https://www.youtube.com/watch?v=UJz69v_7258&amp;t=147s", "Go to time")</f>
        <v/>
      </c>
    </row>
    <row r="10069">
      <c r="A10069">
        <f>HYPERLINK("https://www.youtube.com/watch?v=EfeiKPSBKfg", "Video")</f>
        <v/>
      </c>
      <c r="B10069" t="inlineStr">
        <is>
          <t>2:34</t>
        </is>
      </c>
      <c r="C10069" t="inlineStr">
        <is>
          <t>You talk a little bit
about it in your talk.</t>
        </is>
      </c>
      <c r="D10069">
        <f>HYPERLINK("https://www.youtube.com/watch?v=EfeiKPSBKfg&amp;t=154s", "Go to time")</f>
        <v/>
      </c>
    </row>
    <row r="10070">
      <c r="A10070">
        <f>HYPERLINK("https://www.youtube.com/watch?v=EfeiKPSBKfg", "Video")</f>
        <v/>
      </c>
      <c r="B10070" t="inlineStr">
        <is>
          <t>2:43</t>
        </is>
      </c>
      <c r="C10070" t="inlineStr">
        <is>
          <t>Will you share a little bit
about that with us?</t>
        </is>
      </c>
      <c r="D10070">
        <f>HYPERLINK("https://www.youtube.com/watch?v=EfeiKPSBKfg&amp;t=163s", "Go to time")</f>
        <v/>
      </c>
    </row>
    <row r="10071">
      <c r="A10071">
        <f>HYPERLINK("https://www.youtube.com/watch?v=EfeiKPSBKfg", "Video")</f>
        <v/>
      </c>
      <c r="B10071" t="inlineStr">
        <is>
          <t>5:06</t>
        </is>
      </c>
      <c r="C10071" t="inlineStr">
        <is>
          <t>check your tone a little bit</t>
        </is>
      </c>
      <c r="D10071">
        <f>HYPERLINK("https://www.youtube.com/watch?v=EfeiKPSBKfg&amp;t=306s", "Go to time")</f>
        <v/>
      </c>
    </row>
    <row r="10072">
      <c r="A10072">
        <f>HYPERLINK("https://www.youtube.com/watch?v=EfeiKPSBKfg", "Video")</f>
        <v/>
      </c>
      <c r="B10072" t="inlineStr">
        <is>
          <t>5:18</t>
        </is>
      </c>
      <c r="C10072" t="inlineStr">
        <is>
          <t>It slows you down just a little bit</t>
        </is>
      </c>
      <c r="D10072">
        <f>HYPERLINK("https://www.youtube.com/watch?v=EfeiKPSBKfg&amp;t=318s", "Go to time")</f>
        <v/>
      </c>
    </row>
    <row r="10073">
      <c r="A10073">
        <f>HYPERLINK("https://www.youtube.com/watch?v=EfeiKPSBKfg", "Video")</f>
        <v/>
      </c>
      <c r="B10073" t="inlineStr">
        <is>
          <t>6:30</t>
        </is>
      </c>
      <c r="C10073" t="inlineStr">
        <is>
          <t>If it does not give you a little
bit of, "Uhh ... I'm about to do this,"</t>
        </is>
      </c>
      <c r="D10073">
        <f>HYPERLINK("https://www.youtube.com/watch?v=EfeiKPSBKfg&amp;t=390s", "Go to time")</f>
        <v/>
      </c>
    </row>
    <row r="10074">
      <c r="A10074">
        <f>HYPERLINK("https://www.youtube.com/watch?v=EfeiKPSBKfg", "Video")</f>
        <v/>
      </c>
      <c r="B10074" t="inlineStr">
        <is>
          <t>9:38</t>
        </is>
      </c>
      <c r="C10074" t="inlineStr">
        <is>
          <t>Could you talk a little bit about
what that looks like?</t>
        </is>
      </c>
      <c r="D10074">
        <f>HYPERLINK("https://www.youtube.com/watch?v=EfeiKPSBKfg&amp;t=578s", "Go to time")</f>
        <v/>
      </c>
    </row>
    <row r="10075">
      <c r="A10075">
        <f>HYPERLINK("https://www.youtube.com/watch?v=O8duvJfrjss", "Video")</f>
        <v/>
      </c>
      <c r="B10075" t="inlineStr">
        <is>
          <t>6:33</t>
        </is>
      </c>
      <c r="C10075" t="inlineStr">
        <is>
          <t>let me show off a little bit
about my own city, Bristol,</t>
        </is>
      </c>
      <c r="D10075">
        <f>HYPERLINK("https://www.youtube.com/watch?v=O8duvJfrjss&amp;t=393s", "Go to time")</f>
        <v/>
      </c>
    </row>
    <row r="10076">
      <c r="A10076">
        <f>HYPERLINK("https://www.youtube.com/watch?v=9Y9ppMqXwkQ", "Video")</f>
        <v/>
      </c>
      <c r="B10076" t="inlineStr">
        <is>
          <t>0:28</t>
        </is>
      </c>
      <c r="C10076" t="inlineStr">
        <is>
          <t>Every single day we each lose
a little bit of our ability</t>
        </is>
      </c>
      <c r="D10076">
        <f>HYPERLINK("https://www.youtube.com/watch?v=9Y9ppMqXwkQ&amp;t=28s", "Go to time")</f>
        <v/>
      </c>
    </row>
    <row r="10077">
      <c r="A10077">
        <f>HYPERLINK("https://www.youtube.com/watch?v=9Y9ppMqXwkQ", "Video")</f>
        <v/>
      </c>
      <c r="B10077" t="inlineStr">
        <is>
          <t>1:38</t>
        </is>
      </c>
      <c r="C10077" t="inlineStr">
        <is>
          <t>That sounds a bit troubling.</t>
        </is>
      </c>
      <c r="D10077">
        <f>HYPERLINK("https://www.youtube.com/watch?v=9Y9ppMqXwkQ&amp;t=98s", "Go to time")</f>
        <v/>
      </c>
    </row>
    <row r="10078">
      <c r="A10078">
        <f>HYPERLINK("https://www.youtube.com/watch?v=9Y9ppMqXwkQ", "Video")</f>
        <v/>
      </c>
      <c r="B10078" t="inlineStr">
        <is>
          <t>4:31</t>
        </is>
      </c>
      <c r="C10078" t="inlineStr">
        <is>
          <t>Focus-tunable lenses add a bit
of complexity to the equation.</t>
        </is>
      </c>
      <c r="D10078">
        <f>HYPERLINK("https://www.youtube.com/watch?v=9Y9ppMqXwkQ&amp;t=271s", "Go to time")</f>
        <v/>
      </c>
    </row>
    <row r="10079">
      <c r="A10079">
        <f>HYPERLINK("https://www.youtube.com/watch?v=9Y9ppMqXwkQ", "Video")</f>
        <v/>
      </c>
      <c r="B10079" t="inlineStr">
        <is>
          <t>5:51</t>
        </is>
      </c>
      <c r="C10079" t="inlineStr">
        <is>
          <t>For example, our glasses are a bit --</t>
        </is>
      </c>
      <c r="D10079">
        <f>HYPERLINK("https://www.youtube.com/watch?v=9Y9ppMqXwkQ&amp;t=351s", "Go to time")</f>
        <v/>
      </c>
    </row>
    <row r="10080">
      <c r="A10080">
        <f>HYPERLINK("https://www.youtube.com/watch?v=9Y9ppMqXwkQ", "Video")</f>
        <v/>
      </c>
      <c r="B10080" t="inlineStr">
        <is>
          <t>6:14</t>
        </is>
      </c>
      <c r="C10080" t="inlineStr">
        <is>
          <t>eventually look a little bit more
like normal glasses.</t>
        </is>
      </c>
      <c r="D10080">
        <f>HYPERLINK("https://www.youtube.com/watch?v=9Y9ppMqXwkQ&amp;t=374s", "Go to time")</f>
        <v/>
      </c>
    </row>
    <row r="10081">
      <c r="A10081">
        <f>HYPERLINK("https://www.youtube.com/watch?v=OQSMr-3GGvQ", "Video")</f>
        <v/>
      </c>
      <c r="B10081" t="inlineStr">
        <is>
          <t>1:09</t>
        </is>
      </c>
      <c r="C10081" t="inlineStr">
        <is>
          <t>When I got there,
I was just a bit taken aback,</t>
        </is>
      </c>
      <c r="D10081">
        <f>HYPERLINK("https://www.youtube.com/watch?v=OQSMr-3GGvQ&amp;t=69s", "Go to time")</f>
        <v/>
      </c>
    </row>
    <row r="10082">
      <c r="A10082">
        <f>HYPERLINK("https://www.youtube.com/watch?v=OQSMr-3GGvQ", "Video")</f>
        <v/>
      </c>
      <c r="B10082" t="inlineStr">
        <is>
          <t>2:53</t>
        </is>
      </c>
      <c r="C10082" t="inlineStr">
        <is>
          <t>And so I was just a bit baffled,</t>
        </is>
      </c>
      <c r="D10082">
        <f>HYPERLINK("https://www.youtube.com/watch?v=OQSMr-3GGvQ&amp;t=173s", "Go to time")</f>
        <v/>
      </c>
    </row>
    <row r="10083">
      <c r="A10083">
        <f>HYPERLINK("https://www.youtube.com/watch?v=OQSMr-3GGvQ", "Video")</f>
        <v/>
      </c>
      <c r="B10083" t="inlineStr">
        <is>
          <t>6:38</t>
        </is>
      </c>
      <c r="C10083" t="inlineStr">
        <is>
          <t>"Well, it was just a bit of overspending.</t>
        </is>
      </c>
      <c r="D10083">
        <f>HYPERLINK("https://www.youtube.com/watch?v=OQSMr-3GGvQ&amp;t=398s", "Go to time")</f>
        <v/>
      </c>
    </row>
    <row r="10084">
      <c r="A10084">
        <f>HYPERLINK("https://www.youtube.com/watch?v=G9UEBLcJIRc", "Video")</f>
        <v/>
      </c>
      <c r="B10084" t="inlineStr">
        <is>
          <t>7:49</t>
        </is>
      </c>
      <c r="C10084" t="inlineStr">
        <is>
          <t>no unknowns that would sneak up
and bite you in the future, right?</t>
        </is>
      </c>
      <c r="D10084">
        <f>HYPERLINK("https://www.youtube.com/watch?v=G9UEBLcJIRc&amp;t=469s", "Go to time")</f>
        <v/>
      </c>
    </row>
    <row r="10085">
      <c r="A10085">
        <f>HYPERLINK("https://www.youtube.com/watch?v=G9UEBLcJIRc", "Video")</f>
        <v/>
      </c>
      <c r="B10085" t="inlineStr">
        <is>
          <t>8:07</t>
        </is>
      </c>
      <c r="C10085" t="inlineStr">
        <is>
          <t>that was distributed to visitors
at the British exhibition in 1924.</t>
        </is>
      </c>
      <c r="D10085">
        <f>HYPERLINK("https://www.youtube.com/watch?v=G9UEBLcJIRc&amp;t=487s", "Go to time")</f>
        <v/>
      </c>
    </row>
    <row r="10086">
      <c r="A10086">
        <f>HYPERLINK("https://www.youtube.com/watch?v=jggHw5PdQV0", "Video")</f>
        <v/>
      </c>
      <c r="B10086" t="inlineStr">
        <is>
          <t>6:50</t>
        </is>
      </c>
      <c r="C10086" t="inlineStr">
        <is>
          <t>that just needed 140 characters
and a little bit of creativity.</t>
        </is>
      </c>
      <c r="D10086">
        <f>HYPERLINK("https://www.youtube.com/watch?v=jggHw5PdQV0&amp;t=410s", "Go to time")</f>
        <v/>
      </c>
    </row>
    <row r="10087">
      <c r="A10087">
        <f>HYPERLINK("https://www.youtube.com/watch?v=EvGkSEuWtaI", "Video")</f>
        <v/>
      </c>
      <c r="B10087" t="inlineStr">
        <is>
          <t>0:25</t>
        </is>
      </c>
      <c r="C10087" t="inlineStr">
        <is>
          <t>"Take this time at home
to get into a new happiness habit."</t>
        </is>
      </c>
      <c r="D10087">
        <f>HYPERLINK("https://www.youtube.com/watch?v=EvGkSEuWtaI&amp;t=25s", "Go to time")</f>
        <v/>
      </c>
    </row>
    <row r="10088">
      <c r="A10088">
        <f>HYPERLINK("https://www.youtube.com/watch?v=EvGkSEuWtaI", "Video")</f>
        <v/>
      </c>
      <c r="B10088" t="inlineStr">
        <is>
          <t>0:52</t>
        </is>
      </c>
      <c r="C10088" t="inlineStr">
        <is>
          <t>in an effective, science-based
method of habit formation,</t>
        </is>
      </c>
      <c r="D10088">
        <f>HYPERLINK("https://www.youtube.com/watch?v=EvGkSEuWtaI&amp;t=52s", "Go to time")</f>
        <v/>
      </c>
    </row>
    <row r="10089">
      <c r="A10089">
        <f>HYPERLINK("https://www.youtube.com/watch?v=EvGkSEuWtaI", "Video")</f>
        <v/>
      </c>
      <c r="B10089" t="inlineStr">
        <is>
          <t>1:07</t>
        </is>
      </c>
      <c r="C10089" t="inlineStr">
        <is>
          <t>This is because I love to set
ambitious goals.</t>
        </is>
      </c>
      <c r="D10089">
        <f>HYPERLINK("https://www.youtube.com/watch?v=EvGkSEuWtaI&amp;t=67s", "Go to time")</f>
        <v/>
      </c>
    </row>
    <row r="10090">
      <c r="A10090">
        <f>HYPERLINK("https://www.youtube.com/watch?v=EvGkSEuWtaI", "Video")</f>
        <v/>
      </c>
      <c r="B10090" t="inlineStr">
        <is>
          <t>1:11</t>
        </is>
      </c>
      <c r="C10090" t="inlineStr">
        <is>
          <t>Getting into a good little habit</t>
        </is>
      </c>
      <c r="D10090">
        <f>HYPERLINK("https://www.youtube.com/watch?v=EvGkSEuWtaI&amp;t=71s", "Go to time")</f>
        <v/>
      </c>
    </row>
    <row r="10091">
      <c r="A10091">
        <f>HYPERLINK("https://www.youtube.com/watch?v=EvGkSEuWtaI", "Video")</f>
        <v/>
      </c>
      <c r="B10091" t="inlineStr">
        <is>
          <t>1:41</t>
        </is>
      </c>
      <c r="C10091" t="inlineStr">
        <is>
          <t>But then I actually only stuck
to my ambitious training schedule</t>
        </is>
      </c>
      <c r="D10091">
        <f>HYPERLINK("https://www.youtube.com/watch?v=EvGkSEuWtaI&amp;t=101s", "Go to time")</f>
        <v/>
      </c>
    </row>
    <row r="10092">
      <c r="A10092">
        <f>HYPERLINK("https://www.youtube.com/watch?v=EvGkSEuWtaI", "Video")</f>
        <v/>
      </c>
      <c r="B10092" t="inlineStr">
        <is>
          <t>2:12</t>
        </is>
      </c>
      <c r="C10092" t="inlineStr">
        <is>
          <t>to get into a new habit like exercise</t>
        </is>
      </c>
      <c r="D10092">
        <f>HYPERLINK("https://www.youtube.com/watch?v=EvGkSEuWtaI&amp;t=132s", "Go to time")</f>
        <v/>
      </c>
    </row>
    <row r="10093">
      <c r="A10093">
        <f>HYPERLINK("https://www.youtube.com/watch?v=EvGkSEuWtaI", "Video")</f>
        <v/>
      </c>
      <c r="B10093" t="inlineStr">
        <is>
          <t>6:11</t>
        </is>
      </c>
      <c r="C10093" t="inlineStr">
        <is>
          <t>our wildly ambitious behaviors
really are better than nothing.</t>
        </is>
      </c>
      <c r="D10093">
        <f>HYPERLINK("https://www.youtube.com/watch?v=EvGkSEuWtaI&amp;t=371s", "Go to time")</f>
        <v/>
      </c>
    </row>
    <row r="10094">
      <c r="A10094">
        <f>HYPERLINK("https://www.youtube.com/watch?v=EvGkSEuWtaI", "Video")</f>
        <v/>
      </c>
      <c r="B10094" t="inlineStr">
        <is>
          <t>6:56</t>
        </is>
      </c>
      <c r="C10094" t="inlineStr">
        <is>
          <t>If your better-than-nothing habit</t>
        </is>
      </c>
      <c r="D10094">
        <f>HYPERLINK("https://www.youtube.com/watch?v=EvGkSEuWtaI&amp;t=416s", "Go to time")</f>
        <v/>
      </c>
    </row>
    <row r="10095">
      <c r="A10095">
        <f>HYPERLINK("https://www.youtube.com/watch?v=EvGkSEuWtaI", "Video")</f>
        <v/>
      </c>
      <c r="B10095" t="inlineStr">
        <is>
          <t>7:13</t>
        </is>
      </c>
      <c r="C10095" t="inlineStr">
        <is>
          <t>for a new habit,</t>
        </is>
      </c>
      <c r="D10095">
        <f>HYPERLINK("https://www.youtube.com/watch?v=EvGkSEuWtaI&amp;t=433s", "Go to time")</f>
        <v/>
      </c>
    </row>
    <row r="10096">
      <c r="A10096">
        <f>HYPERLINK("https://www.youtube.com/watch?v=EvGkSEuWtaI", "Video")</f>
        <v/>
      </c>
      <c r="B10096" t="inlineStr">
        <is>
          <t>7:18</t>
        </is>
      </c>
      <c r="C10096" t="inlineStr">
        <is>
          <t>more ambitious down the line.</t>
        </is>
      </c>
      <c r="D10096">
        <f>HYPERLINK("https://www.youtube.com/watch?v=EvGkSEuWtaI&amp;t=438s", "Go to time")</f>
        <v/>
      </c>
    </row>
    <row r="10097">
      <c r="A10097">
        <f>HYPERLINK("https://www.youtube.com/watch?v=EvGkSEuWtaI", "Video")</f>
        <v/>
      </c>
      <c r="B10097" t="inlineStr">
        <is>
          <t>7:23</t>
        </is>
      </c>
      <c r="C10097" t="inlineStr">
        <is>
          <t>Well, it's because once we hard wire
a habit into our brains,</t>
        </is>
      </c>
      <c r="D10097">
        <f>HYPERLINK("https://www.youtube.com/watch?v=EvGkSEuWtaI&amp;t=443s", "Go to time")</f>
        <v/>
      </c>
    </row>
    <row r="10098">
      <c r="A10098">
        <f>HYPERLINK("https://www.youtube.com/watch?v=EvGkSEuWtaI", "Video")</f>
        <v/>
      </c>
      <c r="B10098" t="inlineStr">
        <is>
          <t>7:35</t>
        </is>
      </c>
      <c r="C10098" t="inlineStr">
        <is>
          <t>A better-than-nothing habit</t>
        </is>
      </c>
      <c r="D10098">
        <f>HYPERLINK("https://www.youtube.com/watch?v=EvGkSEuWtaI&amp;t=455s", "Go to time")</f>
        <v/>
      </c>
    </row>
    <row r="10099">
      <c r="A10099">
        <f>HYPERLINK("https://www.youtube.com/watch?v=EvGkSEuWtaI", "Video")</f>
        <v/>
      </c>
      <c r="B10099" t="inlineStr">
        <is>
          <t>7:59</t>
        </is>
      </c>
      <c r="C10099" t="inlineStr">
        <is>
          <t>that our habit can begin
to expand organically.</t>
        </is>
      </c>
      <c r="D10099">
        <f>HYPERLINK("https://www.youtube.com/watch?v=EvGkSEuWtaI&amp;t=479s", "Go to time")</f>
        <v/>
      </c>
    </row>
    <row r="10100">
      <c r="A10100">
        <f>HYPERLINK("https://www.youtube.com/watch?v=EvGkSEuWtaI", "Video")</f>
        <v/>
      </c>
      <c r="B10100" t="inlineStr">
        <is>
          <t>8:37</t>
        </is>
      </c>
      <c r="C10100" t="inlineStr">
        <is>
          <t>than our designated
better-than-nothing habit.</t>
        </is>
      </c>
      <c r="D10100">
        <f>HYPERLINK("https://www.youtube.com/watch?v=EvGkSEuWtaI&amp;t=517s", "Go to time")</f>
        <v/>
      </c>
    </row>
    <row r="10101">
      <c r="A10101">
        <f>HYPERLINK("https://www.youtube.com/watch?v=EvGkSEuWtaI", "Video")</f>
        <v/>
      </c>
      <c r="B10101" t="inlineStr">
        <is>
          <t>8:44</t>
        </is>
      </c>
      <c r="C10101" t="inlineStr">
        <is>
          <t>the moment in which you are no longer
willing to do something unambitious</t>
        </is>
      </c>
      <c r="D10101">
        <f>HYPERLINK("https://www.youtube.com/watch?v=EvGkSEuWtaI&amp;t=524s", "Go to time")</f>
        <v/>
      </c>
    </row>
    <row r="10102">
      <c r="A10102">
        <f>HYPERLINK("https://www.youtube.com/watch?v=EvGkSEuWtaI", "Video")</f>
        <v/>
      </c>
      <c r="B10102" t="inlineStr">
        <is>
          <t>9:36</t>
        </is>
      </c>
      <c r="C10102" t="inlineStr">
        <is>
          <t>Fortunately, the whole idea
behind the better-than-nothing habit</t>
        </is>
      </c>
      <c r="D10102">
        <f>HYPERLINK("https://www.youtube.com/watch?v=EvGkSEuWtaI&amp;t=576s", "Go to time")</f>
        <v/>
      </c>
    </row>
    <row r="10103">
      <c r="A10103">
        <f>HYPERLINK("https://www.youtube.com/watch?v=EvGkSEuWtaI", "Video")</f>
        <v/>
      </c>
      <c r="B10103" t="inlineStr">
        <is>
          <t>9:56</t>
        </is>
      </c>
      <c r="C10103" t="inlineStr">
        <is>
          <t>to do something
that is wildly unambitious,</t>
        </is>
      </c>
      <c r="D10103">
        <f>HYPERLINK("https://www.youtube.com/watch?v=EvGkSEuWtaI&amp;t=596s", "Go to time")</f>
        <v/>
      </c>
    </row>
    <row r="10104">
      <c r="A10104">
        <f>HYPERLINK("https://www.youtube.com/watch?v=EvGkSEuWtaI", "Video")</f>
        <v/>
      </c>
      <c r="B10104" t="inlineStr">
        <is>
          <t>10:42</t>
        </is>
      </c>
      <c r="C10104" t="inlineStr">
        <is>
          <t>When we abandon our grand plans
and great ambitions</t>
        </is>
      </c>
      <c r="D10104">
        <f>HYPERLINK("https://www.youtube.com/watch?v=EvGkSEuWtaI&amp;t=642s", "Go to time")</f>
        <v/>
      </c>
    </row>
    <row r="10105">
      <c r="A10105">
        <f>HYPERLINK("https://www.youtube.com/watch?v=EvGkSEuWtaI", "Video")</f>
        <v/>
      </c>
      <c r="B10105" t="inlineStr">
        <is>
          <t>10:55</t>
        </is>
      </c>
      <c r="C10105" t="inlineStr">
        <is>
          <t>that our grand plans and great ambitions</t>
        </is>
      </c>
      <c r="D10105">
        <f>HYPERLINK("https://www.youtube.com/watch?v=EvGkSEuWtaI&amp;t=655s", "Go to time")</f>
        <v/>
      </c>
    </row>
    <row r="10106">
      <c r="A10106">
        <f>HYPERLINK("https://www.youtube.com/watch?v=u4L130DkdOw", "Video")</f>
        <v/>
      </c>
      <c r="B10106" t="inlineStr">
        <is>
          <t>4:59</t>
        </is>
      </c>
      <c r="C10106" t="inlineStr">
        <is>
          <t>Now it looks a bit different, doesn't it?</t>
        </is>
      </c>
      <c r="D10106">
        <f>HYPERLINK("https://www.youtube.com/watch?v=u4L130DkdOw&amp;t=299s", "Go to time")</f>
        <v/>
      </c>
    </row>
    <row r="10107">
      <c r="A10107">
        <f>HYPERLINK("https://www.youtube.com/watch?v=X0DJah-4kAM", "Video")</f>
        <v/>
      </c>
      <c r="B10107" t="inlineStr">
        <is>
          <t>9:33</t>
        </is>
      </c>
      <c r="C10107" t="inlineStr">
        <is>
          <t>And the final step
is to build long-term voting habits.</t>
        </is>
      </c>
      <c r="D10107">
        <f>HYPERLINK("https://www.youtube.com/watch?v=X0DJah-4kAM&amp;t=573s", "Go to time")</f>
        <v/>
      </c>
    </row>
    <row r="10108">
      <c r="A10108">
        <f>HYPERLINK("https://www.youtube.com/watch?v=X0DJah-4kAM", "Video")</f>
        <v/>
      </c>
      <c r="B10108" t="inlineStr">
        <is>
          <t>9:52</t>
        </is>
      </c>
      <c r="C10108" t="inlineStr">
        <is>
          <t>Because, yes, voting can become habitual.</t>
        </is>
      </c>
      <c r="D10108">
        <f>HYPERLINK("https://www.youtube.com/watch?v=X0DJah-4kAM&amp;t=592s", "Go to time")</f>
        <v/>
      </c>
    </row>
    <row r="10109">
      <c r="A10109">
        <f>HYPERLINK("https://www.youtube.com/watch?v=9ILMJYAusa0", "Video")</f>
        <v/>
      </c>
      <c r="B10109" t="inlineStr">
        <is>
          <t>4:11</t>
        </is>
      </c>
      <c r="C10109" t="inlineStr">
        <is>
          <t>If we pay a little bit more
attention to the details,</t>
        </is>
      </c>
      <c r="D10109">
        <f>HYPERLINK("https://www.youtube.com/watch?v=9ILMJYAusa0&amp;t=251s", "Go to time")</f>
        <v/>
      </c>
    </row>
    <row r="10110">
      <c r="A10110">
        <f>HYPERLINK("https://www.youtube.com/watch?v=Myp1sZBxTR8", "Video")</f>
        <v/>
      </c>
      <c r="B10110" t="inlineStr">
        <is>
          <t>0:15</t>
        </is>
      </c>
      <c r="C10110" t="inlineStr">
        <is>
          <t>to participate in an exhibition commemorating</t>
        </is>
      </c>
      <c r="D10110">
        <f>HYPERLINK("https://www.youtube.com/watch?v=Myp1sZBxTR8&amp;t=15s", "Go to time")</f>
        <v/>
      </c>
    </row>
    <row r="10111">
      <c r="A10111">
        <f>HYPERLINK("https://www.youtube.com/watch?v=Cxm1JbeG2tI", "Video")</f>
        <v/>
      </c>
      <c r="B10111" t="inlineStr">
        <is>
          <t>12:17</t>
        </is>
      </c>
      <c r="C10111" t="inlineStr">
        <is>
          <t>it's going to land
just a bit flat in our time.</t>
        </is>
      </c>
      <c r="D10111">
        <f>HYPERLINK("https://www.youtube.com/watch?v=Cxm1JbeG2tI&amp;t=737s", "Go to time")</f>
        <v/>
      </c>
    </row>
    <row r="10112">
      <c r="A10112">
        <f>HYPERLINK("https://www.youtube.com/watch?v=4vYUfKGtJA8", "Video")</f>
        <v/>
      </c>
      <c r="B10112" t="inlineStr">
        <is>
          <t>2:00</t>
        </is>
      </c>
      <c r="C10112" t="inlineStr">
        <is>
          <t>a little bit less convenient,</t>
        </is>
      </c>
      <c r="D10112">
        <f>HYPERLINK("https://www.youtube.com/watch?v=4vYUfKGtJA8&amp;t=120s", "Go to time")</f>
        <v/>
      </c>
    </row>
    <row r="10113">
      <c r="A10113">
        <f>HYPERLINK("https://www.youtube.com/watch?v=4vYUfKGtJA8", "Video")</f>
        <v/>
      </c>
      <c r="B10113" t="inlineStr">
        <is>
          <t>6:13</t>
        </is>
      </c>
      <c r="C10113" t="inlineStr">
        <is>
          <t>to know what the habitat was,
using the sensors from the “Enterprise”,</t>
        </is>
      </c>
      <c r="D10113">
        <f>HYPERLINK("https://www.youtube.com/watch?v=4vYUfKGtJA8&amp;t=373s", "Go to time")</f>
        <v/>
      </c>
    </row>
    <row r="10114">
      <c r="A10114">
        <f>HYPERLINK("https://www.youtube.com/watch?v=4vYUfKGtJA8", "Video")</f>
        <v/>
      </c>
      <c r="B10114" t="inlineStr">
        <is>
          <t>6:21</t>
        </is>
      </c>
      <c r="C10114" t="inlineStr">
        <is>
          <t>Well, I know I'm dating myself
and I'm a bit of a geek,</t>
        </is>
      </c>
      <c r="D10114">
        <f>HYPERLINK("https://www.youtube.com/watch?v=4vYUfKGtJA8&amp;t=381s", "Go to time")</f>
        <v/>
      </c>
    </row>
    <row r="10115">
      <c r="A10115">
        <f>HYPERLINK("https://www.youtube.com/watch?v=5gVTwb3ebAI", "Video")</f>
        <v/>
      </c>
      <c r="B10115" t="inlineStr">
        <is>
          <t>3:02</t>
        </is>
      </c>
      <c r="C10115" t="inlineStr">
        <is>
          <t>For most of us, it's become a habit.</t>
        </is>
      </c>
      <c r="D10115">
        <f>HYPERLINK("https://www.youtube.com/watch?v=5gVTwb3ebAI&amp;t=182s", "Go to time")</f>
        <v/>
      </c>
    </row>
    <row r="10116">
      <c r="A10116">
        <f>HYPERLINK("https://www.youtube.com/watch?v=5gVTwb3ebAI", "Video")</f>
        <v/>
      </c>
      <c r="B10116" t="inlineStr">
        <is>
          <t>3:04</t>
        </is>
      </c>
      <c r="C10116" t="inlineStr">
        <is>
          <t>It's become an advice-giving habit.</t>
        </is>
      </c>
      <c r="D10116">
        <f>HYPERLINK("https://www.youtube.com/watch?v=5gVTwb3ebAI&amp;t=184s", "Go to time")</f>
        <v/>
      </c>
    </row>
    <row r="10117">
      <c r="A10117">
        <f>HYPERLINK("https://www.youtube.com/watch?v=5gVTwb3ebAI", "Video")</f>
        <v/>
      </c>
      <c r="B10117" t="inlineStr">
        <is>
          <t>7:18</t>
        </is>
      </c>
      <c r="C10117" t="inlineStr">
        <is>
          <t>If anybody else takes over control,
even a little bit,</t>
        </is>
      </c>
      <c r="D10117">
        <f>HYPERLINK("https://www.youtube.com/watch?v=5gVTwb3ebAI&amp;t=438s", "Go to time")</f>
        <v/>
      </c>
    </row>
    <row r="10118">
      <c r="A10118">
        <f>HYPERLINK("https://www.youtube.com/watch?v=5gVTwb3ebAI", "Video")</f>
        <v/>
      </c>
      <c r="B10118" t="inlineStr">
        <is>
          <t>8:54</t>
        </is>
      </c>
      <c r="C10118" t="inlineStr">
        <is>
          <t>And what you're looking to do
is replace an old habit,</t>
        </is>
      </c>
      <c r="D10118">
        <f>HYPERLINK("https://www.youtube.com/watch?v=5gVTwb3ebAI&amp;t=534s", "Go to time")</f>
        <v/>
      </c>
    </row>
    <row r="10119">
      <c r="A10119">
        <f>HYPERLINK("https://www.youtube.com/watch?v=5gVTwb3ebAI", "Video")</f>
        <v/>
      </c>
      <c r="B10119" t="inlineStr">
        <is>
          <t>8:56</t>
        </is>
      </c>
      <c r="C10119" t="inlineStr">
        <is>
          <t>the advice-giving habit,</t>
        </is>
      </c>
      <c r="D10119">
        <f>HYPERLINK("https://www.youtube.com/watch?v=5gVTwb3ebAI&amp;t=536s", "Go to time")</f>
        <v/>
      </c>
    </row>
    <row r="10120">
      <c r="A10120">
        <f>HYPERLINK("https://www.youtube.com/watch?v=5gVTwb3ebAI", "Video")</f>
        <v/>
      </c>
      <c r="B10120" t="inlineStr">
        <is>
          <t>8:58</t>
        </is>
      </c>
      <c r="C10120" t="inlineStr">
        <is>
          <t>with a new habit.</t>
        </is>
      </c>
      <c r="D10120">
        <f>HYPERLINK("https://www.youtube.com/watch?v=5gVTwb3ebAI&amp;t=538s", "Go to time")</f>
        <v/>
      </c>
    </row>
    <row r="10121">
      <c r="A10121">
        <f>HYPERLINK("https://www.youtube.com/watch?v=5gVTwb3ebAI", "Video")</f>
        <v/>
      </c>
      <c r="B10121" t="inlineStr">
        <is>
          <t>9:00</t>
        </is>
      </c>
      <c r="C10121" t="inlineStr">
        <is>
          <t>Can you stay curious a little bit longer?</t>
        </is>
      </c>
      <c r="D10121">
        <f>HYPERLINK("https://www.youtube.com/watch?v=5gVTwb3ebAI&amp;t=540s", "Go to time")</f>
        <v/>
      </c>
    </row>
    <row r="10122">
      <c r="A10122">
        <f>HYPERLINK("https://www.youtube.com/watch?v=5gVTwb3ebAI", "Video")</f>
        <v/>
      </c>
      <c r="B10122" t="inlineStr">
        <is>
          <t>9:05</t>
        </is>
      </c>
      <c r="C10122" t="inlineStr">
        <is>
          <t>Can you stay curious a little bit longer?</t>
        </is>
      </c>
      <c r="D10122">
        <f>HYPERLINK("https://www.youtube.com/watch?v=5gVTwb3ebAI&amp;t=545s", "Go to time")</f>
        <v/>
      </c>
    </row>
    <row r="10123">
      <c r="A10123">
        <f>HYPERLINK("https://www.youtube.com/watch?v=5gVTwb3ebAI", "Video")</f>
        <v/>
      </c>
      <c r="B10123" t="inlineStr">
        <is>
          <t>13:30</t>
        </is>
      </c>
      <c r="C10123" t="inlineStr">
        <is>
          <t>So that's the challenge in front of us
to replace an old habit,</t>
        </is>
      </c>
      <c r="D10123">
        <f>HYPERLINK("https://www.youtube.com/watch?v=5gVTwb3ebAI&amp;t=810s", "Go to time")</f>
        <v/>
      </c>
    </row>
    <row r="10124">
      <c r="A10124">
        <f>HYPERLINK("https://www.youtube.com/watch?v=5gVTwb3ebAI", "Video")</f>
        <v/>
      </c>
      <c r="B10124" t="inlineStr">
        <is>
          <t>13:33</t>
        </is>
      </c>
      <c r="C10124" t="inlineStr">
        <is>
          <t>the advice-giving habit,
with a brand new habit,</t>
        </is>
      </c>
      <c r="D10124">
        <f>HYPERLINK("https://www.youtube.com/watch?v=5gVTwb3ebAI&amp;t=813s", "Go to time")</f>
        <v/>
      </c>
    </row>
    <row r="10125">
      <c r="A10125">
        <f>HYPERLINK("https://www.youtube.com/watch?v=5gVTwb3ebAI", "Video")</f>
        <v/>
      </c>
      <c r="B10125" t="inlineStr">
        <is>
          <t>13:36</t>
        </is>
      </c>
      <c r="C10125" t="inlineStr">
        <is>
          <t>staying curious a little bit longer.</t>
        </is>
      </c>
      <c r="D10125">
        <f>HYPERLINK("https://www.youtube.com/watch?v=5gVTwb3ebAI&amp;t=816s", "Go to time")</f>
        <v/>
      </c>
    </row>
    <row r="10126">
      <c r="A10126">
        <f>HYPERLINK("https://www.youtube.com/watch?v=w8lH8tNlAXc", "Video")</f>
        <v/>
      </c>
      <c r="B10126" t="inlineStr">
        <is>
          <t>6:07</t>
        </is>
      </c>
      <c r="C10126" t="inlineStr">
        <is>
          <t>And all of a sudden,
it's not just one little bit,</t>
        </is>
      </c>
      <c r="D10126">
        <f>HYPERLINK("https://www.youtube.com/watch?v=w8lH8tNlAXc&amp;t=367s", "Go to time")</f>
        <v/>
      </c>
    </row>
    <row r="10127">
      <c r="A10127">
        <f>HYPERLINK("https://www.youtube.com/watch?v=w8lH8tNlAXc", "Video")</f>
        <v/>
      </c>
      <c r="B10127" t="inlineStr">
        <is>
          <t>6:10</t>
        </is>
      </c>
      <c r="C10127" t="inlineStr">
        <is>
          <t>it's all these stacked little bits</t>
        </is>
      </c>
      <c r="D10127">
        <f>HYPERLINK("https://www.youtube.com/watch?v=w8lH8tNlAXc&amp;t=370s", "Go to time")</f>
        <v/>
      </c>
    </row>
    <row r="10128">
      <c r="A10128">
        <f>HYPERLINK("https://www.youtube.com/watch?v=WXosPmTQq4o", "Video")</f>
        <v/>
      </c>
      <c r="B10128" t="inlineStr">
        <is>
          <t>0:04</t>
        </is>
      </c>
      <c r="C10128" t="inlineStr">
        <is>
          <t>We have a very expensive habit</t>
        </is>
      </c>
      <c r="D10128">
        <f>HYPERLINK("https://www.youtube.com/watch?v=WXosPmTQq4o&amp;t=4s", "Go to time")</f>
        <v/>
      </c>
    </row>
    <row r="10129">
      <c r="A10129">
        <f>HYPERLINK("https://www.youtube.com/watch?v=LrtlmbkvvEs", "Video")</f>
        <v/>
      </c>
      <c r="B10129" t="inlineStr">
        <is>
          <t>3:03</t>
        </is>
      </c>
      <c r="C10129" t="inlineStr">
        <is>
          <t>is more like seven, plus or minus
two, bits of information.</t>
        </is>
      </c>
      <c r="D10129">
        <f>HYPERLINK("https://www.youtube.com/watch?v=LrtlmbkvvEs&amp;t=183s", "Go to time")</f>
        <v/>
      </c>
    </row>
    <row r="10130">
      <c r="A10130">
        <f>HYPERLINK("https://www.youtube.com/watch?v=LrtlmbkvvEs", "Video")</f>
        <v/>
      </c>
      <c r="B10130" t="inlineStr">
        <is>
          <t>4:02</t>
        </is>
      </c>
      <c r="C10130" t="inlineStr">
        <is>
          <t>Which brings us to another
brain-draining habit</t>
        </is>
      </c>
      <c r="D10130">
        <f>HYPERLINK("https://www.youtube.com/watch?v=LrtlmbkvvEs&amp;t=242s", "Go to time")</f>
        <v/>
      </c>
    </row>
    <row r="10131">
      <c r="A10131">
        <f>HYPERLINK("https://www.youtube.com/watch?v=LrtlmbkvvEs", "Video")</f>
        <v/>
      </c>
      <c r="B10131" t="inlineStr">
        <is>
          <t>5:21</t>
        </is>
      </c>
      <c r="C10131" t="inlineStr">
        <is>
          <t>We've all been in situations
where we feel a bit stressed out</t>
        </is>
      </c>
      <c r="D10131">
        <f>HYPERLINK("https://www.youtube.com/watch?v=LrtlmbkvvEs&amp;t=321s", "Go to time")</f>
        <v/>
      </c>
    </row>
    <row r="10132">
      <c r="A10132">
        <f>HYPERLINK("https://www.youtube.com/watch?v=LrtlmbkvvEs", "Video")</f>
        <v/>
      </c>
      <c r="B10132" t="inlineStr">
        <is>
          <t>7:06</t>
        </is>
      </c>
      <c r="C10132" t="inlineStr">
        <is>
          <t>Because of a process
of competitive inhibition</t>
        </is>
      </c>
      <c r="D10132">
        <f>HYPERLINK("https://www.youtube.com/watch?v=LrtlmbkvvEs&amp;t=426s", "Go to time")</f>
        <v/>
      </c>
    </row>
    <row r="10133">
      <c r="A10133">
        <f>HYPERLINK("https://www.youtube.com/watch?v=LrtlmbkvvEs", "Video")</f>
        <v/>
      </c>
      <c r="B10133" t="inlineStr">
        <is>
          <t>8:14</t>
        </is>
      </c>
      <c r="C10133" t="inlineStr">
        <is>
          <t>instead of staring at the debit machine,</t>
        </is>
      </c>
      <c r="D10133">
        <f>HYPERLINK("https://www.youtube.com/watch?v=LrtlmbkvvEs&amp;t=494s", "Go to time")</f>
        <v/>
      </c>
    </row>
    <row r="10134">
      <c r="A10134">
        <f>HYPERLINK("https://www.youtube.com/watch?v=IFjD3NMv6Kw", "Video")</f>
        <v/>
      </c>
      <c r="B10134" t="inlineStr">
        <is>
          <t>3:06</t>
        </is>
      </c>
      <c r="C10134" t="inlineStr">
        <is>
          <t>of this one shift
in our city-making habit</t>
        </is>
      </c>
      <c r="D10134">
        <f>HYPERLINK("https://www.youtube.com/watch?v=IFjD3NMv6Kw&amp;t=186s", "Go to time")</f>
        <v/>
      </c>
    </row>
    <row r="10135">
      <c r="A10135">
        <f>HYPERLINK("https://www.youtube.com/watch?v=2gOvQIMWbCY", "Video")</f>
        <v/>
      </c>
      <c r="B10135" t="inlineStr">
        <is>
          <t>6:39</t>
        </is>
      </c>
      <c r="C10135" t="inlineStr">
        <is>
          <t>They matured a bit later on
to this idea about consciousness,</t>
        </is>
      </c>
      <c r="D10135">
        <f>HYPERLINK("https://www.youtube.com/watch?v=2gOvQIMWbCY&amp;t=399s", "Go to time")</f>
        <v/>
      </c>
    </row>
    <row r="10136">
      <c r="A10136">
        <f>HYPERLINK("https://www.youtube.com/watch?v=2gOvQIMWbCY", "Video")</f>
        <v/>
      </c>
      <c r="B10136" t="inlineStr">
        <is>
          <t>10:40</t>
        </is>
      </c>
      <c r="C10136" t="inlineStr">
        <is>
          <t>But yeah, I think we inhabit this,</t>
        </is>
      </c>
      <c r="D10136">
        <f>HYPERLINK("https://www.youtube.com/watch?v=2gOvQIMWbCY&amp;t=640s", "Go to time")</f>
        <v/>
      </c>
    </row>
    <row r="10137">
      <c r="A10137">
        <f>HYPERLINK("https://www.youtube.com/watch?v=2gOvQIMWbCY", "Video")</f>
        <v/>
      </c>
      <c r="B10137" t="inlineStr">
        <is>
          <t>12:44</t>
        </is>
      </c>
      <c r="C10137" t="inlineStr">
        <is>
          <t>that derives a little bit
from ideas of the soul.</t>
        </is>
      </c>
      <c r="D10137">
        <f>HYPERLINK("https://www.youtube.com/watch?v=2gOvQIMWbCY&amp;t=764s", "Go to time")</f>
        <v/>
      </c>
    </row>
    <row r="10138">
      <c r="A10138">
        <f>HYPERLINK("https://www.youtube.com/watch?v=2gOvQIMWbCY", "Video")</f>
        <v/>
      </c>
      <c r="B10138" t="inlineStr">
        <is>
          <t>20:35</t>
        </is>
      </c>
      <c r="C10138" t="inlineStr">
        <is>
          <t>a little bit in,</t>
        </is>
      </c>
      <c r="D10138">
        <f>HYPERLINK("https://www.youtube.com/watch?v=2gOvQIMWbCY&amp;t=1235s", "Go to time")</f>
        <v/>
      </c>
    </row>
    <row r="10139">
      <c r="A10139">
        <f>HYPERLINK("https://www.youtube.com/watch?v=2gOvQIMWbCY", "Video")</f>
        <v/>
      </c>
      <c r="B10139" t="inlineStr">
        <is>
          <t>20:38</t>
        </is>
      </c>
      <c r="C10139" t="inlineStr">
        <is>
          <t>it opens a bit of distance between
what it feels like to be me here now,</t>
        </is>
      </c>
      <c r="D10139">
        <f>HYPERLINK("https://www.youtube.com/watch?v=2gOvQIMWbCY&amp;t=1238s", "Go to time")</f>
        <v/>
      </c>
    </row>
    <row r="10140">
      <c r="A10140">
        <f>HYPERLINK("https://www.youtube.com/watch?v=ovKqmRyOGcg", "Video")</f>
        <v/>
      </c>
      <c r="B10140" t="inlineStr">
        <is>
          <t>5:52</t>
        </is>
      </c>
      <c r="C10140" t="inlineStr">
        <is>
          <t>I got bitten by that entrepreneurial bug.</t>
        </is>
      </c>
      <c r="D10140">
        <f>HYPERLINK("https://www.youtube.com/watch?v=ovKqmRyOGcg&amp;t=352s", "Go to time")</f>
        <v/>
      </c>
    </row>
    <row r="10141">
      <c r="A10141">
        <f>HYPERLINK("https://www.youtube.com/watch?v=Vrui-OctNEk", "Video")</f>
        <v/>
      </c>
      <c r="B10141" t="inlineStr">
        <is>
          <t>3:50</t>
        </is>
      </c>
      <c r="C10141" t="inlineStr">
        <is>
          <t>because the US did a really good job
of smudging its history a little bit.</t>
        </is>
      </c>
      <c r="D10141">
        <f>HYPERLINK("https://www.youtube.com/watch?v=Vrui-OctNEk&amp;t=230s", "Go to time")</f>
        <v/>
      </c>
    </row>
    <row r="10142">
      <c r="A10142">
        <f>HYPERLINK("https://www.youtube.com/watch?v=Vrui-OctNEk", "Video")</f>
        <v/>
      </c>
      <c r="B10142" t="inlineStr">
        <is>
          <t>4:00</t>
        </is>
      </c>
      <c r="C10142" t="inlineStr">
        <is>
          <t>So you really should read a little bit
more about what really happened.</t>
        </is>
      </c>
      <c r="D10142">
        <f>HYPERLINK("https://www.youtube.com/watch?v=Vrui-OctNEk&amp;t=240s", "Go to time")</f>
        <v/>
      </c>
    </row>
    <row r="10143">
      <c r="A10143">
        <f>HYPERLINK("https://www.youtube.com/watch?v=ssR-RguvjHo", "Video")</f>
        <v/>
      </c>
      <c r="B10143" t="inlineStr">
        <is>
          <t>0:57</t>
        </is>
      </c>
      <c r="C10143" t="inlineStr">
        <is>
          <t>But I'm here to depart
a little bit from the script</t>
        </is>
      </c>
      <c r="D10143">
        <f>HYPERLINK("https://www.youtube.com/watch?v=ssR-RguvjHo&amp;t=57s", "Go to time")</f>
        <v/>
      </c>
    </row>
    <row r="10144">
      <c r="A10144">
        <f>HYPERLINK("https://www.youtube.com/watch?v=Cz6pXdA4fxQ", "Video")</f>
        <v/>
      </c>
      <c r="B10144" t="inlineStr">
        <is>
          <t>11:27</t>
        </is>
      </c>
      <c r="C10144" t="inlineStr">
        <is>
          <t>and new climate ambition.</t>
        </is>
      </c>
      <c r="D10144">
        <f>HYPERLINK("https://www.youtube.com/watch?v=Cz6pXdA4fxQ&amp;t=687s", "Go to time")</f>
        <v/>
      </c>
    </row>
    <row r="10145">
      <c r="A10145">
        <f>HYPERLINK("https://www.youtube.com/watch?v=n3kNlFMXslo", "Video")</f>
        <v/>
      </c>
      <c r="B10145" t="inlineStr">
        <is>
          <t>0:44</t>
        </is>
      </c>
      <c r="C10145" t="inlineStr">
        <is>
          <t>for saving bits of time here and there.</t>
        </is>
      </c>
      <c r="D10145">
        <f>HYPERLINK("https://www.youtube.com/watch?v=n3kNlFMXslo&amp;t=44s", "Go to time")</f>
        <v/>
      </c>
    </row>
    <row r="10146">
      <c r="A10146">
        <f>HYPERLINK("https://www.youtube.com/watch?v=n3kNlFMXslo", "Video")</f>
        <v/>
      </c>
      <c r="B10146" t="inlineStr">
        <is>
          <t>0:53</t>
        </is>
      </c>
      <c r="C10146" t="inlineStr">
        <is>
          <t>And the idea is that we'll shave
bits of time off everyday activities,</t>
        </is>
      </c>
      <c r="D10146">
        <f>HYPERLINK("https://www.youtube.com/watch?v=n3kNlFMXslo&amp;t=53s", "Go to time")</f>
        <v/>
      </c>
    </row>
    <row r="10147">
      <c r="A10147">
        <f>HYPERLINK("https://www.youtube.com/watch?v=n3kNlFMXslo", "Video")</f>
        <v/>
      </c>
      <c r="B10147" t="inlineStr">
        <is>
          <t>1:41</t>
        </is>
      </c>
      <c r="C10147" t="inlineStr">
        <is>
          <t>Anyway, the idea is we'll save bits
of time here and there, add it up,</t>
        </is>
      </c>
      <c r="D10147">
        <f>HYPERLINK("https://www.youtube.com/watch?v=n3kNlFMXslo&amp;t=101s", "Go to time")</f>
        <v/>
      </c>
    </row>
    <row r="10148">
      <c r="A10148">
        <f>HYPERLINK("https://www.youtube.com/watch?v=n3kNlFMXslo", "Video")</f>
        <v/>
      </c>
      <c r="B10148" t="inlineStr">
        <is>
          <t>6:30</t>
        </is>
      </c>
      <c r="C10148" t="inlineStr">
        <is>
          <t>Bit of a wretched genre
of literature, really,</t>
        </is>
      </c>
      <c r="D10148">
        <f>HYPERLINK("https://www.youtube.com/watch?v=n3kNlFMXslo&amp;t=390s", "Go to time")</f>
        <v/>
      </c>
    </row>
    <row r="10149">
      <c r="A10149">
        <f>HYPERLINK("https://www.youtube.com/watch?v=n3kNlFMXslo", "Video")</f>
        <v/>
      </c>
      <c r="B10149" t="inlineStr">
        <is>
          <t>8:18</t>
        </is>
      </c>
      <c r="C10149" t="inlineStr">
        <is>
          <t>So take a little bit
of time Friday afternoon,</t>
        </is>
      </c>
      <c r="D10149">
        <f>HYPERLINK("https://www.youtube.com/watch?v=n3kNlFMXslo&amp;t=498s", "Go to time")</f>
        <v/>
      </c>
    </row>
    <row r="10150">
      <c r="A10150">
        <f>HYPERLINK("https://www.youtube.com/watch?v=n3kNlFMXslo", "Video")</f>
        <v/>
      </c>
      <c r="B10150" t="inlineStr">
        <is>
          <t>10:34</t>
        </is>
      </c>
      <c r="C10150" t="inlineStr">
        <is>
          <t>But when most of us have
bits of time, what do we do?</t>
        </is>
      </c>
      <c r="D10150">
        <f>HYPERLINK("https://www.youtube.com/watch?v=n3kNlFMXslo&amp;t=634s", "Go to time")</f>
        <v/>
      </c>
    </row>
    <row r="10151">
      <c r="A10151">
        <f>HYPERLINK("https://www.youtube.com/watch?v=n3kNlFMXslo", "Video")</f>
        <v/>
      </c>
      <c r="B10151" t="inlineStr">
        <is>
          <t>10:49</t>
        </is>
      </c>
      <c r="C10151" t="inlineStr">
        <is>
          <t>You can use your bits of time</t>
        </is>
      </c>
      <c r="D10151">
        <f>HYPERLINK("https://www.youtube.com/watch?v=n3kNlFMXslo&amp;t=649s", "Go to time")</f>
        <v/>
      </c>
    </row>
    <row r="10152">
      <c r="A10152">
        <f>HYPERLINK("https://www.youtube.com/watch?v=n3kNlFMXslo", "Video")</f>
        <v/>
      </c>
      <c r="B10152" t="inlineStr">
        <is>
          <t>10:52</t>
        </is>
      </c>
      <c r="C10152" t="inlineStr">
        <is>
          <t>for bits of joy.</t>
        </is>
      </c>
      <c r="D10152">
        <f>HYPERLINK("https://www.youtube.com/watch?v=n3kNlFMXslo&amp;t=652s", "Go to time")</f>
        <v/>
      </c>
    </row>
    <row r="10153">
      <c r="A10153">
        <f>HYPERLINK("https://www.youtube.com/watch?v=wvJTbegktKc", "Video")</f>
        <v/>
      </c>
      <c r="B10153" t="inlineStr">
        <is>
          <t>0:14</t>
        </is>
      </c>
      <c r="C10153" t="inlineStr">
        <is>
          <t>I'm in the habit of saying
I would like it if butterflies could talk,</t>
        </is>
      </c>
      <c r="D10153">
        <f>HYPERLINK("https://www.youtube.com/watch?v=wvJTbegktKc&amp;t=14s", "Go to time")</f>
        <v/>
      </c>
    </row>
    <row r="10154">
      <c r="A10154">
        <f>HYPERLINK("https://www.youtube.com/watch?v=wvJTbegktKc", "Video")</f>
        <v/>
      </c>
      <c r="B10154" t="inlineStr">
        <is>
          <t>2:22</t>
        </is>
      </c>
      <c r="C10154" t="inlineStr">
        <is>
          <t>Habitat loss, pesticides, herbicides
and impacts of climate change.</t>
        </is>
      </c>
      <c r="D10154">
        <f>HYPERLINK("https://www.youtube.com/watch?v=wvJTbegktKc&amp;t=142s", "Go to time")</f>
        <v/>
      </c>
    </row>
    <row r="10155">
      <c r="A10155">
        <f>HYPERLINK("https://www.youtube.com/watch?v=wvJTbegktKc", "Video")</f>
        <v/>
      </c>
      <c r="B10155" t="inlineStr">
        <is>
          <t>2:28</t>
        </is>
      </c>
      <c r="C10155" t="inlineStr">
        <is>
          <t>Habitat loss is very serious,</t>
        </is>
      </c>
      <c r="D10155">
        <f>HYPERLINK("https://www.youtube.com/watch?v=wvJTbegktKc&amp;t=148s", "Go to time")</f>
        <v/>
      </c>
    </row>
    <row r="10156">
      <c r="A10156">
        <f>HYPERLINK("https://www.youtube.com/watch?v=wvJTbegktKc", "Video")</f>
        <v/>
      </c>
      <c r="B10156" t="inlineStr">
        <is>
          <t>7:49</t>
        </is>
      </c>
      <c r="C10156" t="inlineStr">
        <is>
          <t>where we have lost milkweed
due to habitat destruction,</t>
        </is>
      </c>
      <c r="D10156">
        <f>HYPERLINK("https://www.youtube.com/watch?v=wvJTbegktKc&amp;t=469s", "Go to time")</f>
        <v/>
      </c>
    </row>
    <row r="10157">
      <c r="A10157">
        <f>HYPERLINK("https://www.youtube.com/watch?v=wvJTbegktKc", "Video")</f>
        <v/>
      </c>
      <c r="B10157" t="inlineStr">
        <is>
          <t>7:57</t>
        </is>
      </c>
      <c r="C10157" t="inlineStr">
        <is>
          <t>You can create a lot of butterfly habitat
and pollinator habitat on a windowsill.</t>
        </is>
      </c>
      <c r="D10157">
        <f>HYPERLINK("https://www.youtube.com/watch?v=wvJTbegktKc&amp;t=477s", "Go to time")</f>
        <v/>
      </c>
    </row>
    <row r="10158">
      <c r="A10158">
        <f>HYPERLINK("https://www.youtube.com/watch?v=wvJTbegktKc", "Video")</f>
        <v/>
      </c>
      <c r="B10158" t="inlineStr">
        <is>
          <t>10:53</t>
        </is>
      </c>
      <c r="C10158" t="inlineStr">
        <is>
          <t>which went extinct when it lost
its habitat in Golden Gate Park.</t>
        </is>
      </c>
      <c r="D10158">
        <f>HYPERLINK("https://www.youtube.com/watch?v=wvJTbegktKc&amp;t=653s", "Go to time")</f>
        <v/>
      </c>
    </row>
    <row r="10159">
      <c r="A10159">
        <f>HYPERLINK("https://www.youtube.com/watch?v=RmXrwKydM9k", "Video")</f>
        <v/>
      </c>
      <c r="B10159" t="inlineStr">
        <is>
          <t>5:03</t>
        </is>
      </c>
      <c r="C10159" t="inlineStr">
        <is>
          <t>and he looks a little bit suspicious,</t>
        </is>
      </c>
      <c r="D10159">
        <f>HYPERLINK("https://www.youtube.com/watch?v=RmXrwKydM9k&amp;t=303s", "Go to time")</f>
        <v/>
      </c>
    </row>
    <row r="10160">
      <c r="A10160">
        <f>HYPERLINK("https://www.youtube.com/watch?v=RmXrwKydM9k", "Video")</f>
        <v/>
      </c>
      <c r="B10160" t="inlineStr">
        <is>
          <t>15:06</t>
        </is>
      </c>
      <c r="C10160" t="inlineStr">
        <is>
          <t>And the kids were every bit
as damaged as the guy who shot them."</t>
        </is>
      </c>
      <c r="D10160">
        <f>HYPERLINK("https://www.youtube.com/watch?v=RmXrwKydM9k&amp;t=906s", "Go to time")</f>
        <v/>
      </c>
    </row>
    <row r="10161">
      <c r="A10161">
        <f>HYPERLINK("https://www.youtube.com/watch?v=QuR969uMICM", "Video")</f>
        <v/>
      </c>
      <c r="B10161" t="inlineStr">
        <is>
          <t>4:05</t>
        </is>
      </c>
      <c r="C10161" t="inlineStr">
        <is>
          <t>A regular computer simulates
heads or tails of a coin as a bit,</t>
        </is>
      </c>
      <c r="D10161">
        <f>HYPERLINK("https://www.youtube.com/watch?v=QuR969uMICM&amp;t=245s", "Go to time")</f>
        <v/>
      </c>
    </row>
    <row r="10162">
      <c r="A10162">
        <f>HYPERLINK("https://www.youtube.com/watch?v=QuR969uMICM", "Video")</f>
        <v/>
      </c>
      <c r="B10162" t="inlineStr">
        <is>
          <t>4:19</t>
        </is>
      </c>
      <c r="C10162" t="inlineStr">
        <is>
          <t>A quantum bit has a more fluid,
nonbinary identity.</t>
        </is>
      </c>
      <c r="D10162">
        <f>HYPERLINK("https://www.youtube.com/watch?v=QuR969uMICM&amp;t=259s", "Go to time")</f>
        <v/>
      </c>
    </row>
    <row r="10163">
      <c r="A10163">
        <f>HYPERLINK("https://www.youtube.com/watch?v=QuR969uMICM", "Video")</f>
        <v/>
      </c>
      <c r="B10163" t="inlineStr">
        <is>
          <t>5:34</t>
        </is>
      </c>
      <c r="C10163" t="inlineStr">
        <is>
          <t>If you think this is all a bit weird,
you are absolutely right.</t>
        </is>
      </c>
      <c r="D10163">
        <f>HYPERLINK("https://www.youtube.com/watch?v=QuR969uMICM&amp;t=334s", "Go to time")</f>
        <v/>
      </c>
    </row>
    <row r="10164">
      <c r="A10164">
        <f>HYPERLINK("https://www.youtube.com/watch?v=nJd_2mJ4u-I", "Video")</f>
        <v/>
      </c>
      <c r="B10164" t="inlineStr">
        <is>
          <t>3:06</t>
        </is>
      </c>
      <c r="C10164" t="inlineStr">
        <is>
          <t>What I'm going to do now is take you
basically on a little bit of a journey</t>
        </is>
      </c>
      <c r="D10164">
        <f>HYPERLINK("https://www.youtube.com/watch?v=nJd_2mJ4u-I&amp;t=186s", "Go to time")</f>
        <v/>
      </c>
    </row>
    <row r="10165">
      <c r="A10165">
        <f>HYPERLINK("https://www.youtube.com/watch?v=nJd_2mJ4u-I", "Video")</f>
        <v/>
      </c>
      <c r="B10165" t="inlineStr">
        <is>
          <t>6:41</t>
        </is>
      </c>
      <c r="C10165" t="inlineStr">
        <is>
          <t>But it's still why you're hearing
a bit of an echo and stuff.</t>
        </is>
      </c>
      <c r="D10165">
        <f>HYPERLINK("https://www.youtube.com/watch?v=nJd_2mJ4u-I&amp;t=401s", "Go to time")</f>
        <v/>
      </c>
    </row>
    <row r="10166">
      <c r="A10166">
        <f>HYPERLINK("https://www.youtube.com/watch?v=b2Jv8vC-m3g", "Video")</f>
        <v/>
      </c>
      <c r="B10166" t="inlineStr">
        <is>
          <t>4:32</t>
        </is>
      </c>
      <c r="C10166" t="inlineStr">
        <is>
          <t>Our studies suggest that having
a bit of one antibody won't be enough.</t>
        </is>
      </c>
      <c r="D10166">
        <f>HYPERLINK("https://www.youtube.com/watch?v=b2Jv8vC-m3g&amp;t=272s", "Go to time")</f>
        <v/>
      </c>
    </row>
    <row r="10167">
      <c r="A10167">
        <f>HYPERLINK("https://www.youtube.com/watch?v=b2Jv8vC-m3g", "Video")</f>
        <v/>
      </c>
      <c r="B10167" t="inlineStr">
        <is>
          <t>6:41</t>
        </is>
      </c>
      <c r="C10167" t="inlineStr">
        <is>
          <t>Tell me, I know you
mentioned this a little bit,</t>
        </is>
      </c>
      <c r="D10167">
        <f>HYPERLINK("https://www.youtube.com/watch?v=b2Jv8vC-m3g&amp;t=401s", "Go to time")</f>
        <v/>
      </c>
    </row>
    <row r="10168">
      <c r="A10168">
        <f>HYPERLINK("https://www.youtube.com/watch?v=sVtIuDKFO1c", "Video")</f>
        <v/>
      </c>
      <c r="B10168" t="inlineStr">
        <is>
          <t>5:07</t>
        </is>
      </c>
      <c r="C10168" t="inlineStr">
        <is>
          <t>to help kids realize
their college ambitions?</t>
        </is>
      </c>
      <c r="D10168">
        <f>HYPERLINK("https://www.youtube.com/watch?v=sVtIuDKFO1c&amp;t=307s", "Go to time")</f>
        <v/>
      </c>
    </row>
    <row r="10169">
      <c r="A10169">
        <f>HYPERLINK("https://www.youtube.com/watch?v=FdbJHeqQh00", "Video")</f>
        <v/>
      </c>
      <c r="B10169" t="inlineStr">
        <is>
          <t>5:28</t>
        </is>
      </c>
      <c r="C10169" t="inlineStr">
        <is>
          <t>protect all that inhabit it.</t>
        </is>
      </c>
      <c r="D10169">
        <f>HYPERLINK("https://www.youtube.com/watch?v=FdbJHeqQh00&amp;t=328s", "Go to time")</f>
        <v/>
      </c>
    </row>
    <row r="10170">
      <c r="A10170">
        <f>HYPERLINK("https://www.youtube.com/watch?v=A3L6OZdnVWE", "Video")</f>
        <v/>
      </c>
      <c r="B10170" t="inlineStr">
        <is>
          <t>3:57</t>
        </is>
      </c>
      <c r="C10170" t="inlineStr">
        <is>
          <t>So if you're like me and a bit forgetful,</t>
        </is>
      </c>
      <c r="D10170">
        <f>HYPERLINK("https://www.youtube.com/watch?v=A3L6OZdnVWE&amp;t=237s", "Go to time")</f>
        <v/>
      </c>
    </row>
    <row r="10171">
      <c r="A10171">
        <f>HYPERLINK("https://www.youtube.com/watch?v=Sv5QitqbxJw", "Video")</f>
        <v/>
      </c>
      <c r="B10171" t="inlineStr">
        <is>
          <t>3:28</t>
        </is>
      </c>
      <c r="C10171" t="inlineStr">
        <is>
          <t>Now, I want to talk to you
a little bit about the risks</t>
        </is>
      </c>
      <c r="D10171">
        <f>HYPERLINK("https://www.youtube.com/watch?v=Sv5QitqbxJw&amp;t=208s", "Go to time")</f>
        <v/>
      </c>
    </row>
    <row r="10172">
      <c r="A10172">
        <f>HYPERLINK("https://www.youtube.com/watch?v=Sv5QitqbxJw", "Video")</f>
        <v/>
      </c>
      <c r="B10172" t="inlineStr">
        <is>
          <t>9:19</t>
        </is>
      </c>
      <c r="C10172" t="inlineStr">
        <is>
          <t>there is a little bit of hope.</t>
        </is>
      </c>
      <c r="D10172">
        <f>HYPERLINK("https://www.youtube.com/watch?v=Sv5QitqbxJw&amp;t=559s", "Go to time")</f>
        <v/>
      </c>
    </row>
    <row r="10173">
      <c r="A10173">
        <f>HYPERLINK("https://www.youtube.com/watch?v=Fc1yN6uxZfQ", "Video")</f>
        <v/>
      </c>
      <c r="B10173" t="inlineStr">
        <is>
          <t>10:35</t>
        </is>
      </c>
      <c r="C10173" t="inlineStr">
        <is>
          <t>He has become a bit of a media star
because he goes to the film openings,</t>
        </is>
      </c>
      <c r="D10173">
        <f>HYPERLINK("https://www.youtube.com/watch?v=Fc1yN6uxZfQ&amp;t=635s", "Go to time")</f>
        <v/>
      </c>
    </row>
    <row r="10174">
      <c r="A10174">
        <f>HYPERLINK("https://www.youtube.com/watch?v=Fc1yN6uxZfQ", "Video")</f>
        <v/>
      </c>
      <c r="B10174" t="inlineStr">
        <is>
          <t>17:25</t>
        </is>
      </c>
      <c r="C10174" t="inlineStr">
        <is>
          <t>I'm asking you, carve out
a little bit of time in your brains</t>
        </is>
      </c>
      <c r="D10174">
        <f>HYPERLINK("https://www.youtube.com/watch?v=Fc1yN6uxZfQ&amp;t=1045s", "Go to time")</f>
        <v/>
      </c>
    </row>
    <row r="10175">
      <c r="A10175">
        <f>HYPERLINK("https://www.youtube.com/watch?v=Fc1yN6uxZfQ", "Video")</f>
        <v/>
      </c>
      <c r="B10175" t="inlineStr">
        <is>
          <t>17:34</t>
        </is>
      </c>
      <c r="C10175" t="inlineStr">
        <is>
          <t>Think a little bit and work with us</t>
        </is>
      </c>
      <c r="D10175">
        <f>HYPERLINK("https://www.youtube.com/watch?v=Fc1yN6uxZfQ&amp;t=1054s", "Go to time")</f>
        <v/>
      </c>
    </row>
    <row r="10176">
      <c r="A10176">
        <f>HYPERLINK("https://www.youtube.com/watch?v=Fc1yN6uxZfQ", "Video")</f>
        <v/>
      </c>
      <c r="B10176" t="inlineStr">
        <is>
          <t>20:06</t>
        </is>
      </c>
      <c r="C10176" t="inlineStr">
        <is>
          <t>gave us a little bit of money,</t>
        </is>
      </c>
      <c r="D10176">
        <f>HYPERLINK("https://www.youtube.com/watch?v=Fc1yN6uxZfQ&amp;t=1206s", "Go to time")</f>
        <v/>
      </c>
    </row>
    <row r="10177">
      <c r="A10177">
        <f>HYPERLINK("https://www.youtube.com/watch?v=Fc1yN6uxZfQ", "Video")</f>
        <v/>
      </c>
      <c r="B10177" t="inlineStr">
        <is>
          <t>20:07</t>
        </is>
      </c>
      <c r="C10177" t="inlineStr">
        <is>
          <t>we went out and raised a little bit
more money, a hundred million,</t>
        </is>
      </c>
      <c r="D10177">
        <f>HYPERLINK("https://www.youtube.com/watch?v=Fc1yN6uxZfQ&amp;t=1207s", "Go to time")</f>
        <v/>
      </c>
    </row>
    <row r="10178">
      <c r="A10178">
        <f>HYPERLINK("https://www.youtube.com/watch?v=BsVhgta2WAo", "Video")</f>
        <v/>
      </c>
      <c r="B10178" t="inlineStr">
        <is>
          <t>7:51</t>
        </is>
      </c>
      <c r="C10178" t="inlineStr">
        <is>
          <t>you can see the little
yellow bit in this chart,</t>
        </is>
      </c>
      <c r="D10178">
        <f>HYPERLINK("https://www.youtube.com/watch?v=BsVhgta2WAo&amp;t=471s", "Go to time")</f>
        <v/>
      </c>
    </row>
    <row r="10179">
      <c r="A10179">
        <f>HYPERLINK("https://www.youtube.com/watch?v=BsVhgta2WAo", "Video")</f>
        <v/>
      </c>
      <c r="B10179" t="inlineStr">
        <is>
          <t>8:10</t>
        </is>
      </c>
      <c r="C10179" t="inlineStr">
        <is>
          <t>Well, do you see the little pink bit
in 2022 and 2023.</t>
        </is>
      </c>
      <c r="D10179">
        <f>HYPERLINK("https://www.youtube.com/watch?v=BsVhgta2WAo&amp;t=490s", "Go to time")</f>
        <v/>
      </c>
    </row>
    <row r="10180">
      <c r="A10180">
        <f>HYPERLINK("https://www.youtube.com/watch?v=1AT5klu_yAQ", "Video")</f>
        <v/>
      </c>
      <c r="B10180" t="inlineStr">
        <is>
          <t>3:31</t>
        </is>
      </c>
      <c r="C10180" t="inlineStr">
        <is>
          <t>you do a little bit of work still,</t>
        </is>
      </c>
      <c r="D10180">
        <f>HYPERLINK("https://www.youtube.com/watch?v=1AT5klu_yAQ&amp;t=211s", "Go to time")</f>
        <v/>
      </c>
    </row>
    <row r="10181">
      <c r="A10181">
        <f>HYPERLINK("https://www.youtube.com/watch?v=1AT5klu_yAQ", "Video")</f>
        <v/>
      </c>
      <c r="B10181" t="inlineStr">
        <is>
          <t>8:06</t>
        </is>
      </c>
      <c r="C10181" t="inlineStr">
        <is>
          <t>But here is where it went
a little bit off the rails</t>
        </is>
      </c>
      <c r="D10181">
        <f>HYPERLINK("https://www.youtube.com/watch?v=1AT5klu_yAQ&amp;t=486s", "Go to time")</f>
        <v/>
      </c>
    </row>
    <row r="10182">
      <c r="A10182">
        <f>HYPERLINK("https://www.youtube.com/watch?v=1AT5klu_yAQ", "Video")</f>
        <v/>
      </c>
      <c r="B10182" t="inlineStr">
        <is>
          <t>8:11</t>
        </is>
      </c>
      <c r="C10182" t="inlineStr">
        <is>
          <t>and I felt a little bit
conflicted in all of this.</t>
        </is>
      </c>
      <c r="D10182">
        <f>HYPERLINK("https://www.youtube.com/watch?v=1AT5klu_yAQ&amp;t=491s", "Go to time")</f>
        <v/>
      </c>
    </row>
    <row r="10183">
      <c r="A10183">
        <f>HYPERLINK("https://www.youtube.com/watch?v=-hY9QSdaReY", "Video")</f>
        <v/>
      </c>
      <c r="B10183" t="inlineStr">
        <is>
          <t>2:39</t>
        </is>
      </c>
      <c r="C10183" t="inlineStr">
        <is>
          <t>We can only see
an itty bitty, tiny portion</t>
        </is>
      </c>
      <c r="D10183">
        <f>HYPERLINK("https://www.youtube.com/watch?v=-hY9QSdaReY&amp;t=159s", "Go to time")</f>
        <v/>
      </c>
    </row>
    <row r="10184">
      <c r="A10184">
        <f>HYPERLINK("https://www.youtube.com/watch?v=mwoLhdHRt_0", "Video")</f>
        <v/>
      </c>
      <c r="B10184" t="inlineStr">
        <is>
          <t>1:03</t>
        </is>
      </c>
      <c r="C10184" t="inlineStr">
        <is>
          <t>let's talk a bit about
the metaphorical heart.</t>
        </is>
      </c>
      <c r="D10184">
        <f>HYPERLINK("https://www.youtube.com/watch?v=mwoLhdHRt_0&amp;t=63s", "Go to time")</f>
        <v/>
      </c>
    </row>
    <row r="10185">
      <c r="A10185">
        <f>HYPERLINK("https://www.youtube.com/watch?v=mwoLhdHRt_0", "Video")</f>
        <v/>
      </c>
      <c r="B10185" t="inlineStr">
        <is>
          <t>4:43</t>
        </is>
      </c>
      <c r="C10185" t="inlineStr">
        <is>
          <t>Maybe even a bit relieved.</t>
        </is>
      </c>
      <c r="D10185">
        <f>HYPERLINK("https://www.youtube.com/watch?v=mwoLhdHRt_0&amp;t=283s", "Go to time")</f>
        <v/>
      </c>
    </row>
    <row r="10186">
      <c r="A10186">
        <f>HYPERLINK("https://www.youtube.com/watch?v=mwoLhdHRt_0", "Video")</f>
        <v/>
      </c>
      <c r="B10186" t="inlineStr">
        <is>
          <t>9:30</t>
        </is>
      </c>
      <c r="C10186" t="inlineStr">
        <is>
          <t>researchers fed caged rabbits
a high-cholesterol diet</t>
        </is>
      </c>
      <c r="D10186">
        <f>HYPERLINK("https://www.youtube.com/watch?v=mwoLhdHRt_0&amp;t=570s", "Go to time")</f>
        <v/>
      </c>
    </row>
    <row r="10187">
      <c r="A10187">
        <f>HYPERLINK("https://www.youtube.com/watch?v=mwoLhdHRt_0", "Video")</f>
        <v/>
      </c>
      <c r="B10187" t="inlineStr">
        <is>
          <t>9:38</t>
        </is>
      </c>
      <c r="C10187" t="inlineStr">
        <is>
          <t>Surprisingly, they found that some rabbits
developed a lot more disease than others,</t>
        </is>
      </c>
      <c r="D10187">
        <f>HYPERLINK("https://www.youtube.com/watch?v=mwoLhdHRt_0&amp;t=578s", "Go to time")</f>
        <v/>
      </c>
    </row>
    <row r="10188">
      <c r="A10188">
        <f>HYPERLINK("https://www.youtube.com/watch?v=mwoLhdHRt_0", "Video")</f>
        <v/>
      </c>
      <c r="B10188" t="inlineStr">
        <is>
          <t>9:45</t>
        </is>
      </c>
      <c r="C10188" t="inlineStr">
        <is>
          <t>The rabbits had very similar diet,
environment and genetic makeup.</t>
        </is>
      </c>
      <c r="D10188">
        <f>HYPERLINK("https://www.youtube.com/watch?v=mwoLhdHRt_0&amp;t=585s", "Go to time")</f>
        <v/>
      </c>
    </row>
    <row r="10189">
      <c r="A10189">
        <f>HYPERLINK("https://www.youtube.com/watch?v=mwoLhdHRt_0", "Video")</f>
        <v/>
      </c>
      <c r="B10189" t="inlineStr">
        <is>
          <t>9:54</t>
        </is>
      </c>
      <c r="C10189" t="inlineStr">
        <is>
          <t>how frequently the technician
interacted with the rabbits.</t>
        </is>
      </c>
      <c r="D10189">
        <f>HYPERLINK("https://www.youtube.com/watch?v=mwoLhdHRt_0&amp;t=594s", "Go to time")</f>
        <v/>
      </c>
    </row>
    <row r="10190">
      <c r="A10190">
        <f>HYPERLINK("https://www.youtube.com/watch?v=mwoLhdHRt_0", "Video")</f>
        <v/>
      </c>
      <c r="B10190" t="inlineStr">
        <is>
          <t>10:00</t>
        </is>
      </c>
      <c r="C10190" t="inlineStr">
        <is>
          <t>dividing the rabbits into two groups.</t>
        </is>
      </c>
      <c r="D10190">
        <f>HYPERLINK("https://www.youtube.com/watch?v=mwoLhdHRt_0&amp;t=600s", "Go to time")</f>
        <v/>
      </c>
    </row>
    <row r="10191">
      <c r="A10191">
        <f>HYPERLINK("https://www.youtube.com/watch?v=mwoLhdHRt_0", "Video")</f>
        <v/>
      </c>
      <c r="B10191" t="inlineStr">
        <is>
          <t>10:05</t>
        </is>
      </c>
      <c r="C10191" t="inlineStr">
        <is>
          <t>But in one group, the rabbits
were removed from their cages,</t>
        </is>
      </c>
      <c r="D10191">
        <f>HYPERLINK("https://www.youtube.com/watch?v=mwoLhdHRt_0&amp;t=605s", "Go to time")</f>
        <v/>
      </c>
    </row>
    <row r="10192">
      <c r="A10192">
        <f>HYPERLINK("https://www.youtube.com/watch?v=mwoLhdHRt_0", "Video")</f>
        <v/>
      </c>
      <c r="B10192" t="inlineStr">
        <is>
          <t>10:14</t>
        </is>
      </c>
      <c r="C10192" t="inlineStr">
        <is>
          <t>and in the other group,
the rabbits remained in their cages</t>
        </is>
      </c>
      <c r="D10192">
        <f>HYPERLINK("https://www.youtube.com/watch?v=mwoLhdHRt_0&amp;t=614s", "Go to time")</f>
        <v/>
      </c>
    </row>
    <row r="10193">
      <c r="A10193">
        <f>HYPERLINK("https://www.youtube.com/watch?v=mwoLhdHRt_0", "Video")</f>
        <v/>
      </c>
      <c r="B10193" t="inlineStr">
        <is>
          <t>10:22</t>
        </is>
      </c>
      <c r="C10193" t="inlineStr">
        <is>
          <t>the researchers found
that the rabbits in the first group,</t>
        </is>
      </c>
      <c r="D10193">
        <f>HYPERLINK("https://www.youtube.com/watch?v=mwoLhdHRt_0&amp;t=622s", "Go to time")</f>
        <v/>
      </c>
    </row>
    <row r="10194">
      <c r="A10194">
        <f>HYPERLINK("https://www.youtube.com/watch?v=mwoLhdHRt_0", "Video")</f>
        <v/>
      </c>
      <c r="B10194" t="inlineStr">
        <is>
          <t>10:30</t>
        </is>
      </c>
      <c r="C10194" t="inlineStr">
        <is>
          <t>had 60 percent less aortic disease
than rabbits in the other group,</t>
        </is>
      </c>
      <c r="D10194">
        <f>HYPERLINK("https://www.youtube.com/watch?v=mwoLhdHRt_0&amp;t=630s", "Go to time")</f>
        <v/>
      </c>
    </row>
    <row r="10195">
      <c r="A10195">
        <f>HYPERLINK("https://www.youtube.com/watch?v=mwoLhdHRt_0", "Video")</f>
        <v/>
      </c>
      <c r="B10195" t="inlineStr">
        <is>
          <t>13:08</t>
        </is>
      </c>
      <c r="C10195" t="inlineStr">
        <is>
          <t>It's certainly possible that stress
leads to unhealthy habits,</t>
        </is>
      </c>
      <c r="D10195">
        <f>HYPERLINK("https://www.youtube.com/watch?v=mwoLhdHRt_0&amp;t=788s", "Go to time")</f>
        <v/>
      </c>
    </row>
    <row r="10196">
      <c r="A10196">
        <f>HYPERLINK("https://www.youtube.com/watch?v=DVO0KOHA614", "Video")</f>
        <v/>
      </c>
      <c r="B10196" t="inlineStr">
        <is>
          <t>3:16</t>
        </is>
      </c>
      <c r="C10196" t="inlineStr">
        <is>
          <t>talent and ambition to get there
who will never be able to make it.</t>
        </is>
      </c>
      <c r="D10196">
        <f>HYPERLINK("https://www.youtube.com/watch?v=DVO0KOHA614&amp;t=196s", "Go to time")</f>
        <v/>
      </c>
    </row>
    <row r="10197">
      <c r="A10197">
        <f>HYPERLINK("https://www.youtube.com/watch?v=I23D7REnuSk", "Video")</f>
        <v/>
      </c>
      <c r="B10197" t="inlineStr">
        <is>
          <t>0:10</t>
        </is>
      </c>
      <c r="C10197" t="inlineStr">
        <is>
          <t>could you start by just telling us
a little bit about Vera</t>
        </is>
      </c>
      <c r="D10197">
        <f>HYPERLINK("https://www.youtube.com/watch?v=I23D7REnuSk&amp;t=10s", "Go to time")</f>
        <v/>
      </c>
    </row>
    <row r="10198">
      <c r="A10198">
        <f>HYPERLINK("https://www.youtube.com/watch?v=I23D7REnuSk", "Video")</f>
        <v/>
      </c>
      <c r="B10198" t="inlineStr">
        <is>
          <t>0:26</t>
        </is>
      </c>
      <c r="C10198" t="inlineStr">
        <is>
          <t>is a little bit of a misnomer.</t>
        </is>
      </c>
      <c r="D10198">
        <f>HYPERLINK("https://www.youtube.com/watch?v=I23D7REnuSk&amp;t=26s", "Go to time")</f>
        <v/>
      </c>
    </row>
    <row r="10199">
      <c r="A10199">
        <f>HYPERLINK("https://www.youtube.com/watch?v=I23D7REnuSk", "Video")</f>
        <v/>
      </c>
      <c r="B10199" t="inlineStr">
        <is>
          <t>2:01</t>
        </is>
      </c>
      <c r="C10199" t="inlineStr">
        <is>
          <t>Maybe you could describe
a little bit about that</t>
        </is>
      </c>
      <c r="D10199">
        <f>HYPERLINK("https://www.youtube.com/watch?v=I23D7REnuSk&amp;t=121s", "Go to time")</f>
        <v/>
      </c>
    </row>
    <row r="10200">
      <c r="A10200">
        <f>HYPERLINK("https://www.youtube.com/watch?v=I23D7REnuSk", "Video")</f>
        <v/>
      </c>
      <c r="B10200" t="inlineStr">
        <is>
          <t>2:05</t>
        </is>
      </c>
      <c r="C10200" t="inlineStr">
        <is>
          <t>NT: Well, there's a little bit
of history to tell.</t>
        </is>
      </c>
      <c r="D10200">
        <f>HYPERLINK("https://www.youtube.com/watch?v=I23D7REnuSk&amp;t=125s", "Go to time")</f>
        <v/>
      </c>
    </row>
    <row r="10201">
      <c r="A10201">
        <f>HYPERLINK("https://www.youtube.com/watch?v=Z7v8x69AtwY", "Video")</f>
        <v/>
      </c>
      <c r="B10201" t="inlineStr">
        <is>
          <t>0:27</t>
        </is>
      </c>
      <c r="C10201" t="inlineStr">
        <is>
          <t>Let me start with a bit of history.</t>
        </is>
      </c>
      <c r="D10201">
        <f>HYPERLINK("https://www.youtube.com/watch?v=Z7v8x69AtwY&amp;t=27s", "Go to time")</f>
        <v/>
      </c>
    </row>
    <row r="10202">
      <c r="A10202">
        <f>HYPERLINK("https://www.youtube.com/watch?v=9-W8DlzTPzw", "Video")</f>
        <v/>
      </c>
      <c r="B10202" t="inlineStr">
        <is>
          <t>0:24</t>
        </is>
      </c>
      <c r="C10202" t="inlineStr">
        <is>
          <t>It's a bit more complicated than that.</t>
        </is>
      </c>
      <c r="D10202">
        <f>HYPERLINK("https://www.youtube.com/watch?v=9-W8DlzTPzw&amp;t=24s", "Go to time")</f>
        <v/>
      </c>
    </row>
    <row r="10203">
      <c r="A10203">
        <f>HYPERLINK("https://www.youtube.com/watch?v=9-W8DlzTPzw", "Video")</f>
        <v/>
      </c>
      <c r="B10203" t="inlineStr">
        <is>
          <t>4:33</t>
        </is>
      </c>
      <c r="C10203" t="inlineStr">
        <is>
          <t>that required a fair bit
of capital and investment.</t>
        </is>
      </c>
      <c r="D10203">
        <f>HYPERLINK("https://www.youtube.com/watch?v=9-W8DlzTPzw&amp;t=273s", "Go to time")</f>
        <v/>
      </c>
    </row>
    <row r="10204">
      <c r="A10204">
        <f>HYPERLINK("https://www.youtube.com/watch?v=_VVAu8QsTu8", "Video")</f>
        <v/>
      </c>
      <c r="B10204" t="inlineStr">
        <is>
          <t>1:48</t>
        </is>
      </c>
      <c r="C10204" t="inlineStr">
        <is>
          <t>So it is basically helping
to keep the planet habitable,</t>
        </is>
      </c>
      <c r="D10204">
        <f>HYPERLINK("https://www.youtube.com/watch?v=_VVAu8QsTu8&amp;t=108s", "Go to time")</f>
        <v/>
      </c>
    </row>
    <row r="10205">
      <c r="A10205">
        <f>HYPERLINK("https://www.youtube.com/watch?v=YkYdxjaqt58", "Video")</f>
        <v/>
      </c>
      <c r="B10205" t="inlineStr">
        <is>
          <t>1:46</t>
        </is>
      </c>
      <c r="C10205" t="inlineStr">
        <is>
          <t>When you have a seizure,
it's a bit of unusual electrical activity,</t>
        </is>
      </c>
      <c r="D10205">
        <f>HYPERLINK("https://www.youtube.com/watch?v=YkYdxjaqt58&amp;t=106s", "Go to time")</f>
        <v/>
      </c>
    </row>
    <row r="10206">
      <c r="A10206">
        <f>HYPERLINK("https://www.youtube.com/watch?v=YkYdxjaqt58", "Video")</f>
        <v/>
      </c>
      <c r="B10206" t="inlineStr">
        <is>
          <t>4:43</t>
        </is>
      </c>
      <c r="C10206" t="inlineStr">
        <is>
          <t>Let's zoom in a little bit here.</t>
        </is>
      </c>
      <c r="D10206">
        <f>HYPERLINK("https://www.youtube.com/watch?v=YkYdxjaqt58&amp;t=283s", "Go to time")</f>
        <v/>
      </c>
    </row>
    <row r="10207">
      <c r="A10207">
        <f>HYPERLINK("https://www.youtube.com/watch?v=YkYdxjaqt58", "Video")</f>
        <v/>
      </c>
      <c r="B10207" t="inlineStr">
        <is>
          <t>5:07</t>
        </is>
      </c>
      <c r="C10207" t="inlineStr">
        <is>
          <t>and while there's still a bit of a mystery</t>
        </is>
      </c>
      <c r="D10207">
        <f>HYPERLINK("https://www.youtube.com/watch?v=YkYdxjaqt58&amp;t=307s", "Go to time")</f>
        <v/>
      </c>
    </row>
    <row r="10208">
      <c r="A10208">
        <f>HYPERLINK("https://www.youtube.com/watch?v=sFIDCtRX_-o", "Video")</f>
        <v/>
      </c>
      <c r="B10208" t="inlineStr">
        <is>
          <t>4:08</t>
        </is>
      </c>
      <c r="C10208" t="inlineStr">
        <is>
          <t>the orbits around Earth,</t>
        </is>
      </c>
      <c r="D10208">
        <f>HYPERLINK("https://www.youtube.com/watch?v=sFIDCtRX_-o&amp;t=248s", "Go to time")</f>
        <v/>
      </c>
    </row>
    <row r="10209">
      <c r="A10209">
        <f>HYPERLINK("https://www.youtube.com/watch?v=HXbsVbFAczg", "Video")</f>
        <v/>
      </c>
      <c r="B10209" t="inlineStr">
        <is>
          <t>1:03</t>
        </is>
      </c>
      <c r="C10209" t="inlineStr">
        <is>
          <t>probably are a little bit shocking.</t>
        </is>
      </c>
      <c r="D10209">
        <f>HYPERLINK("https://www.youtube.com/watch?v=HXbsVbFAczg&amp;t=63s", "Go to time")</f>
        <v/>
      </c>
    </row>
    <row r="10210">
      <c r="A10210">
        <f>HYPERLINK("https://www.youtube.com/watch?v=5m9AYbFqpQo", "Video")</f>
        <v/>
      </c>
      <c r="B10210" t="inlineStr">
        <is>
          <t>12:07</t>
        </is>
      </c>
      <c r="C10210" t="inlineStr">
        <is>
          <t>and a little bit of berbere oil,
just to drizzle.</t>
        </is>
      </c>
      <c r="D10210">
        <f>HYPERLINK("https://www.youtube.com/watch?v=5m9AYbFqpQo&amp;t=727s", "Go to time")</f>
        <v/>
      </c>
    </row>
    <row r="10211">
      <c r="A10211">
        <f>HYPERLINK("https://www.youtube.com/watch?v=5m9AYbFqpQo", "Video")</f>
        <v/>
      </c>
      <c r="B10211" t="inlineStr">
        <is>
          <t>15:31</t>
        </is>
      </c>
      <c r="C10211" t="inlineStr">
        <is>
          <t>owned by a Black person
with those ambitions</t>
        </is>
      </c>
      <c r="D10211">
        <f>HYPERLINK("https://www.youtube.com/watch?v=5m9AYbFqpQo&amp;t=931s", "Go to time")</f>
        <v/>
      </c>
    </row>
    <row r="10212">
      <c r="A10212">
        <f>HYPERLINK("https://www.youtube.com/watch?v=5m9AYbFqpQo", "Video")</f>
        <v/>
      </c>
      <c r="B10212" t="inlineStr">
        <is>
          <t>15:36</t>
        </is>
      </c>
      <c r="C10212" t="inlineStr">
        <is>
          <t>And I said, "Well, I can't lower
my dream or ambition."</t>
        </is>
      </c>
      <c r="D10212">
        <f>HYPERLINK("https://www.youtube.com/watch?v=5m9AYbFqpQo&amp;t=936s", "Go to time")</f>
        <v/>
      </c>
    </row>
    <row r="10213">
      <c r="A10213">
        <f>HYPERLINK("https://www.youtube.com/watch?v=5m9AYbFqpQo", "Video")</f>
        <v/>
      </c>
      <c r="B10213" t="inlineStr">
        <is>
          <t>23:17</t>
        </is>
      </c>
      <c r="C10213" t="inlineStr">
        <is>
          <t>What if this looks a little bit more
like an Alvin Ailey show.</t>
        </is>
      </c>
      <c r="D10213">
        <f>HYPERLINK("https://www.youtube.com/watch?v=5m9AYbFqpQo&amp;t=1397s", "Go to time")</f>
        <v/>
      </c>
    </row>
    <row r="10214">
      <c r="A10214">
        <f>HYPERLINK("https://www.youtube.com/watch?v=5m9AYbFqpQo", "Video")</f>
        <v/>
      </c>
      <c r="B10214" t="inlineStr">
        <is>
          <t>33:02</t>
        </is>
      </c>
      <c r="C10214" t="inlineStr">
        <is>
          <t>because there's people of color
that have creative, of course, ambitions,</t>
        </is>
      </c>
      <c r="D10214">
        <f>HYPERLINK("https://www.youtube.com/watch?v=5m9AYbFqpQo&amp;t=1982s", "Go to time")</f>
        <v/>
      </c>
    </row>
    <row r="10215">
      <c r="A10215">
        <f>HYPERLINK("https://www.youtube.com/watch?v=5m9AYbFqpQo", "Video")</f>
        <v/>
      </c>
      <c r="B10215" t="inlineStr">
        <is>
          <t>33:23</t>
        </is>
      </c>
      <c r="C10215" t="inlineStr">
        <is>
          <t>I'm just going to move this
over a little bit. OK.</t>
        </is>
      </c>
      <c r="D10215">
        <f>HYPERLINK("https://www.youtube.com/watch?v=5m9AYbFqpQo&amp;t=2003s", "Go to time")</f>
        <v/>
      </c>
    </row>
    <row r="10216">
      <c r="A10216">
        <f>HYPERLINK("https://www.youtube.com/watch?v=5m9AYbFqpQo", "Video")</f>
        <v/>
      </c>
      <c r="B10216" t="inlineStr">
        <is>
          <t>47:46</t>
        </is>
      </c>
      <c r="C10216" t="inlineStr">
        <is>
          <t>remind me a little bit,</t>
        </is>
      </c>
      <c r="D10216">
        <f>HYPERLINK("https://www.youtube.com/watch?v=5m9AYbFqpQo&amp;t=2866s", "Go to time")</f>
        <v/>
      </c>
    </row>
    <row r="10217">
      <c r="A10217">
        <f>HYPERLINK("https://www.youtube.com/watch?v=cfzkBGgxXGE", "Video")</f>
        <v/>
      </c>
      <c r="B10217" t="inlineStr">
        <is>
          <t>14:40</t>
        </is>
      </c>
      <c r="C10217" t="inlineStr">
        <is>
          <t>we need to have a serious
conversation about prohibition</t>
        </is>
      </c>
      <c r="D10217">
        <f>HYPERLINK("https://www.youtube.com/watch?v=cfzkBGgxXGE&amp;t=880s", "Go to time")</f>
        <v/>
      </c>
    </row>
    <row r="10218">
      <c r="A10218">
        <f>HYPERLINK("https://www.youtube.com/watch?v=cfzkBGgxXGE", "Video")</f>
        <v/>
      </c>
      <c r="B10218" t="inlineStr">
        <is>
          <t>15:41</t>
        </is>
      </c>
      <c r="C10218" t="inlineStr">
        <is>
          <t>We have come so far down the road
of prohibition, punishment and prejudice</t>
        </is>
      </c>
      <c r="D10218">
        <f>HYPERLINK("https://www.youtube.com/watch?v=cfzkBGgxXGE&amp;t=941s", "Go to time")</f>
        <v/>
      </c>
    </row>
    <row r="10219">
      <c r="A10219">
        <f>HYPERLINK("https://www.youtube.com/watch?v=10MvdLL2EpY", "Video")</f>
        <v/>
      </c>
      <c r="B10219" t="inlineStr">
        <is>
          <t>2:56</t>
        </is>
      </c>
      <c r="C10219" t="inlineStr">
        <is>
          <t>I like to think of it a bit
like a Russian doll.</t>
        </is>
      </c>
      <c r="D10219">
        <f>HYPERLINK("https://www.youtube.com/watch?v=10MvdLL2EpY&amp;t=176s", "Go to time")</f>
        <v/>
      </c>
    </row>
    <row r="10220">
      <c r="A10220">
        <f>HYPERLINK("https://www.youtube.com/watch?v=YY6LCOJbve8", "Video")</f>
        <v/>
      </c>
      <c r="B10220" t="inlineStr">
        <is>
          <t>0:14</t>
        </is>
      </c>
      <c r="C10220" t="inlineStr">
        <is>
          <t>So that helps a bit to define
where I'm coming from.</t>
        </is>
      </c>
      <c r="D10220">
        <f>HYPERLINK("https://www.youtube.com/watch?v=YY6LCOJbve8&amp;t=14s", "Go to time")</f>
        <v/>
      </c>
    </row>
    <row r="10221">
      <c r="A10221">
        <f>HYPERLINK("https://www.youtube.com/watch?v=YY6LCOJbve8", "Video")</f>
        <v/>
      </c>
      <c r="B10221" t="inlineStr">
        <is>
          <t>3:52</t>
        </is>
      </c>
      <c r="C10221" t="inlineStr">
        <is>
          <t>then you lose the habit and the ability
to talk about multiple possible futures.</t>
        </is>
      </c>
      <c r="D10221">
        <f>HYPERLINK("https://www.youtube.com/watch?v=YY6LCOJbve8&amp;t=232s", "Go to time")</f>
        <v/>
      </c>
    </row>
    <row r="10222">
      <c r="A10222">
        <f>HYPERLINK("https://www.youtube.com/watch?v=YY6LCOJbve8", "Video")</f>
        <v/>
      </c>
      <c r="B10222" t="inlineStr">
        <is>
          <t>13:21</t>
        </is>
      </c>
      <c r="C10222" t="inlineStr">
        <is>
          <t>then you might react
a little bit differently.</t>
        </is>
      </c>
      <c r="D10222">
        <f>HYPERLINK("https://www.youtube.com/watch?v=YY6LCOJbve8&amp;t=801s", "Go to time")</f>
        <v/>
      </c>
    </row>
    <row r="10223">
      <c r="A10223">
        <f>HYPERLINK("https://www.youtube.com/watch?v=YY6LCOJbve8", "Video")</f>
        <v/>
      </c>
      <c r="B10223" t="inlineStr">
        <is>
          <t>24:07</t>
        </is>
      </c>
      <c r="C10223" t="inlineStr">
        <is>
          <t>because that sounds a little bit --
maybe a little more,</t>
        </is>
      </c>
      <c r="D10223">
        <f>HYPERLINK("https://www.youtube.com/watch?v=YY6LCOJbve8&amp;t=1447s", "Go to time")</f>
        <v/>
      </c>
    </row>
    <row r="10224">
      <c r="A10224">
        <f>HYPERLINK("https://www.youtube.com/watch?v=69hJ9zN4t3g", "Video")</f>
        <v/>
      </c>
      <c r="B10224" t="inlineStr">
        <is>
          <t>0:59</t>
        </is>
      </c>
      <c r="C10224" t="inlineStr">
        <is>
          <t>one where ambitious Africans
are writing their own stories</t>
        </is>
      </c>
      <c r="D10224">
        <f>HYPERLINK("https://www.youtube.com/watch?v=69hJ9zN4t3g&amp;t=59s", "Go to time")</f>
        <v/>
      </c>
    </row>
    <row r="10225">
      <c r="A10225">
        <f>HYPERLINK("https://www.youtube.com/watch?v=69hJ9zN4t3g", "Video")</f>
        <v/>
      </c>
      <c r="B10225" t="inlineStr">
        <is>
          <t>6:33</t>
        </is>
      </c>
      <c r="C10225" t="inlineStr">
        <is>
          <t>we have the boundless ambition,</t>
        </is>
      </c>
      <c r="D10225">
        <f>HYPERLINK("https://www.youtube.com/watch?v=69hJ9zN4t3g&amp;t=393s", "Go to time")</f>
        <v/>
      </c>
    </row>
    <row r="10226">
      <c r="A10226">
        <f>HYPERLINK("https://www.youtube.com/watch?v=-jNlpGLpelg", "Video")</f>
        <v/>
      </c>
      <c r="B10226" t="inlineStr">
        <is>
          <t>3:44</t>
        </is>
      </c>
      <c r="C10226" t="inlineStr">
        <is>
          <t>that 'tis Probable There May Be
Another Habitable World in that Planet."</t>
        </is>
      </c>
      <c r="D10226">
        <f>HYPERLINK("https://www.youtube.com/watch?v=-jNlpGLpelg&amp;t=224s", "Go to time")</f>
        <v/>
      </c>
    </row>
    <row r="10227">
      <c r="A10227">
        <f>HYPERLINK("https://www.youtube.com/watch?v=-jNlpGLpelg", "Video")</f>
        <v/>
      </c>
      <c r="B10227" t="inlineStr">
        <is>
          <t>3:48</t>
        </is>
      </c>
      <c r="C10227" t="inlineStr">
        <is>
          <t>And note, by the way,
that word "habitable."</t>
        </is>
      </c>
      <c r="D10227">
        <f>HYPERLINK("https://www.youtube.com/watch?v=-jNlpGLpelg&amp;t=228s", "Go to time")</f>
        <v/>
      </c>
    </row>
    <row r="10228">
      <c r="A10228">
        <f>HYPERLINK("https://www.youtube.com/watch?v=-jNlpGLpelg", "Video")</f>
        <v/>
      </c>
      <c r="B10228" t="inlineStr">
        <is>
          <t>7:02</t>
        </is>
      </c>
      <c r="C10228" t="inlineStr">
        <is>
          <t>and in terms of the orbital
dynamics of the voyage</t>
        </is>
      </c>
      <c r="D10228">
        <f>HYPERLINK("https://www.youtube.com/watch?v=-jNlpGLpelg&amp;t=422s", "Go to time")</f>
        <v/>
      </c>
    </row>
    <row r="10229">
      <c r="A10229">
        <f>HYPERLINK("https://www.youtube.com/watch?v=U51MSK6nSQE", "Video")</f>
        <v/>
      </c>
      <c r="B10229" t="inlineStr">
        <is>
          <t>1:59</t>
        </is>
      </c>
      <c r="C10229" t="inlineStr">
        <is>
          <t>"This was an arbitrary decision.</t>
        </is>
      </c>
      <c r="D10229">
        <f>HYPERLINK("https://www.youtube.com/watch?v=U51MSK6nSQE&amp;t=119s", "Go to time")</f>
        <v/>
      </c>
    </row>
    <row r="10230">
      <c r="A10230">
        <f>HYPERLINK("https://www.youtube.com/watch?v=xZT8cNQCq2s", "Video")</f>
        <v/>
      </c>
      <c r="B10230" t="inlineStr">
        <is>
          <t>3:42</t>
        </is>
      </c>
      <c r="C10230" t="inlineStr">
        <is>
          <t>But let's hear a little bit more
about this frenemy-ship.</t>
        </is>
      </c>
      <c r="D10230">
        <f>HYPERLINK("https://www.youtube.com/watch?v=xZT8cNQCq2s&amp;t=222s", "Go to time")</f>
        <v/>
      </c>
    </row>
    <row r="10231">
      <c r="A10231">
        <f>HYPERLINK("https://www.youtube.com/watch?v=xZT8cNQCq2s", "Video")</f>
        <v/>
      </c>
      <c r="B10231" t="inlineStr">
        <is>
          <t>4:27</t>
        </is>
      </c>
      <c r="C10231" t="inlineStr">
        <is>
          <t>We're going to talk
a little bit more about that.</t>
        </is>
      </c>
      <c r="D10231">
        <f>HYPERLINK("https://www.youtube.com/watch?v=xZT8cNQCq2s&amp;t=267s", "Go to time")</f>
        <v/>
      </c>
    </row>
    <row r="10232">
      <c r="A10232">
        <f>HYPERLINK("https://www.youtube.com/watch?v=xZT8cNQCq2s", "Video")</f>
        <v/>
      </c>
      <c r="B10232" t="inlineStr">
        <is>
          <t>4:31</t>
        </is>
      </c>
      <c r="C10232" t="inlineStr">
        <is>
          <t>Let's dive a bit deeper into this crisis
of communication you both touched on.</t>
        </is>
      </c>
      <c r="D10232">
        <f>HYPERLINK("https://www.youtube.com/watch?v=xZT8cNQCq2s&amp;t=271s", "Go to time")</f>
        <v/>
      </c>
    </row>
    <row r="10233">
      <c r="A10233">
        <f>HYPERLINK("https://www.youtube.com/watch?v=XewnyUJgyA4", "Video")</f>
        <v/>
      </c>
      <c r="B10233" t="inlineStr">
        <is>
          <t>9:29</t>
        </is>
      </c>
      <c r="C10233" t="inlineStr">
        <is>
          <t>The most ambitious
and most competent leader</t>
        </is>
      </c>
      <c r="D10233">
        <f>HYPERLINK("https://www.youtube.com/watch?v=XewnyUJgyA4&amp;t=569s", "Go to time")</f>
        <v/>
      </c>
    </row>
    <row r="10234">
      <c r="A10234">
        <f>HYPERLINK("https://www.youtube.com/watch?v=LQq3NSoQH48", "Video")</f>
        <v/>
      </c>
      <c r="B10234" t="inlineStr">
        <is>
          <t>5:43</t>
        </is>
      </c>
      <c r="C10234" t="inlineStr">
        <is>
          <t>bitch,"</t>
        </is>
      </c>
      <c r="D10234">
        <f>HYPERLINK("https://www.youtube.com/watch?v=LQq3NSoQH48&amp;t=343s", "Go to time")</f>
        <v/>
      </c>
    </row>
    <row r="10235">
      <c r="A10235">
        <f>HYPERLINK("https://www.youtube.com/watch?v=LQq3NSoQH48", "Video")</f>
        <v/>
      </c>
      <c r="B10235" t="inlineStr">
        <is>
          <t>10:29</t>
        </is>
      </c>
      <c r="C10235" t="inlineStr">
        <is>
          <t>that could have swallowed me in one bite.</t>
        </is>
      </c>
      <c r="D10235">
        <f>HYPERLINK("https://www.youtube.com/watch?v=LQq3NSoQH48&amp;t=629s", "Go to time")</f>
        <v/>
      </c>
    </row>
    <row r="10236">
      <c r="A10236">
        <f>HYPERLINK("https://www.youtube.com/watch?v=3iD4HwJ-67Q", "Video")</f>
        <v/>
      </c>
      <c r="B10236" t="inlineStr">
        <is>
          <t>11:52</t>
        </is>
      </c>
      <c r="C10236" t="inlineStr">
        <is>
          <t>Can we build out a coordinated,
ambitious response,</t>
        </is>
      </c>
      <c r="D10236">
        <f>HYPERLINK("https://www.youtube.com/watch?v=3iD4HwJ-67Q&amp;t=712s", "Go to time")</f>
        <v/>
      </c>
    </row>
    <row r="10237">
      <c r="A10237">
        <f>HYPERLINK("https://www.youtube.com/watch?v=5jnPjkdBlUE", "Video")</f>
        <v/>
      </c>
      <c r="B10237" t="inlineStr">
        <is>
          <t>2:25</t>
        </is>
      </c>
      <c r="C10237" t="inlineStr">
        <is>
          <t>requires more than a little bit
of magical thinking.</t>
        </is>
      </c>
      <c r="D10237">
        <f>HYPERLINK("https://www.youtube.com/watch?v=5jnPjkdBlUE&amp;t=145s", "Go to time")</f>
        <v/>
      </c>
    </row>
    <row r="10238">
      <c r="A10238">
        <f>HYPERLINK("https://www.youtube.com/watch?v=5jnPjkdBlUE", "Video")</f>
        <v/>
      </c>
      <c r="B10238" t="inlineStr">
        <is>
          <t>10:02</t>
        </is>
      </c>
      <c r="C10238" t="inlineStr">
        <is>
          <t>is I send a Fitbit sleep report
to a WhatsApp group</t>
        </is>
      </c>
      <c r="D10238">
        <f>HYPERLINK("https://www.youtube.com/watch?v=5jnPjkdBlUE&amp;t=602s", "Go to time")</f>
        <v/>
      </c>
    </row>
    <row r="10239">
      <c r="A10239">
        <f>HYPERLINK("https://www.youtube.com/watch?v=rVNb53lkBuc", "Video")</f>
        <v/>
      </c>
      <c r="B10239" t="inlineStr">
        <is>
          <t>7:51</t>
        </is>
      </c>
      <c r="C10239" t="inlineStr">
        <is>
          <t>and told them that it was
strictly prohibited.</t>
        </is>
      </c>
      <c r="D10239">
        <f>HYPERLINK("https://www.youtube.com/watch?v=rVNb53lkBuc&amp;t=471s", "Go to time")</f>
        <v/>
      </c>
    </row>
    <row r="10240">
      <c r="A10240">
        <f>HYPERLINK("https://www.youtube.com/watch?v=JNG3wwLqRok", "Video")</f>
        <v/>
      </c>
      <c r="B10240" t="inlineStr">
        <is>
          <t>4:53</t>
        </is>
      </c>
      <c r="C10240" t="inlineStr">
        <is>
          <t>just a little bit of it please give a</t>
        </is>
      </c>
      <c r="D10240">
        <f>HYPERLINK("https://www.youtube.com/watch?v=JNG3wwLqRok&amp;t=293s", "Go to time")</f>
        <v/>
      </c>
    </row>
    <row r="10241">
      <c r="A10241">
        <f>HYPERLINK("https://www.youtube.com/watch?v=JNG3wwLqRok", "Video")</f>
        <v/>
      </c>
      <c r="B10241" t="inlineStr">
        <is>
          <t>7:02</t>
        </is>
      </c>
      <c r="C10241" t="inlineStr">
        <is>
          <t>exhibition to our surprise the shy</t>
        </is>
      </c>
      <c r="D10241">
        <f>HYPERLINK("https://www.youtube.com/watch?v=JNG3wwLqRok&amp;t=422s", "Go to time")</f>
        <v/>
      </c>
    </row>
    <row r="10242">
      <c r="A10242">
        <f>HYPERLINK("https://www.youtube.com/watch?v=JNG3wwLqRok", "Video")</f>
        <v/>
      </c>
      <c r="B10242" t="inlineStr">
        <is>
          <t>24:20</t>
        </is>
      </c>
      <c r="C10242" t="inlineStr">
        <is>
          <t>pulverized this material added a bit of</t>
        </is>
      </c>
      <c r="D10242">
        <f>HYPERLINK("https://www.youtube.com/watch?v=JNG3wwLqRok&amp;t=1460s", "Go to time")</f>
        <v/>
      </c>
    </row>
    <row r="10243">
      <c r="A10243">
        <f>HYPERLINK("https://www.youtube.com/watch?v=JNG3wwLqRok", "Video")</f>
        <v/>
      </c>
      <c r="B10243" t="inlineStr">
        <is>
          <t>50:17</t>
        </is>
      </c>
      <c r="C10243" t="inlineStr">
        <is>
          <t>Dy everybody want to take a big bite I'm</t>
        </is>
      </c>
      <c r="D10243">
        <f>HYPERLINK("https://www.youtube.com/watch?v=JNG3wwLqRok&amp;t=3017s", "Go to time")</f>
        <v/>
      </c>
    </row>
    <row r="10244">
      <c r="A10244">
        <f>HYPERLINK("https://www.youtube.com/watch?v=JNG3wwLqRok", "Video")</f>
        <v/>
      </c>
      <c r="B10244" t="inlineStr">
        <is>
          <t>56:40</t>
        </is>
      </c>
      <c r="C10244" t="inlineStr">
        <is>
          <t>impressions a little bit about me born</t>
        </is>
      </c>
      <c r="D10244">
        <f>HYPERLINK("https://www.youtube.com/watch?v=JNG3wwLqRok&amp;t=3400s", "Go to time")</f>
        <v/>
      </c>
    </row>
    <row r="10245">
      <c r="A10245">
        <f>HYPERLINK("https://www.youtube.com/watch?v=JNG3wwLqRok", "Video")</f>
        <v/>
      </c>
      <c r="B10245" t="inlineStr">
        <is>
          <t>59:47</t>
        </is>
      </c>
      <c r="C10245" t="inlineStr">
        <is>
          <t>laughing at all the impression bits but</t>
        </is>
      </c>
      <c r="D10245">
        <f>HYPERLINK("https://www.youtube.com/watch?v=JNG3wwLqRok&amp;t=3587s", "Go to time")</f>
        <v/>
      </c>
    </row>
    <row r="10246">
      <c r="A10246">
        <f>HYPERLINK("https://www.youtube.com/watch?v=JNG3wwLqRok", "Video")</f>
        <v/>
      </c>
      <c r="B10246" t="inlineStr">
        <is>
          <t>86:01</t>
        </is>
      </c>
      <c r="C10246" t="inlineStr">
        <is>
          <t>her a little bit of an art project so</t>
        </is>
      </c>
      <c r="D10246">
        <f>HYPERLINK("https://www.youtube.com/watch?v=JNG3wwLqRok&amp;t=5161s", "Go to time")</f>
        <v/>
      </c>
    </row>
    <row r="10247">
      <c r="A10247">
        <f>HYPERLINK("https://www.youtube.com/watch?v=JNG3wwLqRok", "Video")</f>
        <v/>
      </c>
      <c r="B10247" t="inlineStr">
        <is>
          <t>93:07</t>
        </is>
      </c>
      <c r="C10247" t="inlineStr">
        <is>
          <t>like a little bit like</t>
        </is>
      </c>
      <c r="D10247">
        <f>HYPERLINK("https://www.youtube.com/watch?v=JNG3wwLqRok&amp;t=5587s", "Go to time")</f>
        <v/>
      </c>
    </row>
    <row r="10248">
      <c r="A10248">
        <f>HYPERLINK("https://www.youtube.com/watch?v=T8jz74FTUNU", "Video")</f>
        <v/>
      </c>
      <c r="B10248" t="inlineStr">
        <is>
          <t>4:58</t>
        </is>
      </c>
      <c r="C10248" t="inlineStr">
        <is>
          <t>and figure out study habits,</t>
        </is>
      </c>
      <c r="D10248">
        <f>HYPERLINK("https://www.youtube.com/watch?v=T8jz74FTUNU&amp;t=298s", "Go to time")</f>
        <v/>
      </c>
    </row>
    <row r="10249">
      <c r="A10249">
        <f>HYPERLINK("https://www.youtube.com/watch?v=JKS7HWy2TRU", "Video")</f>
        <v/>
      </c>
      <c r="B10249" t="inlineStr">
        <is>
          <t>0:17</t>
        </is>
      </c>
      <c r="C10249" t="inlineStr">
        <is>
          <t>And I have a habit
of asking difficult questions.</t>
        </is>
      </c>
      <c r="D10249">
        <f>HYPERLINK("https://www.youtube.com/watch?v=JKS7HWy2TRU&amp;t=17s", "Go to time")</f>
        <v/>
      </c>
    </row>
    <row r="10250">
      <c r="A10250">
        <f>HYPERLINK("https://www.youtube.com/watch?v=AxxMiihvKgg", "Video")</f>
        <v/>
      </c>
      <c r="B10250" t="inlineStr">
        <is>
          <t>0:48</t>
        </is>
      </c>
      <c r="C10250" t="inlineStr">
        <is>
          <t>And I was a little bit surprised,</t>
        </is>
      </c>
      <c r="D10250">
        <f>HYPERLINK("https://www.youtube.com/watch?v=AxxMiihvKgg&amp;t=48s", "Go to time")</f>
        <v/>
      </c>
    </row>
    <row r="10251">
      <c r="A10251">
        <f>HYPERLINK("https://www.youtube.com/watch?v=AxxMiihvKgg", "Video")</f>
        <v/>
      </c>
      <c r="B10251" t="inlineStr">
        <is>
          <t>1:40</t>
        </is>
      </c>
      <c r="C10251" t="inlineStr">
        <is>
          <t>And it's this that's started me
to think a little bit more</t>
        </is>
      </c>
      <c r="D10251">
        <f>HYPERLINK("https://www.youtube.com/watch?v=AxxMiihvKgg&amp;t=100s", "Go to time")</f>
        <v/>
      </c>
    </row>
    <row r="10252">
      <c r="A10252">
        <f>HYPERLINK("https://www.youtube.com/watch?v=AxxMiihvKgg", "Video")</f>
        <v/>
      </c>
      <c r="B10252" t="inlineStr">
        <is>
          <t>2:45</t>
        </is>
      </c>
      <c r="C10252" t="inlineStr">
        <is>
          <t>But the sociolinguist in me insists
on digging just a little bit deeper,</t>
        </is>
      </c>
      <c r="D10252">
        <f>HYPERLINK("https://www.youtube.com/watch?v=AxxMiihvKgg&amp;t=165s", "Go to time")</f>
        <v/>
      </c>
    </row>
    <row r="10253">
      <c r="A10253">
        <f>HYPERLINK("https://www.youtube.com/watch?v=AxxMiihvKgg", "Video")</f>
        <v/>
      </c>
      <c r="B10253" t="inlineStr">
        <is>
          <t>3:50</t>
        </is>
      </c>
      <c r="C10253" t="inlineStr">
        <is>
          <t>Needless to say, this is quite
a bit harder to do than it is to say.</t>
        </is>
      </c>
      <c r="D10253">
        <f>HYPERLINK("https://www.youtube.com/watch?v=AxxMiihvKgg&amp;t=230s", "Go to time")</f>
        <v/>
      </c>
    </row>
    <row r="10254">
      <c r="A10254">
        <f>HYPERLINK("https://www.youtube.com/watch?v=AxxMiihvKgg", "Video")</f>
        <v/>
      </c>
      <c r="B10254" t="inlineStr">
        <is>
          <t>6:08</t>
        </is>
      </c>
      <c r="C10254" t="inlineStr">
        <is>
          <t>a bit playful even.</t>
        </is>
      </c>
      <c r="D10254">
        <f>HYPERLINK("https://www.youtube.com/watch?v=AxxMiihvKgg&amp;t=368s", "Go to time")</f>
        <v/>
      </c>
    </row>
    <row r="10255">
      <c r="A10255">
        <f>HYPERLINK("https://www.youtube.com/watch?v=AxxMiihvKgg", "Video")</f>
        <v/>
      </c>
      <c r="B10255" t="inlineStr">
        <is>
          <t>7:36</t>
        </is>
      </c>
      <c r="C10255" t="inlineStr">
        <is>
          <t>Premium is all about having
just a little bit extra</t>
        </is>
      </c>
      <c r="D10255">
        <f>HYPERLINK("https://www.youtube.com/watch?v=AxxMiihvKgg&amp;t=456s", "Go to time")</f>
        <v/>
      </c>
    </row>
    <row r="10256">
      <c r="A10256">
        <f>HYPERLINK("https://www.youtube.com/watch?v=AxxMiihvKgg", "Video")</f>
        <v/>
      </c>
      <c r="B10256" t="inlineStr">
        <is>
          <t>7:38</t>
        </is>
      </c>
      <c r="C10256" t="inlineStr">
        <is>
          <t>or a little bit more,</t>
        </is>
      </c>
      <c r="D10256">
        <f>HYPERLINK("https://www.youtube.com/watch?v=AxxMiihvKgg&amp;t=458s", "Go to time")</f>
        <v/>
      </c>
    </row>
    <row r="10257">
      <c r="A10257">
        <f>HYPERLINK("https://www.youtube.com/watch?v=AxxMiihvKgg", "Video")</f>
        <v/>
      </c>
      <c r="B10257" t="inlineStr">
        <is>
          <t>7:40</t>
        </is>
      </c>
      <c r="C10257" t="inlineStr">
        <is>
          <t>and especially a little bit extra
or a little bit more</t>
        </is>
      </c>
      <c r="D10257">
        <f>HYPERLINK("https://www.youtube.com/watch?v=AxxMiihvKgg&amp;t=460s", "Go to time")</f>
        <v/>
      </c>
    </row>
    <row r="10258">
      <c r="A10258">
        <f>HYPERLINK("https://www.youtube.com/watch?v=AxxMiihvKgg", "Video")</f>
        <v/>
      </c>
      <c r="B10258" t="inlineStr">
        <is>
          <t>8:37</t>
        </is>
      </c>
      <c r="C10258" t="inlineStr">
        <is>
          <t>Again, premium is just about
having a little bit more</t>
        </is>
      </c>
      <c r="D10258">
        <f>HYPERLINK("https://www.youtube.com/watch?v=AxxMiihvKgg&amp;t=517s", "Go to time")</f>
        <v/>
      </c>
    </row>
    <row r="10259">
      <c r="A10259">
        <f>HYPERLINK("https://www.youtube.com/watch?v=AxxMiihvKgg", "Video")</f>
        <v/>
      </c>
      <c r="B10259" t="inlineStr">
        <is>
          <t>8:41</t>
        </is>
      </c>
      <c r="C10259" t="inlineStr">
        <is>
          <t>or a little bit extra
compared with others.</t>
        </is>
      </c>
      <c r="D10259">
        <f>HYPERLINK("https://www.youtube.com/watch?v=AxxMiihvKgg&amp;t=521s", "Go to time")</f>
        <v/>
      </c>
    </row>
    <row r="10260">
      <c r="A10260">
        <f>HYPERLINK("https://www.youtube.com/watch?v=AxxMiihvKgg", "Video")</f>
        <v/>
      </c>
      <c r="B10260" t="inlineStr">
        <is>
          <t>9:52</t>
        </is>
      </c>
      <c r="C10260" t="inlineStr">
        <is>
          <t>might feel just a little bit extreme
or uncomfortable for some people,</t>
        </is>
      </c>
      <c r="D10260">
        <f>HYPERLINK("https://www.youtube.com/watch?v=AxxMiihvKgg&amp;t=592s", "Go to time")</f>
        <v/>
      </c>
    </row>
    <row r="10261">
      <c r="A10261">
        <f>HYPERLINK("https://www.youtube.com/watch?v=YsA_JTeHJ6A", "Video")</f>
        <v/>
      </c>
      <c r="B10261" t="inlineStr">
        <is>
          <t>1:16</t>
        </is>
      </c>
      <c r="C10261" t="inlineStr">
        <is>
          <t>Robin Hood had this ambition
to improve these buildings in some way,</t>
        </is>
      </c>
      <c r="D10261">
        <f>HYPERLINK("https://www.youtube.com/watch?v=YsA_JTeHJ6A&amp;t=76s", "Go to time")</f>
        <v/>
      </c>
    </row>
    <row r="10262">
      <c r="A10262">
        <f>HYPERLINK("https://www.youtube.com/watch?v=Uq1idqpX9-A", "Video")</f>
        <v/>
      </c>
      <c r="B10262" t="inlineStr">
        <is>
          <t>1:19</t>
        </is>
      </c>
      <c r="C10262" t="inlineStr">
        <is>
          <t>My dad actually reminded me
a little bit of Hulk Hogan,</t>
        </is>
      </c>
      <c r="D10262">
        <f>HYPERLINK("https://www.youtube.com/watch?v=Uq1idqpX9-A&amp;t=79s", "Go to time")</f>
        <v/>
      </c>
    </row>
    <row r="10263">
      <c r="A10263">
        <f>HYPERLINK("https://www.youtube.com/watch?v=Qewckuxa9hw", "Video")</f>
        <v/>
      </c>
      <c r="B10263" t="inlineStr">
        <is>
          <t>4:03</t>
        </is>
      </c>
      <c r="C10263" t="inlineStr">
        <is>
          <t>as arbiters of opportunity.</t>
        </is>
      </c>
      <c r="D10263">
        <f>HYPERLINK("https://www.youtube.com/watch?v=Qewckuxa9hw&amp;t=243s", "Go to time")</f>
        <v/>
      </c>
    </row>
    <row r="10264">
      <c r="A10264">
        <f>HYPERLINK("https://www.youtube.com/watch?v=Ta8KBJ4BTNg", "Video")</f>
        <v/>
      </c>
      <c r="B10264" t="inlineStr">
        <is>
          <t>0:27</t>
        </is>
      </c>
      <c r="C10264" t="inlineStr">
        <is>
          <t>Currently we track about one percent
of hazardous objects on orbit --</t>
        </is>
      </c>
      <c r="D10264">
        <f>HYPERLINK("https://www.youtube.com/watch?v=Ta8KBJ4BTNg&amp;t=27s", "Go to time")</f>
        <v/>
      </c>
    </row>
    <row r="10265">
      <c r="A10265">
        <f>HYPERLINK("https://www.youtube.com/watch?v=Ta8KBJ4BTNg", "Video")</f>
        <v/>
      </c>
      <c r="B10265" t="inlineStr">
        <is>
          <t>1:40</t>
        </is>
      </c>
      <c r="C10265" t="inlineStr">
        <is>
          <t>To make things a little bit worse,</t>
        </is>
      </c>
      <c r="D10265">
        <f>HYPERLINK("https://www.youtube.com/watch?v=Ta8KBJ4BTNg&amp;t=100s", "Go to time")</f>
        <v/>
      </c>
    </row>
    <row r="10266">
      <c r="A10266">
        <f>HYPERLINK("https://www.youtube.com/watch?v=Ta8KBJ4BTNg", "Video")</f>
        <v/>
      </c>
      <c r="B10266" t="inlineStr">
        <is>
          <t>1:43</t>
        </is>
      </c>
      <c r="C10266" t="inlineStr">
        <is>
          <t>most of what we launch into orbit
never comes back.</t>
        </is>
      </c>
      <c r="D10266">
        <f>HYPERLINK("https://www.youtube.com/watch?v=Ta8KBJ4BTNg&amp;t=103s", "Go to time")</f>
        <v/>
      </c>
    </row>
    <row r="10267">
      <c r="A10267">
        <f>HYPERLINK("https://www.youtube.com/watch?v=Ta8KBJ4BTNg", "Video")</f>
        <v/>
      </c>
      <c r="B10267" t="inlineStr">
        <is>
          <t>1:49</t>
        </is>
      </c>
      <c r="C10267" t="inlineStr">
        <is>
          <t>We send the satellite in orbit,</t>
        </is>
      </c>
      <c r="D10267">
        <f>HYPERLINK("https://www.youtube.com/watch?v=Ta8KBJ4BTNg&amp;t=109s", "Go to time")</f>
        <v/>
      </c>
    </row>
    <row r="10268">
      <c r="A10268">
        <f>HYPERLINK("https://www.youtube.com/watch?v=Ta8KBJ4BTNg", "Video")</f>
        <v/>
      </c>
      <c r="B10268" t="inlineStr">
        <is>
          <t>2:08</t>
        </is>
      </c>
      <c r="C10268" t="inlineStr">
        <is>
          <t>somebody might just happen to destroy
one of their satellites on orbit,</t>
        </is>
      </c>
      <c r="D10268">
        <f>HYPERLINK("https://www.youtube.com/watch?v=Ta8KBJ4BTNg&amp;t=128s", "Go to time")</f>
        <v/>
      </c>
    </row>
    <row r="10269">
      <c r="A10269">
        <f>HYPERLINK("https://www.youtube.com/watch?v=Ta8KBJ4BTNg", "Video")</f>
        <v/>
      </c>
      <c r="B10269" t="inlineStr">
        <is>
          <t>2:20</t>
        </is>
      </c>
      <c r="C10269" t="inlineStr">
        <is>
          <t>Now these things are not
just randomly scattered in orbit.</t>
        </is>
      </c>
      <c r="D10269">
        <f>HYPERLINK("https://www.youtube.com/watch?v=Ta8KBJ4BTNg&amp;t=140s", "Go to time")</f>
        <v/>
      </c>
    </row>
    <row r="10270">
      <c r="A10270">
        <f>HYPERLINK("https://www.youtube.com/watch?v=Ta8KBJ4BTNg", "Video")</f>
        <v/>
      </c>
      <c r="B10270" t="inlineStr">
        <is>
          <t>3:24</t>
        </is>
      </c>
      <c r="C10270" t="inlineStr">
        <is>
          <t>"What's going on in orbit?</t>
        </is>
      </c>
      <c r="D10270">
        <f>HYPERLINK("https://www.youtube.com/watch?v=Ta8KBJ4BTNg&amp;t=204s", "Go to time")</f>
        <v/>
      </c>
    </row>
    <row r="10271">
      <c r="A10271">
        <f>HYPERLINK("https://www.youtube.com/watch?v=Ta8KBJ4BTNg", "Video")</f>
        <v/>
      </c>
      <c r="B10271" t="inlineStr">
        <is>
          <t>3:31</t>
        </is>
      </c>
      <c r="C10271" t="inlineStr">
        <is>
          <t>It's because information about things
on orbit is not commonly shared either.</t>
        </is>
      </c>
      <c r="D10271">
        <f>HYPERLINK("https://www.youtube.com/watch?v=Ta8KBJ4BTNg&amp;t=211s", "Go to time")</f>
        <v/>
      </c>
    </row>
    <row r="10272">
      <c r="A10272">
        <f>HYPERLINK("https://www.youtube.com/watch?v=Ta8KBJ4BTNg", "Video")</f>
        <v/>
      </c>
      <c r="B10272" t="inlineStr">
        <is>
          <t>4:19</t>
        </is>
      </c>
      <c r="C10272" t="inlineStr">
        <is>
          <t>Here, you can see 26,000 objects
orbiting the earth,</t>
        </is>
      </c>
      <c r="D10272">
        <f>HYPERLINK("https://www.youtube.com/watch?v=Ta8KBJ4BTNg&amp;t=259s", "Go to time")</f>
        <v/>
      </c>
    </row>
    <row r="10273">
      <c r="A10273">
        <f>HYPERLINK("https://www.youtube.com/watch?v=B6lBtiQZSho", "Video")</f>
        <v/>
      </c>
      <c r="B10273" t="inlineStr">
        <is>
          <t>6:10</t>
        </is>
      </c>
      <c r="C10273" t="inlineStr">
        <is>
          <t>Every bit as famous
as an adult as Tiger Woods,</t>
        </is>
      </c>
      <c r="D10273">
        <f>HYPERLINK("https://www.youtube.com/watch?v=B6lBtiQZSho&amp;t=370s", "Go to time")</f>
        <v/>
      </c>
    </row>
    <row r="10274">
      <c r="A10274">
        <f>HYPERLINK("https://www.youtube.com/watch?v=sSOBk0v0viM", "Video")</f>
        <v/>
      </c>
      <c r="B10274" t="inlineStr">
        <is>
          <t>4:08</t>
        </is>
      </c>
      <c r="C10274" t="inlineStr">
        <is>
          <t>And if you're a little bit more reserved,</t>
        </is>
      </c>
      <c r="D10274">
        <f>HYPERLINK("https://www.youtube.com/watch?v=sSOBk0v0viM&amp;t=248s", "Go to time")</f>
        <v/>
      </c>
    </row>
    <row r="10275">
      <c r="A10275">
        <f>HYPERLINK("https://www.youtube.com/watch?v=sSOBk0v0viM", "Video")</f>
        <v/>
      </c>
      <c r="B10275" t="inlineStr">
        <is>
          <t>4:12</t>
        </is>
      </c>
      <c r="C10275" t="inlineStr">
        <is>
          <t>and be a bit vulnerable.</t>
        </is>
      </c>
      <c r="D10275">
        <f>HYPERLINK("https://www.youtube.com/watch?v=sSOBk0v0viM&amp;t=252s", "Go to time")</f>
        <v/>
      </c>
    </row>
    <row r="10276">
      <c r="A10276">
        <f>HYPERLINK("https://www.youtube.com/watch?v=sLapoMlHOeY", "Video")</f>
        <v/>
      </c>
      <c r="B10276" t="inlineStr">
        <is>
          <t>0:12</t>
        </is>
      </c>
      <c r="C10276" t="inlineStr">
        <is>
          <t>maybe there’s a little bit of adventure.</t>
        </is>
      </c>
      <c r="D10276">
        <f>HYPERLINK("https://www.youtube.com/watch?v=sLapoMlHOeY&amp;t=12s", "Go to time")</f>
        <v/>
      </c>
    </row>
    <row r="10277">
      <c r="A10277">
        <f>HYPERLINK("https://www.youtube.com/watch?v=gi6rMXu_veE", "Video")</f>
        <v/>
      </c>
      <c r="B10277" t="inlineStr">
        <is>
          <t>8:04</t>
        </is>
      </c>
      <c r="C10277" t="inlineStr">
        <is>
          <t>It feels to me that the platforms
that we use to inhabit these online spaces</t>
        </is>
      </c>
      <c r="D10277">
        <f>HYPERLINK("https://www.youtube.com/watch?v=gi6rMXu_veE&amp;t=484s", "Go to time")</f>
        <v/>
      </c>
    </row>
    <row r="10278">
      <c r="A10278">
        <f>HYPERLINK("https://www.youtube.com/watch?v=IMC8jmEXHfk", "Video")</f>
        <v/>
      </c>
      <c r="B10278" t="inlineStr">
        <is>
          <t>1:04</t>
        </is>
      </c>
      <c r="C10278" t="inlineStr">
        <is>
          <t>Imagine neurons, which I do a fair bit.</t>
        </is>
      </c>
      <c r="D10278">
        <f>HYPERLINK("https://www.youtube.com/watch?v=IMC8jmEXHfk&amp;t=64s", "Go to time")</f>
        <v/>
      </c>
    </row>
    <row r="10279">
      <c r="A10279">
        <f>HYPERLINK("https://www.youtube.com/watch?v=IMC8jmEXHfk", "Video")</f>
        <v/>
      </c>
      <c r="B10279" t="inlineStr">
        <is>
          <t>2:50</t>
        </is>
      </c>
      <c r="C10279" t="inlineStr">
        <is>
          <t>Those independents also have
highly reliable voting habits,</t>
        </is>
      </c>
      <c r="D10279">
        <f>HYPERLINK("https://www.youtube.com/watch?v=IMC8jmEXHfk&amp;t=170s", "Go to time")</f>
        <v/>
      </c>
    </row>
    <row r="10280">
      <c r="A10280">
        <f>HYPERLINK("https://www.youtube.com/watch?v=IMC8jmEXHfk", "Video")</f>
        <v/>
      </c>
      <c r="B10280" t="inlineStr">
        <is>
          <t>4:16</t>
        </is>
      </c>
      <c r="C10280" t="inlineStr">
        <is>
          <t>To get into the math a little bit,
imagine animals.</t>
        </is>
      </c>
      <c r="D10280">
        <f>HYPERLINK("https://www.youtube.com/watch?v=IMC8jmEXHfk&amp;t=256s", "Go to time")</f>
        <v/>
      </c>
    </row>
    <row r="10281">
      <c r="A10281">
        <f>HYPERLINK("https://www.youtube.com/watch?v=IMC8jmEXHfk", "Video")</f>
        <v/>
      </c>
      <c r="B10281" t="inlineStr">
        <is>
          <t>6:30</t>
        </is>
      </c>
      <c r="C10281" t="inlineStr">
        <is>
          <t>and I've set up the simulation
to be a little bit closer</t>
        </is>
      </c>
      <c r="D10281">
        <f>HYPERLINK("https://www.youtube.com/watch?v=IMC8jmEXHfk&amp;t=390s", "Go to time")</f>
        <v/>
      </c>
    </row>
    <row r="10282">
      <c r="A10282">
        <f>HYPERLINK("https://www.youtube.com/watch?v=IMC8jmEXHfk", "Video")</f>
        <v/>
      </c>
      <c r="B10282" t="inlineStr">
        <is>
          <t>6:37</t>
        </is>
      </c>
      <c r="C10282" t="inlineStr">
        <is>
          <t>However, there's something
a little bit funny here,</t>
        </is>
      </c>
      <c r="D10282">
        <f>HYPERLINK("https://www.youtube.com/watch?v=IMC8jmEXHfk&amp;t=397s", "Go to time")</f>
        <v/>
      </c>
    </row>
    <row r="10283">
      <c r="A10283">
        <f>HYPERLINK("https://www.youtube.com/watch?v=IMC8jmEXHfk", "Video")</f>
        <v/>
      </c>
      <c r="B10283" t="inlineStr">
        <is>
          <t>9:36</t>
        </is>
      </c>
      <c r="C10283" t="inlineStr">
        <is>
          <t>is not in the habit of chumming around
with a member of the other party.</t>
        </is>
      </c>
      <c r="D10283">
        <f>HYPERLINK("https://www.youtube.com/watch?v=IMC8jmEXHfk&amp;t=576s", "Go to time")</f>
        <v/>
      </c>
    </row>
    <row r="10284">
      <c r="A10284">
        <f>HYPERLINK("https://www.youtube.com/watch?v=WgR6mUSsEig", "Video")</f>
        <v/>
      </c>
      <c r="B10284" t="inlineStr">
        <is>
          <t>2:12</t>
        </is>
      </c>
      <c r="C10284" t="inlineStr">
        <is>
          <t>It's your first bit of knowledge
around how things work here.</t>
        </is>
      </c>
      <c r="D10284">
        <f>HYPERLINK("https://www.youtube.com/watch?v=WgR6mUSsEig&amp;t=132s", "Go to time")</f>
        <v/>
      </c>
    </row>
    <row r="10285">
      <c r="A10285">
        <f>HYPERLINK("https://www.youtube.com/watch?v=PZr142ka96k", "Video")</f>
        <v/>
      </c>
      <c r="B10285" t="inlineStr">
        <is>
          <t>3:56</t>
        </is>
      </c>
      <c r="C10285" t="inlineStr">
        <is>
          <t>so don't just transfer old habits
and old company culture</t>
        </is>
      </c>
      <c r="D10285">
        <f>HYPERLINK("https://www.youtube.com/watch?v=PZr142ka96k&amp;t=236s", "Go to time")</f>
        <v/>
      </c>
    </row>
    <row r="10286">
      <c r="A10286">
        <f>HYPERLINK("https://www.youtube.com/watch?v=0He5yz8CwuU", "Video")</f>
        <v/>
      </c>
      <c r="B10286" t="inlineStr">
        <is>
          <t>3:32</t>
        </is>
      </c>
      <c r="C10286" t="inlineStr">
        <is>
          <t>"The Walk" is a very ambitious project.</t>
        </is>
      </c>
      <c r="D10286">
        <f>HYPERLINK("https://www.youtube.com/watch?v=0He5yz8CwuU&amp;t=212s", "Go to time")</f>
        <v/>
      </c>
    </row>
    <row r="10287">
      <c r="A10287">
        <f>HYPERLINK("https://www.youtube.com/watch?v=0He5yz8CwuU", "Video")</f>
        <v/>
      </c>
      <c r="B10287" t="inlineStr">
        <is>
          <t>8:43</t>
        </is>
      </c>
      <c r="C10287" t="inlineStr">
        <is>
          <t>And some events are like today,
a bit more jubilant and joyful,</t>
        </is>
      </c>
      <c r="D10287">
        <f>HYPERLINK("https://www.youtube.com/watch?v=0He5yz8CwuU&amp;t=523s", "Go to time")</f>
        <v/>
      </c>
    </row>
    <row r="10288">
      <c r="A10288">
        <f>HYPERLINK("https://www.youtube.com/watch?v=P6jll4ALcYk", "Video")</f>
        <v/>
      </c>
      <c r="B10288" t="inlineStr">
        <is>
          <t>5:14</t>
        </is>
      </c>
      <c r="C10288" t="inlineStr">
        <is>
          <t>most large cities have ambitious
programs to become greener.</t>
        </is>
      </c>
      <c r="D10288">
        <f>HYPERLINK("https://www.youtube.com/watch?v=P6jll4ALcYk&amp;t=314s", "Go to time")</f>
        <v/>
      </c>
    </row>
    <row r="10289">
      <c r="A10289">
        <f>HYPERLINK("https://www.youtube.com/watch?v=ZjeZ8r7yWOk", "Video")</f>
        <v/>
      </c>
      <c r="B10289" t="inlineStr">
        <is>
          <t>0:14</t>
        </is>
      </c>
      <c r="C10289" t="inlineStr">
        <is>
          <t>members of my family
had three bits of minor surgery,</t>
        </is>
      </c>
      <c r="D10289">
        <f>HYPERLINK("https://www.youtube.com/watch?v=ZjeZ8r7yWOk&amp;t=14s", "Go to time")</f>
        <v/>
      </c>
    </row>
    <row r="10290">
      <c r="A10290">
        <f>HYPERLINK("https://www.youtube.com/watch?v=NP8xt8o4_5Q", "Video")</f>
        <v/>
      </c>
      <c r="B10290" t="inlineStr">
        <is>
          <t>0:25</t>
        </is>
      </c>
      <c r="C10290" t="inlineStr">
        <is>
          <t>I played what is called
simultaneous exhibition</t>
        </is>
      </c>
      <c r="D10290">
        <f>HYPERLINK("https://www.youtube.com/watch?v=NP8xt8o4_5Q&amp;t=25s", "Go to time")</f>
        <v/>
      </c>
    </row>
    <row r="10291">
      <c r="A10291">
        <f>HYPERLINK("https://www.youtube.com/watch?v=NP8xt8o4_5Q", "Video")</f>
        <v/>
      </c>
      <c r="B10291" t="inlineStr">
        <is>
          <t>14:55</t>
        </is>
      </c>
      <c r="C10291" t="inlineStr">
        <is>
          <t>and limited our ambitions.</t>
        </is>
      </c>
      <c r="D10291">
        <f>HYPERLINK("https://www.youtube.com/watch?v=NP8xt8o4_5Q&amp;t=895s", "Go to time")</f>
        <v/>
      </c>
    </row>
    <row r="10292">
      <c r="A10292">
        <f>HYPERLINK("https://www.youtube.com/watch?v=a-_FuwTkFhI", "Video")</f>
        <v/>
      </c>
      <c r="B10292" t="inlineStr">
        <is>
          <t>4:29</t>
        </is>
      </c>
      <c r="C10292" t="inlineStr">
        <is>
          <t>We must keep building climate ambition.</t>
        </is>
      </c>
      <c r="D10292">
        <f>HYPERLINK("https://www.youtube.com/watch?v=a-_FuwTkFhI&amp;t=269s", "Go to time")</f>
        <v/>
      </c>
    </row>
    <row r="10293">
      <c r="A10293">
        <f>HYPERLINK("https://www.youtube.com/watch?v=a-_FuwTkFhI", "Video")</f>
        <v/>
      </c>
      <c r="B10293" t="inlineStr">
        <is>
          <t>4:54</t>
        </is>
      </c>
      <c r="C10293" t="inlineStr">
        <is>
          <t>You have raised your ambition
and your commitment.</t>
        </is>
      </c>
      <c r="D10293">
        <f>HYPERLINK("https://www.youtube.com/watch?v=a-_FuwTkFhI&amp;t=294s", "Go to time")</f>
        <v/>
      </c>
    </row>
    <row r="10294">
      <c r="A10294">
        <f>HYPERLINK("https://www.youtube.com/watch?v=VFRzeYCk8MI", "Video")</f>
        <v/>
      </c>
      <c r="B10294" t="inlineStr">
        <is>
          <t>0:12</t>
        </is>
      </c>
      <c r="C10294" t="inlineStr">
        <is>
          <t>So in keeping with that habit,</t>
        </is>
      </c>
      <c r="D10294">
        <f>HYPERLINK("https://www.youtube.com/watch?v=VFRzeYCk8MI&amp;t=12s", "Go to time")</f>
        <v/>
      </c>
    </row>
    <row r="10295">
      <c r="A10295">
        <f>HYPERLINK("https://www.youtube.com/watch?v=HSercnrqeN4", "Video")</f>
        <v/>
      </c>
      <c r="B10295" t="inlineStr">
        <is>
          <t>10:06</t>
        </is>
      </c>
      <c r="C10295" t="inlineStr">
        <is>
          <t>is that men are born every bit
as relational as women are.</t>
        </is>
      </c>
      <c r="D10295">
        <f>HYPERLINK("https://www.youtube.com/watch?v=HSercnrqeN4&amp;t=606s", "Go to time")</f>
        <v/>
      </c>
    </row>
    <row r="10296">
      <c r="A10296">
        <f>HYPERLINK("https://www.youtube.com/watch?v=V8APZmk82xc", "Video")</f>
        <v/>
      </c>
      <c r="B10296" t="inlineStr">
        <is>
          <t>2:06</t>
        </is>
      </c>
      <c r="C10296" t="inlineStr">
        <is>
          <t>that was uninhabited on the weekends.</t>
        </is>
      </c>
      <c r="D10296">
        <f>HYPERLINK("https://www.youtube.com/watch?v=V8APZmk82xc&amp;t=126s", "Go to time")</f>
        <v/>
      </c>
    </row>
    <row r="10297">
      <c r="A10297">
        <f>HYPERLINK("https://www.youtube.com/watch?v=p3uBMqCPSDk", "Video")</f>
        <v/>
      </c>
      <c r="B10297" t="inlineStr">
        <is>
          <t>10:31</t>
        </is>
      </c>
      <c r="C10297" t="inlineStr">
        <is>
          <t>It's a bit noisy,</t>
        </is>
      </c>
      <c r="D10297">
        <f>HYPERLINK("https://www.youtube.com/watch?v=p3uBMqCPSDk&amp;t=631s", "Go to time")</f>
        <v/>
      </c>
    </row>
    <row r="10298">
      <c r="A10298">
        <f>HYPERLINK("https://www.youtube.com/watch?v=zwpiI18TBdE", "Video")</f>
        <v/>
      </c>
      <c r="B10298" t="inlineStr">
        <is>
          <t>8:27</t>
        </is>
      </c>
      <c r="C10298" t="inlineStr">
        <is>
          <t>blown to bits by the very same device
that had proved harmless to me.</t>
        </is>
      </c>
      <c r="D10298">
        <f>HYPERLINK("https://www.youtube.com/watch?v=zwpiI18TBdE&amp;t=507s", "Go to time")</f>
        <v/>
      </c>
    </row>
    <row r="10299">
      <c r="A10299">
        <f>HYPERLINK("https://www.youtube.com/watch?v=bsxJVgb6Kls", "Video")</f>
        <v/>
      </c>
      <c r="B10299" t="inlineStr">
        <is>
          <t>0:54</t>
        </is>
      </c>
      <c r="C10299" t="inlineStr">
        <is>
          <t>So I'm going to set my sights
just a tiny bit higher than that</t>
        </is>
      </c>
      <c r="D10299">
        <f>HYPERLINK("https://www.youtube.com/watch?v=bsxJVgb6Kls&amp;t=54s", "Go to time")</f>
        <v/>
      </c>
    </row>
    <row r="10300">
      <c r="A10300">
        <f>HYPERLINK("https://www.youtube.com/watch?v=bsxJVgb6Kls", "Video")</f>
        <v/>
      </c>
      <c r="B10300" t="inlineStr">
        <is>
          <t>2:27</t>
        </is>
      </c>
      <c r="C10300" t="inlineStr">
        <is>
          <t>And it's why often we do things
that are a bit unlike us.</t>
        </is>
      </c>
      <c r="D10300">
        <f>HYPERLINK("https://www.youtube.com/watch?v=bsxJVgb6Kls&amp;t=147s", "Go to time")</f>
        <v/>
      </c>
    </row>
    <row r="10301">
      <c r="A10301">
        <f>HYPERLINK("https://www.youtube.com/watch?v=bsxJVgb6Kls", "Video")</f>
        <v/>
      </c>
      <c r="B10301" t="inlineStr">
        <is>
          <t>5:24</t>
        </is>
      </c>
      <c r="C10301" t="inlineStr">
        <is>
          <t>just to put you under
that little bit of pressure."</t>
        </is>
      </c>
      <c r="D10301">
        <f>HYPERLINK("https://www.youtube.com/watch?v=bsxJVgb6Kls&amp;t=324s", "Go to time")</f>
        <v/>
      </c>
    </row>
    <row r="10302">
      <c r="A10302">
        <f>HYPERLINK("https://www.youtube.com/watch?v=bsxJVgb6Kls", "Video")</f>
        <v/>
      </c>
      <c r="B10302" t="inlineStr">
        <is>
          <t>8:24</t>
        </is>
      </c>
      <c r="C10302" t="inlineStr">
        <is>
          <t>And I saw him sitting alone,
looking a bit miserable.</t>
        </is>
      </c>
      <c r="D10302">
        <f>HYPERLINK("https://www.youtube.com/watch?v=bsxJVgb6Kls&amp;t=504s", "Go to time")</f>
        <v/>
      </c>
    </row>
    <row r="10303">
      <c r="A10303">
        <f>HYPERLINK("https://www.youtube.com/watch?v=bsxJVgb6Kls", "Video")</f>
        <v/>
      </c>
      <c r="B10303" t="inlineStr">
        <is>
          <t>12:11</t>
        </is>
      </c>
      <c r="C10303" t="inlineStr">
        <is>
          <t>and I just began to get
a bit worried about it.</t>
        </is>
      </c>
      <c r="D10303">
        <f>HYPERLINK("https://www.youtube.com/watch?v=bsxJVgb6Kls&amp;t=731s", "Go to time")</f>
        <v/>
      </c>
    </row>
    <row r="10304">
      <c r="A10304">
        <f>HYPERLINK("https://www.youtube.com/watch?v=bsxJVgb6Kls", "Video")</f>
        <v/>
      </c>
      <c r="B10304" t="inlineStr">
        <is>
          <t>12:17</t>
        </is>
      </c>
      <c r="C10304" t="inlineStr">
        <is>
          <t>It was all a bit mucky.</t>
        </is>
      </c>
      <c r="D10304">
        <f>HYPERLINK("https://www.youtube.com/watch?v=bsxJVgb6Kls&amp;t=737s", "Go to time")</f>
        <v/>
      </c>
    </row>
    <row r="10305">
      <c r="A10305">
        <f>HYPERLINK("https://www.youtube.com/watch?v=bsxJVgb6Kls", "Video")</f>
        <v/>
      </c>
      <c r="B10305" t="inlineStr">
        <is>
          <t>14:00</t>
        </is>
      </c>
      <c r="C10305" t="inlineStr">
        <is>
          <t>It's a bit like going to the doctor</t>
        </is>
      </c>
      <c r="D10305">
        <f>HYPERLINK("https://www.youtube.com/watch?v=bsxJVgb6Kls&amp;t=840s", "Go to time")</f>
        <v/>
      </c>
    </row>
    <row r="10306">
      <c r="A10306">
        <f>HYPERLINK("https://www.youtube.com/watch?v=EgFJ1lu2kR8", "Video")</f>
        <v/>
      </c>
      <c r="B10306" t="inlineStr">
        <is>
          <t>2:51</t>
        </is>
      </c>
      <c r="C10306" t="inlineStr">
        <is>
          <t>remains a serious obstacle
for ambitious women</t>
        </is>
      </c>
      <c r="D10306">
        <f>HYPERLINK("https://www.youtube.com/watch?v=EgFJ1lu2kR8&amp;t=171s", "Go to time")</f>
        <v/>
      </c>
    </row>
    <row r="10307">
      <c r="A10307">
        <f>HYPERLINK("https://www.youtube.com/watch?v=EgFJ1lu2kR8", "Video")</f>
        <v/>
      </c>
      <c r="B10307" t="inlineStr">
        <is>
          <t>4:47</t>
        </is>
      </c>
      <c r="C10307" t="inlineStr">
        <is>
          <t>and are working hard to achieve
our ambitious goal of a million.</t>
        </is>
      </c>
      <c r="D10307">
        <f>HYPERLINK("https://www.youtube.com/watch?v=EgFJ1lu2kR8&amp;t=287s", "Go to time")</f>
        <v/>
      </c>
    </row>
    <row r="10308">
      <c r="A10308">
        <f>HYPERLINK("https://www.youtube.com/watch?v=gJjLdnycuyU", "Video")</f>
        <v/>
      </c>
      <c r="B10308" t="inlineStr">
        <is>
          <t>6:21</t>
        </is>
      </c>
      <c r="C10308" t="inlineStr">
        <is>
          <t>BB: They were feeling like, "We're
in danger of falling into certain habits,</t>
        </is>
      </c>
      <c r="D10308">
        <f>HYPERLINK("https://www.youtube.com/watch?v=gJjLdnycuyU&amp;t=381s", "Go to time")</f>
        <v/>
      </c>
    </row>
    <row r="10309">
      <c r="A10309">
        <f>HYPERLINK("https://www.youtube.com/watch?v=gJjLdnycuyU", "Video")</f>
        <v/>
      </c>
      <c r="B10309" t="inlineStr">
        <is>
          <t>16:16</t>
        </is>
      </c>
      <c r="C10309" t="inlineStr">
        <is>
          <t>"Well, you've got to hit F3-7 and put
this little bit of the code in there.</t>
        </is>
      </c>
      <c r="D10309">
        <f>HYPERLINK("https://www.youtube.com/watch?v=gJjLdnycuyU&amp;t=976s", "Go to time")</f>
        <v/>
      </c>
    </row>
    <row r="10310">
      <c r="A10310">
        <f>HYPERLINK("https://www.youtube.com/watch?v=gJjLdnycuyU", "Video")</f>
        <v/>
      </c>
      <c r="B10310" t="inlineStr">
        <is>
          <t>19:36</t>
        </is>
      </c>
      <c r="C10310" t="inlineStr">
        <is>
          <t>SG: ... and I had talked
a little bit about, in my email,</t>
        </is>
      </c>
      <c r="D10310">
        <f>HYPERLINK("https://www.youtube.com/watch?v=gJjLdnycuyU&amp;t=1176s", "Go to time")</f>
        <v/>
      </c>
    </row>
    <row r="10311">
      <c r="A10311">
        <f>HYPERLINK("https://www.youtube.com/watch?v=gJjLdnycuyU", "Video")</f>
        <v/>
      </c>
      <c r="B10311" t="inlineStr">
        <is>
          <t>28:08</t>
        </is>
      </c>
      <c r="C10311" t="inlineStr">
        <is>
          <t>AG: Pixar producer Nicole Grindle
saw Brad's underdog gambit pay off.</t>
        </is>
      </c>
      <c r="D10311">
        <f>HYPERLINK("https://www.youtube.com/watch?v=gJjLdnycuyU&amp;t=1688s", "Go to time")</f>
        <v/>
      </c>
    </row>
    <row r="10312">
      <c r="A10312">
        <f>HYPERLINK("https://www.youtube.com/watch?v=gJjLdnycuyU", "Video")</f>
        <v/>
      </c>
      <c r="B10312" t="inlineStr">
        <is>
          <t>31:56</t>
        </is>
      </c>
      <c r="C10312" t="inlineStr">
        <is>
          <t>because I had this habit
of reading long books</t>
        </is>
      </c>
      <c r="D10312">
        <f>HYPERLINK("https://www.youtube.com/watch?v=gJjLdnycuyU&amp;t=1916s", "Go to time")</f>
        <v/>
      </c>
    </row>
    <row r="10313">
      <c r="A10313">
        <f>HYPERLINK("https://www.youtube.com/watch?v=gJjLdnycuyU", "Video")</f>
        <v/>
      </c>
      <c r="B10313" t="inlineStr">
        <is>
          <t>37:16</t>
        </is>
      </c>
      <c r="C10313" t="inlineStr">
        <is>
          <t>not just an arbitrary burden.</t>
        </is>
      </c>
      <c r="D10313">
        <f>HYPERLINK("https://www.youtube.com/watch?v=gJjLdnycuyU&amp;t=2236s", "Go to time")</f>
        <v/>
      </c>
    </row>
    <row r="10314">
      <c r="A10314">
        <f>HYPERLINK("https://www.youtube.com/watch?v=gElClXpg4J0", "Video")</f>
        <v/>
      </c>
      <c r="B10314" t="inlineStr">
        <is>
          <t>5:20</t>
        </is>
      </c>
      <c r="C10314" t="inlineStr">
        <is>
          <t>G: The white book
is “Atomic Habits” by James Clear.</t>
        </is>
      </c>
      <c r="D10314">
        <f>HYPERLINK("https://www.youtube.com/watch?v=gElClXpg4J0&amp;t=320s", "Go to time")</f>
        <v/>
      </c>
    </row>
    <row r="10315">
      <c r="A10315">
        <f>HYPERLINK("https://www.youtube.com/watch?v=gElClXpg4J0", "Video")</f>
        <v/>
      </c>
      <c r="B10315" t="inlineStr">
        <is>
          <t>6:14</t>
        </is>
      </c>
      <c r="C10315" t="inlineStr">
        <is>
          <t>G: This diagram
is labeled “The Habit Line”</t>
        </is>
      </c>
      <c r="D10315">
        <f>HYPERLINK("https://www.youtube.com/watch?v=gElClXpg4J0&amp;t=374s", "Go to time")</f>
        <v/>
      </c>
    </row>
    <row r="10316">
      <c r="A10316">
        <f>HYPERLINK("https://www.youtube.com/watch?v=gElClXpg4J0", "Video")</f>
        <v/>
      </c>
      <c r="B10316" t="inlineStr">
        <is>
          <t>6:17</t>
        </is>
      </c>
      <c r="C10316" t="inlineStr">
        <is>
          <t>and illustrates the process
of habit formation.</t>
        </is>
      </c>
      <c r="D10316">
        <f>HYPERLINK("https://www.youtube.com/watch?v=gElClXpg4J0&amp;t=377s", "Go to time")</f>
        <v/>
      </c>
    </row>
    <row r="10317">
      <c r="A10317">
        <f>HYPERLINK("https://www.youtube.com/watch?v=gElClXpg4J0", "Video")</f>
        <v/>
      </c>
      <c r="B10317" t="inlineStr">
        <is>
          <t>6:23</t>
        </is>
      </c>
      <c r="C10317" t="inlineStr">
        <is>
          <t>until a habit is formed.</t>
        </is>
      </c>
      <c r="D10317">
        <f>HYPERLINK("https://www.youtube.com/watch?v=gElClXpg4J0&amp;t=383s", "Go to time")</f>
        <v/>
      </c>
    </row>
    <row r="10318">
      <c r="A10318">
        <f>HYPERLINK("https://www.youtube.com/watch?v=gElClXpg4J0", "Video")</f>
        <v/>
      </c>
      <c r="B10318" t="inlineStr">
        <is>
          <t>13:11</t>
        </is>
      </c>
      <c r="C10318" t="inlineStr">
        <is>
          <t>SI: OK, let's have
a little bit of fun now.</t>
        </is>
      </c>
      <c r="D10318">
        <f>HYPERLINK("https://www.youtube.com/watch?v=gElClXpg4J0&amp;t=791s", "Go to time")</f>
        <v/>
      </c>
    </row>
    <row r="10319">
      <c r="A10319">
        <f>HYPERLINK("https://www.youtube.com/watch?v=hktbamn2jX4", "Video")</f>
        <v/>
      </c>
      <c r="B10319" t="inlineStr">
        <is>
          <t>1:52</t>
        </is>
      </c>
      <c r="C10319" t="inlineStr">
        <is>
          <t>it would extend well beyond
the orbit of Jupiter.</t>
        </is>
      </c>
      <c r="D10319">
        <f>HYPERLINK("https://www.youtube.com/watch?v=hktbamn2jX4&amp;t=112s", "Go to time")</f>
        <v/>
      </c>
    </row>
    <row r="10320">
      <c r="A10320">
        <f>HYPERLINK("https://www.youtube.com/watch?v=T00TZkOMLZc", "Video")</f>
        <v/>
      </c>
      <c r="B10320" t="inlineStr">
        <is>
          <t>3:35</t>
        </is>
      </c>
      <c r="C10320" t="inlineStr">
        <is>
          <t>bit because you need a bit of rest in a</t>
        </is>
      </c>
      <c r="D10320">
        <f>HYPERLINK("https://www.youtube.com/watch?v=T00TZkOMLZc&amp;t=215s", "Go to time")</f>
        <v/>
      </c>
    </row>
    <row r="10321">
      <c r="A10321">
        <f>HYPERLINK("https://www.youtube.com/watch?v=T00TZkOMLZc", "Video")</f>
        <v/>
      </c>
      <c r="B10321" t="inlineStr">
        <is>
          <t>3:36</t>
        </is>
      </c>
      <c r="C10321" t="inlineStr">
        <is>
          <t>bit of break so so far it's spending</t>
        </is>
      </c>
      <c r="D10321">
        <f>HYPERLINK("https://www.youtube.com/watch?v=T00TZkOMLZc&amp;t=216s", "Go to time")</f>
        <v/>
      </c>
    </row>
    <row r="10322">
      <c r="A10322">
        <f>HYPERLINK("https://www.youtube.com/watch?v=T00TZkOMLZc", "Video")</f>
        <v/>
      </c>
      <c r="B10322" t="inlineStr">
        <is>
          <t>3:54</t>
        </is>
      </c>
      <c r="C10322" t="inlineStr">
        <is>
          <t>to feel a bit older you know to see that</t>
        </is>
      </c>
      <c r="D10322">
        <f>HYPERLINK("https://www.youtube.com/watch?v=T00TZkOMLZc&amp;t=234s", "Go to time")</f>
        <v/>
      </c>
    </row>
    <row r="10323">
      <c r="A10323">
        <f>HYPERLINK("https://www.youtube.com/watch?v=T00TZkOMLZc", "Video")</f>
        <v/>
      </c>
      <c r="B10323" t="inlineStr">
        <is>
          <t>8:21</t>
        </is>
      </c>
      <c r="C10323" t="inlineStr">
        <is>
          <t>know I'd love to talk a little bit about</t>
        </is>
      </c>
      <c r="D10323">
        <f>HYPERLINK("https://www.youtube.com/watch?v=T00TZkOMLZc&amp;t=501s", "Go to time")</f>
        <v/>
      </c>
    </row>
    <row r="10324">
      <c r="A10324">
        <f>HYPERLINK("https://www.youtube.com/watch?v=T00TZkOMLZc", "Video")</f>
        <v/>
      </c>
      <c r="B10324" t="inlineStr">
        <is>
          <t>8:32</t>
        </is>
      </c>
      <c r="C10324" t="inlineStr">
        <is>
          <t>and could you talk a little bit to how</t>
        </is>
      </c>
      <c r="D10324">
        <f>HYPERLINK("https://www.youtube.com/watch?v=T00TZkOMLZc&amp;t=512s", "Go to time")</f>
        <v/>
      </c>
    </row>
    <row r="10325">
      <c r="A10325">
        <f>HYPERLINK("https://www.youtube.com/watch?v=T00TZkOMLZc", "Video")</f>
        <v/>
      </c>
      <c r="B10325" t="inlineStr">
        <is>
          <t>10:07</t>
        </is>
      </c>
      <c r="C10325" t="inlineStr">
        <is>
          <t>so you know could you talk a little bit</t>
        </is>
      </c>
      <c r="D10325">
        <f>HYPERLINK("https://www.youtube.com/watch?v=T00TZkOMLZc&amp;t=607s", "Go to time")</f>
        <v/>
      </c>
    </row>
    <row r="10326">
      <c r="A10326">
        <f>HYPERLINK("https://www.youtube.com/watch?v=T00TZkOMLZc", "Video")</f>
        <v/>
      </c>
      <c r="B10326" t="inlineStr">
        <is>
          <t>18:57</t>
        </is>
      </c>
      <c r="C10326" t="inlineStr">
        <is>
          <t>know I'd love to talk a little bit also</t>
        </is>
      </c>
      <c r="D10326">
        <f>HYPERLINK("https://www.youtube.com/watch?v=T00TZkOMLZc&amp;t=1137s", "Go to time")</f>
        <v/>
      </c>
    </row>
    <row r="10327">
      <c r="A10327">
        <f>HYPERLINK("https://www.youtube.com/watch?v=T00TZkOMLZc", "Video")</f>
        <v/>
      </c>
      <c r="B10327" t="inlineStr">
        <is>
          <t>27:32</t>
        </is>
      </c>
      <c r="C10327" t="inlineStr">
        <is>
          <t>engage it just requires a bit of you</t>
        </is>
      </c>
      <c r="D10327">
        <f>HYPERLINK("https://www.youtube.com/watch?v=T00TZkOMLZc&amp;t=1652s", "Go to time")</f>
        <v/>
      </c>
    </row>
    <row r="10328">
      <c r="A10328">
        <f>HYPERLINK("https://www.youtube.com/watch?v=T00TZkOMLZc", "Video")</f>
        <v/>
      </c>
      <c r="B10328" t="inlineStr">
        <is>
          <t>27:37</t>
        </is>
      </c>
      <c r="C10328" t="inlineStr">
        <is>
          <t>a bit of research and I'm sure we all</t>
        </is>
      </c>
      <c r="D10328">
        <f>HYPERLINK("https://www.youtube.com/watch?v=T00TZkOMLZc&amp;t=1657s", "Go to time")</f>
        <v/>
      </c>
    </row>
    <row r="10329">
      <c r="A10329">
        <f>HYPERLINK("https://www.youtube.com/watch?v=T00TZkOMLZc", "Video")</f>
        <v/>
      </c>
      <c r="B10329" t="inlineStr">
        <is>
          <t>36:02</t>
        </is>
      </c>
      <c r="C10329" t="inlineStr">
        <is>
          <t>mentioned a little bit you know the just</t>
        </is>
      </c>
      <c r="D10329">
        <f>HYPERLINK("https://www.youtube.com/watch?v=T00TZkOMLZc&amp;t=2162s", "Go to time")</f>
        <v/>
      </c>
    </row>
    <row r="10330">
      <c r="A10330">
        <f>HYPERLINK("https://www.youtube.com/watch?v=T00TZkOMLZc", "Video")</f>
        <v/>
      </c>
      <c r="B10330" t="inlineStr">
        <is>
          <t>39:49</t>
        </is>
      </c>
      <c r="C10330" t="inlineStr">
        <is>
          <t>vism or your movement a bit limited even</t>
        </is>
      </c>
      <c r="D10330">
        <f>HYPERLINK("https://www.youtube.com/watch?v=T00TZkOMLZc&amp;t=2389s", "Go to time")</f>
        <v/>
      </c>
    </row>
    <row r="10331">
      <c r="A10331">
        <f>HYPERLINK("https://www.youtube.com/watch?v=w1CqXHlAzkc", "Video")</f>
        <v/>
      </c>
      <c r="B10331" t="inlineStr">
        <is>
          <t>1:42</t>
        </is>
      </c>
      <c r="C10331" t="inlineStr">
        <is>
          <t>try to find signs of microbial life
on planets orbiting other stars.</t>
        </is>
      </c>
      <c r="D10331">
        <f>HYPERLINK("https://www.youtube.com/watch?v=w1CqXHlAzkc&amp;t=102s", "Go to time")</f>
        <v/>
      </c>
    </row>
    <row r="10332">
      <c r="A10332">
        <f>HYPERLINK("https://www.youtube.com/watch?v=w1CqXHlAzkc", "Video")</f>
        <v/>
      </c>
      <c r="B10332" t="inlineStr">
        <is>
          <t>3:26</t>
        </is>
      </c>
      <c r="C10332" t="inlineStr">
        <is>
          <t>we will have a sobering lesson to apply
to planets orbiting distant stars.</t>
        </is>
      </c>
      <c r="D10332">
        <f>HYPERLINK("https://www.youtube.com/watch?v=w1CqXHlAzkc&amp;t=206s", "Go to time")</f>
        <v/>
      </c>
    </row>
    <row r="10333">
      <c r="A10333">
        <f>HYPERLINK("https://www.youtube.com/watch?v=w1CqXHlAzkc", "Video")</f>
        <v/>
      </c>
      <c r="B10333" t="inlineStr">
        <is>
          <t>3:36</t>
        </is>
      </c>
      <c r="C10333" t="inlineStr">
        <is>
          <t>The planets we're finding
orbiting other stars</t>
        </is>
      </c>
      <c r="D10333">
        <f>HYPERLINK("https://www.youtube.com/watch?v=w1CqXHlAzkc&amp;t=216s", "Go to time")</f>
        <v/>
      </c>
    </row>
    <row r="10334">
      <c r="A10334">
        <f>HYPERLINK("https://www.youtube.com/watch?v=w1CqXHlAzkc", "Video")</f>
        <v/>
      </c>
      <c r="B10334" t="inlineStr">
        <is>
          <t>4:16</t>
        </is>
      </c>
      <c r="C10334" t="inlineStr">
        <is>
          <t>about a planet's geology
and the star it orbits.</t>
        </is>
      </c>
      <c r="D10334">
        <f>HYPERLINK("https://www.youtube.com/watch?v=w1CqXHlAzkc&amp;t=256s", "Go to time")</f>
        <v/>
      </c>
    </row>
    <row r="10335">
      <c r="A10335">
        <f>HYPERLINK("https://www.youtube.com/watch?v=cIu8Xo5yHlI", "Video")</f>
        <v/>
      </c>
      <c r="B10335" t="inlineStr">
        <is>
          <t>0:20</t>
        </is>
      </c>
      <c r="C10335" t="inlineStr">
        <is>
          <t>We are known as the oldest
continuously inhabited community</t>
        </is>
      </c>
      <c r="D10335">
        <f>HYPERLINK("https://www.youtube.com/watch?v=cIu8Xo5yHlI&amp;t=20s", "Go to time")</f>
        <v/>
      </c>
    </row>
    <row r="10336">
      <c r="A10336">
        <f>HYPERLINK("https://www.youtube.com/watch?v=cIu8Xo5yHlI", "Video")</f>
        <v/>
      </c>
      <c r="B10336" t="inlineStr">
        <is>
          <t>0:29</t>
        </is>
      </c>
      <c r="C10336" t="inlineStr">
        <is>
          <t>and we've inhabited our lands
for over 2,000 years.</t>
        </is>
      </c>
      <c r="D10336">
        <f>HYPERLINK("https://www.youtube.com/watch?v=cIu8Xo5yHlI&amp;t=29s", "Go to time")</f>
        <v/>
      </c>
    </row>
    <row r="10337">
      <c r="A10337">
        <f>HYPERLINK("https://www.youtube.com/watch?v=cIu8Xo5yHlI", "Video")</f>
        <v/>
      </c>
      <c r="B10337" t="inlineStr">
        <is>
          <t>3:50</t>
        </is>
      </c>
      <c r="C10337" t="inlineStr">
        <is>
          <t>So that's a little bit about my story.</t>
        </is>
      </c>
      <c r="D10337">
        <f>HYPERLINK("https://www.youtube.com/watch?v=cIu8Xo5yHlI&amp;t=230s", "Go to time")</f>
        <v/>
      </c>
    </row>
    <row r="10338">
      <c r="A10338">
        <f>HYPERLINK("https://www.youtube.com/watch?v=PsFlp3u74mI", "Video")</f>
        <v/>
      </c>
      <c r="B10338" t="inlineStr">
        <is>
          <t>5:46</t>
        </is>
      </c>
      <c r="C10338" t="inlineStr">
        <is>
          <t>Got a bit heated,
but the mood swung to a no.</t>
        </is>
      </c>
      <c r="D10338">
        <f>HYPERLINK("https://www.youtube.com/watch?v=PsFlp3u74mI&amp;t=346s", "Go to time")</f>
        <v/>
      </c>
    </row>
    <row r="10339">
      <c r="A10339">
        <f>HYPERLINK("https://www.youtube.com/watch?v=cgxZ4H3gJ8c", "Video")</f>
        <v/>
      </c>
      <c r="B10339" t="inlineStr">
        <is>
          <t>10:16</t>
        </is>
      </c>
      <c r="C10339" t="inlineStr">
        <is>
          <t>get us to treat each other
just a bit more humanely.</t>
        </is>
      </c>
      <c r="D10339">
        <f>HYPERLINK("https://www.youtube.com/watch?v=cgxZ4H3gJ8c&amp;t=616s", "Go to time")</f>
        <v/>
      </c>
    </row>
    <row r="10340">
      <c r="A10340">
        <f>HYPERLINK("https://www.youtube.com/watch?v=x7I5BWW-0c8", "Video")</f>
        <v/>
      </c>
      <c r="B10340" t="inlineStr">
        <is>
          <t>2:18</t>
        </is>
      </c>
      <c r="C10340" t="inlineStr">
        <is>
          <t>We had also tried a bit cows,</t>
        </is>
      </c>
      <c r="D10340">
        <f>HYPERLINK("https://www.youtube.com/watch?v=x7I5BWW-0c8&amp;t=138s", "Go to time")</f>
        <v/>
      </c>
    </row>
    <row r="10341">
      <c r="A10341">
        <f>HYPERLINK("https://www.youtube.com/watch?v=x7I5BWW-0c8", "Video")</f>
        <v/>
      </c>
      <c r="B10341" t="inlineStr">
        <is>
          <t>5:25</t>
        </is>
      </c>
      <c r="C10341" t="inlineStr">
        <is>
          <t>and as much as I grew a bit older,</t>
        </is>
      </c>
      <c r="D10341">
        <f>HYPERLINK("https://www.youtube.com/watch?v=x7I5BWW-0c8&amp;t=325s", "Go to time")</f>
        <v/>
      </c>
    </row>
    <row r="10342">
      <c r="A10342">
        <f>HYPERLINK("https://www.youtube.com/watch?v=qNTf3Zu-oZk", "Video")</f>
        <v/>
      </c>
      <c r="B10342" t="inlineStr">
        <is>
          <t>0:56</t>
        </is>
      </c>
      <c r="C10342" t="inlineStr">
        <is>
          <t>It did feel a little bit too obvious,</t>
        </is>
      </c>
      <c r="D10342">
        <f>HYPERLINK("https://www.youtube.com/watch?v=qNTf3Zu-oZk&amp;t=56s", "Go to time")</f>
        <v/>
      </c>
    </row>
    <row r="10343">
      <c r="A10343">
        <f>HYPERLINK("https://www.youtube.com/watch?v=qNTf3Zu-oZk", "Video")</f>
        <v/>
      </c>
      <c r="B10343" t="inlineStr">
        <is>
          <t>1:04</t>
        </is>
      </c>
      <c r="C10343" t="inlineStr">
        <is>
          <t>but it did feel a little bit too obvious</t>
        </is>
      </c>
      <c r="D10343">
        <f>HYPERLINK("https://www.youtube.com/watch?v=qNTf3Zu-oZk&amp;t=64s", "Go to time")</f>
        <v/>
      </c>
    </row>
    <row r="10344">
      <c r="A10344">
        <f>HYPERLINK("https://www.youtube.com/watch?v=qNTf3Zu-oZk", "Video")</f>
        <v/>
      </c>
      <c r="B10344" t="inlineStr">
        <is>
          <t>1:41</t>
        </is>
      </c>
      <c r="C10344" t="inlineStr">
        <is>
          <t>so there's a little bit of an incentive</t>
        </is>
      </c>
      <c r="D10344">
        <f>HYPERLINK("https://www.youtube.com/watch?v=qNTf3Zu-oZk&amp;t=101s", "Go to time")</f>
        <v/>
      </c>
    </row>
    <row r="10345">
      <c r="A10345">
        <f>HYPERLINK("https://www.youtube.com/watch?v=qNTf3Zu-oZk", "Video")</f>
        <v/>
      </c>
      <c r="B10345" t="inlineStr">
        <is>
          <t>3:07</t>
        </is>
      </c>
      <c r="C10345" t="inlineStr">
        <is>
          <t>and by fascinating I mean
a little bit insane,</t>
        </is>
      </c>
      <c r="D10345">
        <f>HYPERLINK("https://www.youtube.com/watch?v=qNTf3Zu-oZk&amp;t=187s", "Go to time")</f>
        <v/>
      </c>
    </row>
    <row r="10346">
      <c r="A10346">
        <f>HYPERLINK("https://www.youtube.com/watch?v=qNTf3Zu-oZk", "Video")</f>
        <v/>
      </c>
      <c r="B10346" t="inlineStr">
        <is>
          <t>6:05</t>
        </is>
      </c>
      <c r="C10346" t="inlineStr">
        <is>
          <t>It was a little bit more important,
gender, than five percent,</t>
        </is>
      </c>
      <c r="D10346">
        <f>HYPERLINK("https://www.youtube.com/watch?v=qNTf3Zu-oZk&amp;t=365s", "Go to time")</f>
        <v/>
      </c>
    </row>
    <row r="10347">
      <c r="A10347">
        <f>HYPERLINK("https://www.youtube.com/watch?v=qNTf3Zu-oZk", "Video")</f>
        <v/>
      </c>
      <c r="B10347" t="inlineStr">
        <is>
          <t>7:40</t>
        </is>
      </c>
      <c r="C10347" t="inlineStr">
        <is>
          <t>so there's going to be
a little bit of tension,</t>
        </is>
      </c>
      <c r="D10347">
        <f>HYPERLINK("https://www.youtube.com/watch?v=qNTf3Zu-oZk&amp;t=460s", "Go to time")</f>
        <v/>
      </c>
    </row>
    <row r="10348">
      <c r="A10348">
        <f>HYPERLINK("https://www.youtube.com/watch?v=sRoqDVgFgSw", "Video")</f>
        <v/>
      </c>
      <c r="B10348" t="inlineStr">
        <is>
          <t>5:22</t>
        </is>
      </c>
      <c r="C10348" t="inlineStr">
        <is>
          <t>I may have panicked just a little bit,</t>
        </is>
      </c>
      <c r="D10348">
        <f>HYPERLINK("https://www.youtube.com/watch?v=sRoqDVgFgSw&amp;t=322s", "Go to time")</f>
        <v/>
      </c>
    </row>
    <row r="10349">
      <c r="A10349">
        <f>HYPERLINK("https://www.youtube.com/watch?v=gN2DWyJTUnY", "Video")</f>
        <v/>
      </c>
      <c r="B10349" t="inlineStr">
        <is>
          <t>1:11</t>
        </is>
      </c>
      <c r="C10349" t="inlineStr">
        <is>
          <t>in orbit or on the Moon,</t>
        </is>
      </c>
      <c r="D10349">
        <f>HYPERLINK("https://www.youtube.com/watch?v=gN2DWyJTUnY&amp;t=71s", "Go to time")</f>
        <v/>
      </c>
    </row>
    <row r="10350">
      <c r="A10350">
        <f>HYPERLINK("https://www.youtube.com/watch?v=NkYk36wpk-4", "Video")</f>
        <v/>
      </c>
      <c r="B10350" t="inlineStr">
        <is>
          <t>2:53</t>
        </is>
      </c>
      <c r="C10350" t="inlineStr">
        <is>
          <t>that I'll tell you
a little bit about later.</t>
        </is>
      </c>
      <c r="D10350">
        <f>HYPERLINK("https://www.youtube.com/watch?v=NkYk36wpk-4&amp;t=173s", "Go to time")</f>
        <v/>
      </c>
    </row>
    <row r="10351">
      <c r="A10351">
        <f>HYPERLINK("https://www.youtube.com/watch?v=NkYk36wpk-4", "Video")</f>
        <v/>
      </c>
      <c r="B10351" t="inlineStr">
        <is>
          <t>10:01</t>
        </is>
      </c>
      <c r="C10351" t="inlineStr">
        <is>
          <t>with a simple bite.</t>
        </is>
      </c>
      <c r="D10351">
        <f>HYPERLINK("https://www.youtube.com/watch?v=NkYk36wpk-4&amp;t=601s", "Go to time")</f>
        <v/>
      </c>
    </row>
    <row r="10352">
      <c r="A10352">
        <f>HYPERLINK("https://www.youtube.com/watch?v=ydKcaIE6O1k", "Video")</f>
        <v/>
      </c>
      <c r="B10352" t="inlineStr">
        <is>
          <t>5:20</t>
        </is>
      </c>
      <c r="C10352" t="inlineStr">
        <is>
          <t>Now, those words are every bit
as resonant today.</t>
        </is>
      </c>
      <c r="D10352">
        <f>HYPERLINK("https://www.youtube.com/watch?v=ydKcaIE6O1k&amp;t=320s", "Go to time")</f>
        <v/>
      </c>
    </row>
    <row r="10353">
      <c r="A10353">
        <f>HYPERLINK("https://www.youtube.com/watch?v=SCWFVd_FiAU", "Video")</f>
        <v/>
      </c>
      <c r="B10353" t="inlineStr">
        <is>
          <t>6:42</t>
        </is>
      </c>
      <c r="C10353" t="inlineStr">
        <is>
          <t>and all this sorcery
and secret bits of knowledge</t>
        </is>
      </c>
      <c r="D10353">
        <f>HYPERLINK("https://www.youtube.com/watch?v=SCWFVd_FiAU&amp;t=402s", "Go to time")</f>
        <v/>
      </c>
    </row>
    <row r="10354">
      <c r="A10354">
        <f>HYPERLINK("https://www.youtube.com/watch?v=X41iulkRqZU", "Video")</f>
        <v/>
      </c>
      <c r="B10354" t="inlineStr">
        <is>
          <t>12:50</t>
        </is>
      </c>
      <c r="C10354" t="inlineStr">
        <is>
          <t>so they just walk around bitterly
bumping into the glass walls.</t>
        </is>
      </c>
      <c r="D10354">
        <f>HYPERLINK("https://www.youtube.com/watch?v=X41iulkRqZU&amp;t=770s", "Go to time")</f>
        <v/>
      </c>
    </row>
    <row r="10355">
      <c r="A10355">
        <f>HYPERLINK("https://www.youtube.com/watch?v=X41iulkRqZU", "Video")</f>
        <v/>
      </c>
      <c r="B10355" t="inlineStr">
        <is>
          <t>14:18</t>
        </is>
      </c>
      <c r="C10355" t="inlineStr">
        <is>
          <t>When you're a little bit older,
like my tiny personal self,</t>
        </is>
      </c>
      <c r="D10355">
        <f>HYPERLINK("https://www.youtube.com/watch?v=X41iulkRqZU&amp;t=858s", "Go to time")</f>
        <v/>
      </c>
    </row>
    <row r="10356">
      <c r="A10356">
        <f>HYPERLINK("https://www.youtube.com/watch?v=Q9cje57YDRU", "Video")</f>
        <v/>
      </c>
      <c r="B10356" t="inlineStr">
        <is>
          <t>1:04</t>
        </is>
      </c>
      <c r="C10356" t="inlineStr">
        <is>
          <t>You know, women,
they have so many inhibitions.</t>
        </is>
      </c>
      <c r="D10356">
        <f>HYPERLINK("https://www.youtube.com/watch?v=Q9cje57YDRU&amp;t=64s", "Go to time")</f>
        <v/>
      </c>
    </row>
    <row r="10357">
      <c r="A10357">
        <f>HYPERLINK("https://www.youtube.com/watch?v=Q9cje57YDRU", "Video")</f>
        <v/>
      </c>
      <c r="B10357" t="inlineStr">
        <is>
          <t>1:53</t>
        </is>
      </c>
      <c r="C10357" t="inlineStr">
        <is>
          <t>One of the areas that women
can give up a little bit of time</t>
        </is>
      </c>
      <c r="D10357">
        <f>HYPERLINK("https://www.youtube.com/watch?v=Q9cje57YDRU&amp;t=113s", "Go to time")</f>
        <v/>
      </c>
    </row>
    <row r="10358">
      <c r="A10358">
        <f>HYPERLINK("https://www.youtube.com/watch?v=fXsOlAYvgh0", "Video")</f>
        <v/>
      </c>
      <c r="B10358" t="inlineStr">
        <is>
          <t>1:36</t>
        </is>
      </c>
      <c r="C10358" t="inlineStr">
        <is>
          <t>It's a bit like the needles
on a compass swinging round.</t>
        </is>
      </c>
      <c r="D10358">
        <f>HYPERLINK("https://www.youtube.com/watch?v=fXsOlAYvgh0&amp;t=96s", "Go to time")</f>
        <v/>
      </c>
    </row>
    <row r="10359">
      <c r="A10359">
        <f>HYPERLINK("https://www.youtube.com/watch?v=fXsOlAYvgh0", "Video")</f>
        <v/>
      </c>
      <c r="B10359" t="inlineStr">
        <is>
          <t>8:31</t>
        </is>
      </c>
      <c r="C10359" t="inlineStr">
        <is>
          <t>made the lessons a little
bit more interactive.</t>
        </is>
      </c>
      <c r="D10359">
        <f>HYPERLINK("https://www.youtube.com/watch?v=fXsOlAYvgh0&amp;t=511s", "Go to time")</f>
        <v/>
      </c>
    </row>
    <row r="10360">
      <c r="A10360">
        <f>HYPERLINK("https://www.youtube.com/watch?v=0B543Zkqq88", "Video")</f>
        <v/>
      </c>
      <c r="B10360" t="inlineStr">
        <is>
          <t>2:50</t>
        </is>
      </c>
      <c r="C10360" t="inlineStr">
        <is>
          <t>and I fall down this specific rabbit hole</t>
        </is>
      </c>
      <c r="D10360">
        <f>HYPERLINK("https://www.youtube.com/watch?v=0B543Zkqq88&amp;t=170s", "Go to time")</f>
        <v/>
      </c>
    </row>
    <row r="10361">
      <c r="A10361">
        <f>HYPERLINK("https://www.youtube.com/watch?v=0B543Zkqq88", "Video")</f>
        <v/>
      </c>
      <c r="B10361" t="inlineStr">
        <is>
          <t>4:40</t>
        </is>
      </c>
      <c r="C10361" t="inlineStr">
        <is>
          <t>scary, a bit much?</t>
        </is>
      </c>
      <c r="D10361">
        <f>HYPERLINK("https://www.youtube.com/watch?v=0B543Zkqq88&amp;t=280s", "Go to time")</f>
        <v/>
      </c>
    </row>
    <row r="10362">
      <c r="A10362">
        <f>HYPERLINK("https://www.youtube.com/watch?v=0B543Zkqq88", "Video")</f>
        <v/>
      </c>
      <c r="B10362" t="inlineStr">
        <is>
          <t>5:07</t>
        </is>
      </c>
      <c r="C10362" t="inlineStr">
        <is>
          <t>I, too, had suspected
that they were a bit crazy.</t>
        </is>
      </c>
      <c r="D10362">
        <f>HYPERLINK("https://www.youtube.com/watch?v=0B543Zkqq88&amp;t=307s", "Go to time")</f>
        <v/>
      </c>
    </row>
    <row r="10363">
      <c r="A10363">
        <f>HYPERLINK("https://www.youtube.com/watch?v=0B543Zkqq88", "Video")</f>
        <v/>
      </c>
      <c r="B10363" t="inlineStr">
        <is>
          <t>6:37</t>
        </is>
      </c>
      <c r="C10363" t="inlineStr">
        <is>
          <t>that they are designed
just a bit crazier than the boys,</t>
        </is>
      </c>
      <c r="D10363">
        <f>HYPERLINK("https://www.youtube.com/watch?v=0B543Zkqq88&amp;t=397s", "Go to time")</f>
        <v/>
      </c>
    </row>
    <row r="10364">
      <c r="A10364">
        <f>HYPERLINK("https://www.youtube.com/watch?v=0B543Zkqq88", "Video")</f>
        <v/>
      </c>
      <c r="B10364" t="inlineStr">
        <is>
          <t>6:42</t>
        </is>
      </c>
      <c r="C10364" t="inlineStr">
        <is>
          <t>then isn't that a little bit
like telling them</t>
        </is>
      </c>
      <c r="D10364">
        <f>HYPERLINK("https://www.youtube.com/watch?v=0B543Zkqq88&amp;t=402s", "Go to time")</f>
        <v/>
      </c>
    </row>
    <row r="10365">
      <c r="A10365">
        <f>HYPERLINK("https://www.youtube.com/watch?v=1g-1_Y3fvUg", "Video")</f>
        <v/>
      </c>
      <c r="B10365" t="inlineStr">
        <is>
          <t>0:31</t>
        </is>
      </c>
      <c r="C10365" t="inlineStr">
        <is>
          <t>Well, they were a little bit off the mark.</t>
        </is>
      </c>
      <c r="D10365">
        <f>HYPERLINK("https://www.youtube.com/watch?v=1g-1_Y3fvUg&amp;t=31s", "Go to time")</f>
        <v/>
      </c>
    </row>
    <row r="10366">
      <c r="A10366">
        <f>HYPERLINK("https://www.youtube.com/watch?v=1g-1_Y3fvUg", "Video")</f>
        <v/>
      </c>
      <c r="B10366" t="inlineStr">
        <is>
          <t>2:59</t>
        </is>
      </c>
      <c r="C10366" t="inlineStr">
        <is>
          <t>but traditionally, helicopters have been
just a little bit too expensive,</t>
        </is>
      </c>
      <c r="D10366">
        <f>HYPERLINK("https://www.youtube.com/watch?v=1g-1_Y3fvUg&amp;t=179s", "Go to time")</f>
        <v/>
      </c>
    </row>
    <row r="10367">
      <c r="A10367">
        <f>HYPERLINK("https://www.youtube.com/watch?v=1g-1_Y3fvUg", "Video")</f>
        <v/>
      </c>
      <c r="B10367" t="inlineStr">
        <is>
          <t>5:18</t>
        </is>
      </c>
      <c r="C10367" t="inlineStr">
        <is>
          <t>and fly quite a bit farther.</t>
        </is>
      </c>
      <c r="D10367">
        <f>HYPERLINK("https://www.youtube.com/watch?v=1g-1_Y3fvUg&amp;t=318s", "Go to time")</f>
        <v/>
      </c>
    </row>
    <row r="10368">
      <c r="A10368">
        <f>HYPERLINK("https://www.youtube.com/watch?v=roXTB6pQn28", "Video")</f>
        <v/>
      </c>
      <c r="B10368" t="inlineStr">
        <is>
          <t>0:45</t>
        </is>
      </c>
      <c r="C10368" t="inlineStr">
        <is>
          <t>Hey! I speak a little bit --</t>
        </is>
      </c>
      <c r="D10368">
        <f>HYPERLINK("https://www.youtube.com/watch?v=roXTB6pQn28&amp;t=45s", "Go to time")</f>
        <v/>
      </c>
    </row>
    <row r="10369">
      <c r="A10369">
        <f>HYPERLINK("https://www.youtube.com/watch?v=roXTB6pQn28", "Video")</f>
        <v/>
      </c>
      <c r="B10369" t="inlineStr">
        <is>
          <t>0:50</t>
        </is>
      </c>
      <c r="C10369" t="inlineStr">
        <is>
          <t>but I speak a little bit</t>
        </is>
      </c>
      <c r="D10369">
        <f>HYPERLINK("https://www.youtube.com/watch?v=roXTB6pQn28&amp;t=50s", "Go to time")</f>
        <v/>
      </c>
    </row>
    <row r="10370">
      <c r="A10370">
        <f>HYPERLINK("https://www.youtube.com/watch?v=-akXMtIhPIo", "Video")</f>
        <v/>
      </c>
      <c r="B10370" t="inlineStr">
        <is>
          <t>9:31</t>
        </is>
      </c>
      <c r="C10370" t="inlineStr">
        <is>
          <t>There's an entire book
on George F. Babbitt</t>
        </is>
      </c>
      <c r="D10370">
        <f>HYPERLINK("https://www.youtube.com/watch?v=-akXMtIhPIo&amp;t=571s", "Go to time")</f>
        <v/>
      </c>
    </row>
    <row r="10371">
      <c r="A10371">
        <f>HYPERLINK("https://www.youtube.com/watch?v=-akXMtIhPIo", "Video")</f>
        <v/>
      </c>
      <c r="B10371" t="inlineStr">
        <is>
          <t>9:34</t>
        </is>
      </c>
      <c r="C10371" t="inlineStr">
        <is>
          <t>from Sinclair Lewis's "Babbitt,"</t>
        </is>
      </c>
      <c r="D10371">
        <f>HYPERLINK("https://www.youtube.com/watch?v=-akXMtIhPIo&amp;t=574s", "Go to time")</f>
        <v/>
      </c>
    </row>
    <row r="10372">
      <c r="A10372">
        <f>HYPERLINK("https://www.youtube.com/watch?v=-akXMtIhPIo", "Video")</f>
        <v/>
      </c>
      <c r="B10372" t="inlineStr">
        <is>
          <t>9:35</t>
        </is>
      </c>
      <c r="C10372" t="inlineStr">
        <is>
          <t>and I guarantee you,
that book is longer than "Babbitt,"</t>
        </is>
      </c>
      <c r="D10372">
        <f>HYPERLINK("https://www.youtube.com/watch?v=-akXMtIhPIo&amp;t=575s", "Go to time")</f>
        <v/>
      </c>
    </row>
    <row r="10373">
      <c r="A10373">
        <f>HYPERLINK("https://www.youtube.com/watch?v=-akXMtIhPIo", "Video")</f>
        <v/>
      </c>
      <c r="B10373" t="inlineStr">
        <is>
          <t>11:43</t>
        </is>
      </c>
      <c r="C10373" t="inlineStr">
        <is>
          <t>English speakers are learning quite a bit.</t>
        </is>
      </c>
      <c r="D10373">
        <f>HYPERLINK("https://www.youtube.com/watch?v=-akXMtIhPIo&amp;t=703s", "Go to time")</f>
        <v/>
      </c>
    </row>
    <row r="10374">
      <c r="A10374">
        <f>HYPERLINK("https://www.youtube.com/watch?v=lO2A4g9tMJU", "Video")</f>
        <v/>
      </c>
      <c r="B10374" t="inlineStr">
        <is>
          <t>3:53</t>
        </is>
      </c>
      <c r="C10374" t="inlineStr">
        <is>
          <t>Since this is a year of the rabbit.</t>
        </is>
      </c>
      <c r="D10374">
        <f>HYPERLINK("https://www.youtube.com/watch?v=lO2A4g9tMJU&amp;t=233s", "Go to time")</f>
        <v/>
      </c>
    </row>
    <row r="10375">
      <c r="A10375">
        <f>HYPERLINK("https://www.youtube.com/watch?v=UWothcLpazU", "Video")</f>
        <v/>
      </c>
      <c r="B10375" t="inlineStr">
        <is>
          <t>5:13</t>
        </is>
      </c>
      <c r="C10375" t="inlineStr">
        <is>
          <t>we began to acquire wildlife habitat
in Chile and Argentina.</t>
        </is>
      </c>
      <c r="D10375">
        <f>HYPERLINK("https://www.youtube.com/watch?v=UWothcLpazU&amp;t=313s", "Go to time")</f>
        <v/>
      </c>
    </row>
    <row r="10376">
      <c r="A10376">
        <f>HYPERLINK("https://www.youtube.com/watch?v=yVq8r9w29DI", "Video")</f>
        <v/>
      </c>
      <c r="B10376" t="inlineStr">
        <is>
          <t>5:53</t>
        </is>
      </c>
      <c r="C10376" t="inlineStr">
        <is>
          <t>So here's a bit of a trade-off.</t>
        </is>
      </c>
      <c r="D10376">
        <f>HYPERLINK("https://www.youtube.com/watch?v=yVq8r9w29DI&amp;t=353s", "Go to time")</f>
        <v/>
      </c>
    </row>
    <row r="10377">
      <c r="A10377">
        <f>HYPERLINK("https://www.youtube.com/watch?v=yVq8r9w29DI", "Video")</f>
        <v/>
      </c>
      <c r="B10377" t="inlineStr">
        <is>
          <t>6:45</t>
        </is>
      </c>
      <c r="C10377" t="inlineStr">
        <is>
          <t>About 62 kilos, so a bit less than I.</t>
        </is>
      </c>
      <c r="D10377">
        <f>HYPERLINK("https://www.youtube.com/watch?v=yVq8r9w29DI&amp;t=405s", "Go to time")</f>
        <v/>
      </c>
    </row>
    <row r="10378">
      <c r="A10378">
        <f>HYPERLINK("https://www.youtube.com/watch?v=DzNN_4rcIjs", "Video")</f>
        <v/>
      </c>
      <c r="B10378" t="inlineStr">
        <is>
          <t>8:40</t>
        </is>
      </c>
      <c r="C10378" t="inlineStr">
        <is>
          <t>they're orbiting the planet
250 miles high.</t>
        </is>
      </c>
      <c r="D10378">
        <f>HYPERLINK("https://www.youtube.com/watch?v=DzNN_4rcIjs&amp;t=520s", "Go to time")</f>
        <v/>
      </c>
    </row>
    <row r="10379">
      <c r="A10379">
        <f>HYPERLINK("https://www.youtube.com/watch?v=xsEJ6GeAGb0", "Video")</f>
        <v/>
      </c>
      <c r="B10379" t="inlineStr">
        <is>
          <t>2:38</t>
        </is>
      </c>
      <c r="C10379" t="inlineStr">
        <is>
          <t>these threat-detection systems
and mechanisms that reduce or inhibit them</t>
        </is>
      </c>
      <c r="D10379">
        <f>HYPERLINK("https://www.youtube.com/watch?v=xsEJ6GeAGb0&amp;t=158s", "Go to time")</f>
        <v/>
      </c>
    </row>
    <row r="10380">
      <c r="A10380">
        <f>HYPERLINK("https://www.youtube.com/watch?v=w19lJjCASJg", "Video")</f>
        <v/>
      </c>
      <c r="B10380" t="inlineStr">
        <is>
          <t>5:38</t>
        </is>
      </c>
      <c r="C10380" t="inlineStr">
        <is>
          <t>which has been inhabited by Indigenous
people for thousands of years.</t>
        </is>
      </c>
      <c r="D10380">
        <f>HYPERLINK("https://www.youtube.com/watch?v=w19lJjCASJg&amp;t=338s", "Go to time")</f>
        <v/>
      </c>
    </row>
    <row r="10381">
      <c r="A10381">
        <f>HYPERLINK("https://www.youtube.com/watch?v=YPvP_C4qy0E", "Video")</f>
        <v/>
      </c>
      <c r="B10381" t="inlineStr">
        <is>
          <t>3:00</t>
        </is>
      </c>
      <c r="C10381" t="inlineStr">
        <is>
          <t>The EU has set a very ambitious goal</t>
        </is>
      </c>
      <c r="D10381">
        <f>HYPERLINK("https://www.youtube.com/watch?v=YPvP_C4qy0E&amp;t=180s", "Go to time")</f>
        <v/>
      </c>
    </row>
    <row r="10382">
      <c r="A10382">
        <f>HYPERLINK("https://www.youtube.com/watch?v=0G2U0R0hOCU", "Video")</f>
        <v/>
      </c>
      <c r="B10382" t="inlineStr">
        <is>
          <t>0:21</t>
        </is>
      </c>
      <c r="C10382" t="inlineStr">
        <is>
          <t>I was also pretty ambitious
and on the verge of making partner.</t>
        </is>
      </c>
      <c r="D10382">
        <f>HYPERLINK("https://www.youtube.com/watch?v=0G2U0R0hOCU&amp;t=21s", "Go to time")</f>
        <v/>
      </c>
    </row>
    <row r="10383">
      <c r="A10383">
        <f>HYPERLINK("https://www.youtube.com/watch?v=0G2U0R0hOCU", "Video")</f>
        <v/>
      </c>
      <c r="B10383" t="inlineStr">
        <is>
          <t>2:50</t>
        </is>
      </c>
      <c r="C10383" t="inlineStr">
        <is>
          <t>And I had been sitting
and listening to bittersweet music,</t>
        </is>
      </c>
      <c r="D10383">
        <f>HYPERLINK("https://www.youtube.com/watch?v=0G2U0R0hOCU&amp;t=170s", "Go to time")</f>
        <v/>
      </c>
    </row>
    <row r="10384">
      <c r="A10384">
        <f>HYPERLINK("https://www.youtube.com/watch?v=0G2U0R0hOCU", "Video")</f>
        <v/>
      </c>
      <c r="B10384" t="inlineStr">
        <is>
          <t>3:26</t>
        </is>
      </c>
      <c r="C10384" t="inlineStr">
        <is>
          <t>OK, so the music is a little bit gloomy.</t>
        </is>
      </c>
      <c r="D10384">
        <f>HYPERLINK("https://www.youtube.com/watch?v=0G2U0R0hOCU&amp;t=206s", "Go to time")</f>
        <v/>
      </c>
    </row>
    <row r="10385">
      <c r="A10385">
        <f>HYPERLINK("https://www.youtube.com/watch?v=nYZSPUi-lgE", "Video")</f>
        <v/>
      </c>
      <c r="B10385" t="inlineStr">
        <is>
          <t>1:36</t>
        </is>
      </c>
      <c r="C10385" t="inlineStr">
        <is>
          <t>that most people aren't even aware
they're inhabiting.</t>
        </is>
      </c>
      <c r="D10385">
        <f>HYPERLINK("https://www.youtube.com/watch?v=nYZSPUi-lgE&amp;t=96s", "Go to time")</f>
        <v/>
      </c>
    </row>
    <row r="10386">
      <c r="A10386">
        <f>HYPERLINK("https://www.youtube.com/watch?v=ZWfCi9WxK1E", "Video")</f>
        <v/>
      </c>
      <c r="B10386" t="inlineStr">
        <is>
          <t>5:36</t>
        </is>
      </c>
      <c r="C10386" t="inlineStr">
        <is>
          <t>That even castles sink
at the bite of the bomb?</t>
        </is>
      </c>
      <c r="D10386">
        <f>HYPERLINK("https://www.youtube.com/watch?v=ZWfCi9WxK1E&amp;t=336s", "Go to time")</f>
        <v/>
      </c>
    </row>
    <row r="10387">
      <c r="A10387">
        <f>HYPERLINK("https://www.youtube.com/watch?v=ZWfCi9WxK1E", "Video")</f>
        <v/>
      </c>
      <c r="B10387" t="inlineStr">
        <is>
          <t>6:22</t>
        </is>
      </c>
      <c r="C10387" t="inlineStr">
        <is>
          <t>Thirty seconds for the sound bite,</t>
        </is>
      </c>
      <c r="D10387">
        <f>HYPERLINK("https://www.youtube.com/watch?v=ZWfCi9WxK1E&amp;t=382s", "Go to time")</f>
        <v/>
      </c>
    </row>
    <row r="10388">
      <c r="A10388">
        <f>HYPERLINK("https://www.youtube.com/watch?v=ZWfCi9WxK1E", "Video")</f>
        <v/>
      </c>
      <c r="B10388" t="inlineStr">
        <is>
          <t>8:31</t>
        </is>
      </c>
      <c r="C10388" t="inlineStr">
        <is>
          <t>A muscle memory that overcomes
even the most bitter of times,</t>
        </is>
      </c>
      <c r="D10388">
        <f>HYPERLINK("https://www.youtube.com/watch?v=ZWfCi9WxK1E&amp;t=511s", "Go to time")</f>
        <v/>
      </c>
    </row>
    <row r="10389">
      <c r="A10389">
        <f>HYPERLINK("https://www.youtube.com/watch?v=jzrcRcEBrmA", "Video")</f>
        <v/>
      </c>
      <c r="B10389" t="inlineStr">
        <is>
          <t>0:59</t>
        </is>
      </c>
      <c r="C10389" t="inlineStr">
        <is>
          <t>and suddenly, oh, crap,
the price of Bitcoin is what it is.</t>
        </is>
      </c>
      <c r="D10389">
        <f>HYPERLINK("https://www.youtube.com/watch?v=jzrcRcEBrmA&amp;t=59s", "Go to time")</f>
        <v/>
      </c>
    </row>
    <row r="10390">
      <c r="A10390">
        <f>HYPERLINK("https://www.youtube.com/watch?v=jzrcRcEBrmA", "Video")</f>
        <v/>
      </c>
      <c r="B10390" t="inlineStr">
        <is>
          <t>1:42</t>
        </is>
      </c>
      <c r="C10390" t="inlineStr">
        <is>
          <t>and what just a little bit
of technological advancement</t>
        </is>
      </c>
      <c r="D10390">
        <f>HYPERLINK("https://www.youtube.com/watch?v=jzrcRcEBrmA&amp;t=102s", "Go to time")</f>
        <v/>
      </c>
    </row>
    <row r="10391">
      <c r="A10391">
        <f>HYPERLINK("https://www.youtube.com/watch?v=jzrcRcEBrmA", "Video")</f>
        <v/>
      </c>
      <c r="B10391" t="inlineStr">
        <is>
          <t>4:57</t>
        </is>
      </c>
      <c r="C10391" t="inlineStr">
        <is>
          <t>all you see is just
a little bit of information</t>
        </is>
      </c>
      <c r="D10391">
        <f>HYPERLINK("https://www.youtube.com/watch?v=jzrcRcEBrmA&amp;t=297s", "Go to time")</f>
        <v/>
      </c>
    </row>
    <row r="10392">
      <c r="A10392">
        <f>HYPERLINK("https://www.youtube.com/watch?v=jzrcRcEBrmA", "Video")</f>
        <v/>
      </c>
      <c r="B10392" t="inlineStr">
        <is>
          <t>7:55</t>
        </is>
      </c>
      <c r="C10392" t="inlineStr">
        <is>
          <t>being able to coinhabit the same space.</t>
        </is>
      </c>
      <c r="D10392">
        <f>HYPERLINK("https://www.youtube.com/watch?v=jzrcRcEBrmA&amp;t=475s", "Go to time")</f>
        <v/>
      </c>
    </row>
    <row r="10393">
      <c r="A10393">
        <f>HYPERLINK("https://www.youtube.com/watch?v=jzrcRcEBrmA", "Video")</f>
        <v/>
      </c>
      <c r="B10393" t="inlineStr">
        <is>
          <t>8:58</t>
        </is>
      </c>
      <c r="C10393" t="inlineStr">
        <is>
          <t>I love her to bits,</t>
        </is>
      </c>
      <c r="D10393">
        <f>HYPERLINK("https://www.youtube.com/watch?v=jzrcRcEBrmA&amp;t=538s", "Go to time")</f>
        <v/>
      </c>
    </row>
    <row r="10394">
      <c r="A10394">
        <f>HYPERLINK("https://www.youtube.com/watch?v=jzrcRcEBrmA", "Video")</f>
        <v/>
      </c>
      <c r="B10394" t="inlineStr">
        <is>
          <t>9:06</t>
        </is>
      </c>
      <c r="C10394" t="inlineStr">
        <is>
          <t>But if we could coinhabit,</t>
        </is>
      </c>
      <c r="D10394">
        <f>HYPERLINK("https://www.youtube.com/watch?v=jzrcRcEBrmA&amp;t=546s", "Go to time")</f>
        <v/>
      </c>
    </row>
    <row r="10395">
      <c r="A10395">
        <f>HYPERLINK("https://www.youtube.com/watch?v=gpE_W50OTUc", "Video")</f>
        <v/>
      </c>
      <c r="B10395" t="inlineStr">
        <is>
          <t>7:09</t>
        </is>
      </c>
      <c r="C10395" t="inlineStr">
        <is>
          <t>and a little bit extra.</t>
        </is>
      </c>
      <c r="D10395">
        <f>HYPERLINK("https://www.youtube.com/watch?v=gpE_W50OTUc&amp;t=429s", "Go to time")</f>
        <v/>
      </c>
    </row>
    <row r="10396">
      <c r="A10396">
        <f>HYPERLINK("https://www.youtube.com/watch?v=gpE_W50OTUc", "Video")</f>
        <v/>
      </c>
      <c r="B10396" t="inlineStr">
        <is>
          <t>11:29</t>
        </is>
      </c>
      <c r="C10396" t="inlineStr">
        <is>
          <t>that might make it
a little bit more impactful.</t>
        </is>
      </c>
      <c r="D10396">
        <f>HYPERLINK("https://www.youtube.com/watch?v=gpE_W50OTUc&amp;t=689s", "Go to time")</f>
        <v/>
      </c>
    </row>
    <row r="10397">
      <c r="A10397">
        <f>HYPERLINK("https://www.youtube.com/watch?v=z_ca983qJcI", "Video")</f>
        <v/>
      </c>
      <c r="B10397" t="inlineStr">
        <is>
          <t>1:17</t>
        </is>
      </c>
      <c r="C10397" t="inlineStr">
        <is>
          <t>he does seem like a bit of a chump --</t>
        </is>
      </c>
      <c r="D10397">
        <f>HYPERLINK("https://www.youtube.com/watch?v=z_ca983qJcI&amp;t=77s", "Go to time")</f>
        <v/>
      </c>
    </row>
    <row r="10398">
      <c r="A10398">
        <f>HYPERLINK("https://www.youtube.com/watch?v=uXJ9_gWkEX0", "Video")</f>
        <v/>
      </c>
      <c r="B10398" t="inlineStr">
        <is>
          <t>2:51</t>
        </is>
      </c>
      <c r="C10398" t="inlineStr">
        <is>
          <t>Let me tell you a bit
about what I see and what I do</t>
        </is>
      </c>
      <c r="D10398">
        <f>HYPERLINK("https://www.youtube.com/watch?v=uXJ9_gWkEX0&amp;t=171s", "Go to time")</f>
        <v/>
      </c>
    </row>
    <row r="10399">
      <c r="A10399">
        <f>HYPERLINK("https://www.youtube.com/watch?v=20adDr7Felw", "Video")</f>
        <v/>
      </c>
      <c r="B10399" t="inlineStr">
        <is>
          <t>4:32</t>
        </is>
      </c>
      <c r="C10399" t="inlineStr">
        <is>
          <t>for bits of equipment and appliances</t>
        </is>
      </c>
      <c r="D10399">
        <f>HYPERLINK("https://www.youtube.com/watch?v=20adDr7Felw&amp;t=272s", "Go to time")</f>
        <v/>
      </c>
    </row>
    <row r="10400">
      <c r="A10400">
        <f>HYPERLINK("https://www.youtube.com/watch?v=SDLbFowy3A0", "Video")</f>
        <v/>
      </c>
      <c r="B10400" t="inlineStr">
        <is>
          <t>7:45</t>
        </is>
      </c>
      <c r="C10400" t="inlineStr">
        <is>
          <t>produced a little bit of venom again and</t>
        </is>
      </c>
      <c r="D10400">
        <f>HYPERLINK("https://www.youtube.com/watch?v=SDLbFowy3A0&amp;t=465s", "Go to time")</f>
        <v/>
      </c>
    </row>
    <row r="10401">
      <c r="A10401">
        <f>HYPERLINK("https://www.youtube.com/watch?v=sEOSCziWuP8", "Video")</f>
        <v/>
      </c>
      <c r="B10401" t="inlineStr">
        <is>
          <t>4:29</t>
        </is>
      </c>
      <c r="C10401" t="inlineStr">
        <is>
          <t>And, of course, you can't do that unless you understand yourself a bit more.</t>
        </is>
      </c>
      <c r="D10401">
        <f>HYPERLINK("https://www.youtube.com/watch?v=sEOSCziWuP8&amp;t=269s", "Go to time")</f>
        <v/>
      </c>
    </row>
    <row r="10402">
      <c r="A10402">
        <f>HYPERLINK("https://www.youtube.com/watch?v=sEOSCziWuP8", "Video")</f>
        <v/>
      </c>
      <c r="B10402" t="inlineStr">
        <is>
          <t>10:17</t>
        </is>
      </c>
      <c r="C10402" t="inlineStr">
        <is>
          <t>and so doing, try to get rid of the habits, the emotions, the ideas</t>
        </is>
      </c>
      <c r="D10402">
        <f>HYPERLINK("https://www.youtube.com/watch?v=sEOSCziWuP8&amp;t=617s", "Go to time")</f>
        <v/>
      </c>
    </row>
    <row r="10403">
      <c r="A10403">
        <f>HYPERLINK("https://www.youtube.com/watch?v=WicBE2Uwz0A", "Video")</f>
        <v/>
      </c>
      <c r="B10403" t="inlineStr">
        <is>
          <t>2:13</t>
        </is>
      </c>
      <c r="C10403" t="inlineStr">
        <is>
          <t>I wanted to explain a little bit
about improvisation</t>
        </is>
      </c>
      <c r="D10403">
        <f>HYPERLINK("https://www.youtube.com/watch?v=WicBE2Uwz0A&amp;t=133s", "Go to time")</f>
        <v/>
      </c>
    </row>
    <row r="10404">
      <c r="A10404">
        <f>HYPERLINK("https://www.youtube.com/watch?v=WicBE2Uwz0A", "Video")</f>
        <v/>
      </c>
      <c r="B10404" t="inlineStr">
        <is>
          <t>7:11</t>
        </is>
      </c>
      <c r="C10404" t="inlineStr">
        <is>
          <t>in a way that might be a little bit
more comprehensive to some of you</t>
        </is>
      </c>
      <c r="D10404">
        <f>HYPERLINK("https://www.youtube.com/watch?v=WicBE2Uwz0A&amp;t=431s", "Go to time")</f>
        <v/>
      </c>
    </row>
    <row r="10405">
      <c r="A10405">
        <f>HYPERLINK("https://www.youtube.com/watch?v=u3BZDx2dnSE", "Video")</f>
        <v/>
      </c>
      <c r="B10405" t="inlineStr">
        <is>
          <t>7:41</t>
        </is>
      </c>
      <c r="C10405" t="inlineStr">
        <is>
          <t>yet when governments are a bit too</t>
        </is>
      </c>
      <c r="D10405">
        <f>HYPERLINK("https://www.youtube.com/watch?v=u3BZDx2dnSE&amp;t=461s", "Go to time")</f>
        <v/>
      </c>
    </row>
    <row r="10406">
      <c r="A10406">
        <f>HYPERLINK("https://www.youtube.com/watch?v=u3BZDx2dnSE", "Video")</f>
        <v/>
      </c>
      <c r="B10406" t="inlineStr">
        <is>
          <t>8:07</t>
        </is>
      </c>
      <c r="C10406" t="inlineStr">
        <is>
          <t>flexible to be a bit crazy and hungry as</t>
        </is>
      </c>
      <c r="D10406">
        <f>HYPERLINK("https://www.youtube.com/watch?v=u3BZDx2dnSE&amp;t=487s", "Go to time")</f>
        <v/>
      </c>
    </row>
    <row r="10407">
      <c r="A10407">
        <f>HYPERLINK("https://www.youtube.com/watch?v=u3BZDx2dnSE", "Video")</f>
        <v/>
      </c>
      <c r="B10407" t="inlineStr">
        <is>
          <t>9:22</t>
        </is>
      </c>
      <c r="C10407" t="inlineStr">
        <is>
          <t>that I've also critiqued quite a bit is</t>
        </is>
      </c>
      <c r="D10407">
        <f>HYPERLINK("https://www.youtube.com/watch?v=u3BZDx2dnSE&amp;t=562s", "Go to time")</f>
        <v/>
      </c>
    </row>
    <row r="10408">
      <c r="A10408">
        <f>HYPERLINK("https://www.youtube.com/watch?v=u3BZDx2dnSE", "Video")</f>
        <v/>
      </c>
      <c r="B10408" t="inlineStr">
        <is>
          <t>12:47</t>
        </is>
      </c>
      <c r="C10408" t="inlineStr">
        <is>
          <t>and ambitious public education system</t>
        </is>
      </c>
      <c r="D10408">
        <f>HYPERLINK("https://www.youtube.com/watch?v=u3BZDx2dnSE&amp;t=767s", "Go to time")</f>
        <v/>
      </c>
    </row>
    <row r="10409">
      <c r="A10409">
        <f>HYPERLINK("https://www.youtube.com/watch?v=u3BZDx2dnSE", "Video")</f>
        <v/>
      </c>
      <c r="B10409" t="inlineStr">
        <is>
          <t>13:37</t>
        </is>
      </c>
      <c r="C10409" t="inlineStr">
        <is>
          <t>bit about the money or the table now so</t>
        </is>
      </c>
      <c r="D10409">
        <f>HYPERLINK("https://www.youtube.com/watch?v=u3BZDx2dnSE&amp;t=817s", "Go to time")</f>
        <v/>
      </c>
    </row>
    <row r="10410">
      <c r="A10410">
        <f>HYPERLINK("https://www.youtube.com/watch?v=u3BZDx2dnSE", "Video")</f>
        <v/>
      </c>
      <c r="B10410" t="inlineStr">
        <is>
          <t>18:58</t>
        </is>
      </c>
      <c r="C10410" t="inlineStr">
        <is>
          <t>a bit of help in some ways I'll say</t>
        </is>
      </c>
      <c r="D10410">
        <f>HYPERLINK("https://www.youtube.com/watch?v=u3BZDx2dnSE&amp;t=1138s", "Go to time")</f>
        <v/>
      </c>
    </row>
    <row r="10411">
      <c r="A10411">
        <f>HYPERLINK("https://www.youtube.com/watch?v=u3BZDx2dnSE", "Video")</f>
        <v/>
      </c>
      <c r="B10411" t="inlineStr">
        <is>
          <t>19:00</t>
        </is>
      </c>
      <c r="C10411" t="inlineStr">
        <is>
          <t>something Pro you know there's a bit of</t>
        </is>
      </c>
      <c r="D10411">
        <f>HYPERLINK("https://www.youtube.com/watch?v=u3BZDx2dnSE&amp;t=1140s", "Go to time")</f>
        <v/>
      </c>
    </row>
    <row r="10412">
      <c r="A10412">
        <f>HYPERLINK("https://www.youtube.com/watch?v=u3BZDx2dnSE", "Video")</f>
        <v/>
      </c>
      <c r="B10412" t="inlineStr">
        <is>
          <t>23:12</t>
        </is>
      </c>
      <c r="C10412" t="inlineStr">
        <is>
          <t>ambitious they're also quite short which</t>
        </is>
      </c>
      <c r="D10412">
        <f>HYPERLINK("https://www.youtube.com/watch?v=u3BZDx2dnSE&amp;t=1392s", "Go to time")</f>
        <v/>
      </c>
    </row>
    <row r="10413">
      <c r="A10413">
        <f>HYPERLINK("https://www.youtube.com/watch?v=u3BZDx2dnSE", "Video")</f>
        <v/>
      </c>
      <c r="B10413" t="inlineStr">
        <is>
          <t>23:22</t>
        </is>
      </c>
      <c r="C10413" t="inlineStr">
        <is>
          <t>more ambition and in some ways</t>
        </is>
      </c>
      <c r="D10413">
        <f>HYPERLINK("https://www.youtube.com/watch?v=u3BZDx2dnSE&amp;t=1402s", "Go to time")</f>
        <v/>
      </c>
    </row>
    <row r="10414">
      <c r="A10414">
        <f>HYPERLINK("https://www.youtube.com/watch?v=u3BZDx2dnSE", "Video")</f>
        <v/>
      </c>
      <c r="B10414" t="inlineStr">
        <is>
          <t>24:29</t>
        </is>
      </c>
      <c r="C10414" t="inlineStr">
        <is>
          <t>be a bit political and you are in the</t>
        </is>
      </c>
      <c r="D10414">
        <f>HYPERLINK("https://www.youtube.com/watch?v=u3BZDx2dnSE&amp;t=1469s", "Go to time")</f>
        <v/>
      </c>
    </row>
    <row r="10415">
      <c r="A10415">
        <f>HYPERLINK("https://www.youtube.com/watch?v=u3BZDx2dnSE", "Video")</f>
        <v/>
      </c>
      <c r="B10415" t="inlineStr">
        <is>
          <t>27:15</t>
        </is>
      </c>
      <c r="C10415" t="inlineStr">
        <is>
          <t>honest this is the bit that there is a</t>
        </is>
      </c>
      <c r="D10415">
        <f>HYPERLINK("https://www.youtube.com/watch?v=u3BZDx2dnSE&amp;t=1635s", "Go to time")</f>
        <v/>
      </c>
    </row>
    <row r="10416">
      <c r="A10416">
        <f>HYPERLINK("https://www.youtube.com/watch?v=u3BZDx2dnSE", "Video")</f>
        <v/>
      </c>
      <c r="B10416" t="inlineStr">
        <is>
          <t>31:44</t>
        </is>
      </c>
      <c r="C10416" t="inlineStr">
        <is>
          <t>the losses well that's not quite a bit</t>
        </is>
      </c>
      <c r="D10416">
        <f>HYPERLINK("https://www.youtube.com/watch?v=u3BZDx2dnSE&amp;t=1904s", "Go to time")</f>
        <v/>
      </c>
    </row>
    <row r="10417">
      <c r="A10417">
        <f>HYPERLINK("https://www.youtube.com/watch?v=u3BZDx2dnSE", "Video")</f>
        <v/>
      </c>
      <c r="B10417" t="inlineStr">
        <is>
          <t>32:42</t>
        </is>
      </c>
      <c r="C10417" t="inlineStr">
        <is>
          <t>really concrete ambitious inspirational</t>
        </is>
      </c>
      <c r="D10417">
        <f>HYPERLINK("https://www.youtube.com/watch?v=u3BZDx2dnSE&amp;t=1962s", "Go to time")</f>
        <v/>
      </c>
    </row>
    <row r="10418">
      <c r="A10418">
        <f>HYPERLINK("https://www.youtube.com/watch?v=u3BZDx2dnSE", "Video")</f>
        <v/>
      </c>
      <c r="B10418" t="inlineStr">
        <is>
          <t>42:02</t>
        </is>
      </c>
      <c r="C10418" t="inlineStr">
        <is>
          <t>the government had a real ambition it</t>
        </is>
      </c>
      <c r="D10418">
        <f>HYPERLINK("https://www.youtube.com/watch?v=u3BZDx2dnSE&amp;t=2522s", "Go to time")</f>
        <v/>
      </c>
    </row>
    <row r="10419">
      <c r="A10419">
        <f>HYPERLINK("https://www.youtube.com/watch?v=u3BZDx2dnSE", "Video")</f>
        <v/>
      </c>
      <c r="B10419" t="inlineStr">
        <is>
          <t>42:04</t>
        </is>
      </c>
      <c r="C10419" t="inlineStr">
        <is>
          <t>was basically a literacy ambition to get</t>
        </is>
      </c>
      <c r="D10419">
        <f>HYPERLINK("https://www.youtube.com/watch?v=u3BZDx2dnSE&amp;t=2524s", "Go to time")</f>
        <v/>
      </c>
    </row>
    <row r="10420">
      <c r="A10420">
        <f>HYPERLINK("https://www.youtube.com/watch?v=u3BZDx2dnSE", "Video")</f>
        <v/>
      </c>
      <c r="B10420" t="inlineStr">
        <is>
          <t>42:58</t>
        </is>
      </c>
      <c r="C10420" t="inlineStr">
        <is>
          <t>the time was you know a real ambition to</t>
        </is>
      </c>
      <c r="D10420">
        <f>HYPERLINK("https://www.youtube.com/watch?v=u3BZDx2dnSE&amp;t=2578s", "Go to time")</f>
        <v/>
      </c>
    </row>
    <row r="10421">
      <c r="A10421">
        <f>HYPERLINK("https://www.youtube.com/watch?v=u3BZDx2dnSE", "Video")</f>
        <v/>
      </c>
      <c r="B10421" t="inlineStr">
        <is>
          <t>49:24</t>
        </is>
      </c>
      <c r="C10421" t="inlineStr">
        <is>
          <t>know COBIT came along and all these</t>
        </is>
      </c>
      <c r="D10421">
        <f>HYPERLINK("https://www.youtube.com/watch?v=u3BZDx2dnSE&amp;t=2964s", "Go to time")</f>
        <v/>
      </c>
    </row>
    <row r="10422">
      <c r="A10422">
        <f>HYPERLINK("https://www.youtube.com/watch?v=u3BZDx2dnSE", "Video")</f>
        <v/>
      </c>
      <c r="B10422" t="inlineStr">
        <is>
          <t>49:27</t>
        </is>
      </c>
      <c r="C10422" t="inlineStr">
        <is>
          <t>task forces around COBIT of which</t>
        </is>
      </c>
      <c r="D10422">
        <f>HYPERLINK("https://www.youtube.com/watch?v=u3BZDx2dnSE&amp;t=2967s", "Go to time")</f>
        <v/>
      </c>
    </row>
    <row r="10423">
      <c r="A10423">
        <f>HYPERLINK("https://www.youtube.com/watch?v=mkd_XHXhCcw", "Video")</f>
        <v/>
      </c>
      <c r="B10423" t="inlineStr">
        <is>
          <t>8:15</t>
        </is>
      </c>
      <c r="C10423" t="inlineStr">
        <is>
          <t>But you've written a bit about
that it's actually more than that,</t>
        </is>
      </c>
      <c r="D10423">
        <f>HYPERLINK("https://www.youtube.com/watch?v=mkd_XHXhCcw&amp;t=495s", "Go to time")</f>
        <v/>
      </c>
    </row>
    <row r="10424">
      <c r="A10424">
        <f>HYPERLINK("https://www.youtube.com/watch?v=mkd_XHXhCcw", "Video")</f>
        <v/>
      </c>
      <c r="B10424" t="inlineStr">
        <is>
          <t>10:16</t>
        </is>
      </c>
      <c r="C10424" t="inlineStr">
        <is>
          <t>CA: And so take that a bit further,</t>
        </is>
      </c>
      <c r="D10424">
        <f>HYPERLINK("https://www.youtube.com/watch?v=mkd_XHXhCcw&amp;t=616s", "Go to time")</f>
        <v/>
      </c>
    </row>
    <row r="10425">
      <c r="A10425">
        <f>HYPERLINK("https://www.youtube.com/watch?v=mkd_XHXhCcw", "Video")</f>
        <v/>
      </c>
      <c r="B10425" t="inlineStr">
        <is>
          <t>10:17</t>
        </is>
      </c>
      <c r="C10425" t="inlineStr">
        <is>
          <t>and maybe expand a bit more
on your insights</t>
        </is>
      </c>
      <c r="D10425">
        <f>HYPERLINK("https://www.youtube.com/watch?v=mkd_XHXhCcw&amp;t=617s", "Go to time")</f>
        <v/>
      </c>
    </row>
    <row r="10426">
      <c r="A10426">
        <f>HYPERLINK("https://www.youtube.com/watch?v=BRRNeBKwvNM", "Video")</f>
        <v/>
      </c>
      <c r="B10426" t="inlineStr">
        <is>
          <t>6:23</t>
        </is>
      </c>
      <c r="C10426" t="inlineStr">
        <is>
          <t>your life is a little bit difficult,
your ability gets questioned.</t>
        </is>
      </c>
      <c r="D10426">
        <f>HYPERLINK("https://www.youtube.com/watch?v=BRRNeBKwvNM&amp;t=383s", "Go to time")</f>
        <v/>
      </c>
    </row>
    <row r="10427">
      <c r="A10427">
        <f>HYPERLINK("https://www.youtube.com/watch?v=BFZtNN6eNvQ", "Video")</f>
        <v/>
      </c>
      <c r="B10427" t="inlineStr">
        <is>
          <t>8:09</t>
        </is>
      </c>
      <c r="C10427" t="inlineStr">
        <is>
          <t>Inviting people to inhabit
a future possibility</t>
        </is>
      </c>
      <c r="D10427">
        <f>HYPERLINK("https://www.youtube.com/watch?v=BFZtNN6eNvQ&amp;t=489s", "Go to time")</f>
        <v/>
      </c>
    </row>
    <row r="10428">
      <c r="A10428">
        <f>HYPERLINK("https://www.youtube.com/watch?v=4xJ1rSq4nZ4", "Video")</f>
        <v/>
      </c>
      <c r="B10428" t="inlineStr">
        <is>
          <t>2:31</t>
        </is>
      </c>
      <c r="C10428" t="inlineStr">
        <is>
          <t>why don't I tell you a little bit
about what I was like as a child?</t>
        </is>
      </c>
      <c r="D10428">
        <f>HYPERLINK("https://www.youtube.com/watch?v=4xJ1rSq4nZ4&amp;t=151s", "Go to time")</f>
        <v/>
      </c>
    </row>
    <row r="10429">
      <c r="A10429">
        <f>HYPERLINK("https://www.youtube.com/watch?v=4xJ1rSq4nZ4", "Video")</f>
        <v/>
      </c>
      <c r="B10429" t="inlineStr">
        <is>
          <t>4:15</t>
        </is>
      </c>
      <c r="C10429" t="inlineStr">
        <is>
          <t>So at a certain point,
when kids get a little bit older,</t>
        </is>
      </c>
      <c r="D10429">
        <f>HYPERLINK("https://www.youtube.com/watch?v=4xJ1rSq4nZ4&amp;t=255s", "Go to time")</f>
        <v/>
      </c>
    </row>
    <row r="10430">
      <c r="A10430">
        <f>HYPERLINK("https://www.youtube.com/watch?v=4xJ1rSq4nZ4", "Video")</f>
        <v/>
      </c>
      <c r="B10430" t="inlineStr">
        <is>
          <t>4:36</t>
        </is>
      </c>
      <c r="C10430" t="inlineStr">
        <is>
          <t>And they do that in part because
it's a little bit transgressive, right?</t>
        </is>
      </c>
      <c r="D10430">
        <f>HYPERLINK("https://www.youtube.com/watch?v=4xJ1rSq4nZ4&amp;t=276s", "Go to time")</f>
        <v/>
      </c>
    </row>
    <row r="10431">
      <c r="A10431">
        <f>HYPERLINK("https://www.youtube.com/watch?v=4xJ1rSq4nZ4", "Video")</f>
        <v/>
      </c>
      <c r="B10431" t="inlineStr">
        <is>
          <t>6:40</t>
        </is>
      </c>
      <c r="C10431" t="inlineStr">
        <is>
          <t>that is a little bit gross.</t>
        </is>
      </c>
      <c r="D10431">
        <f>HYPERLINK("https://www.youtube.com/watch?v=4xJ1rSq4nZ4&amp;t=400s", "Go to time")</f>
        <v/>
      </c>
    </row>
    <row r="10432">
      <c r="A10432">
        <f>HYPERLINK("https://www.youtube.com/watch?v=CoQuaDKV3xk", "Video")</f>
        <v/>
      </c>
      <c r="B10432" t="inlineStr">
        <is>
          <t>0:31</t>
        </is>
      </c>
      <c r="C10432" t="inlineStr">
        <is>
          <t>us all understand a little bit better</t>
        </is>
      </c>
      <c r="D10432">
        <f>HYPERLINK("https://www.youtube.com/watch?v=CoQuaDKV3xk&amp;t=31s", "Go to time")</f>
        <v/>
      </c>
    </row>
    <row r="10433">
      <c r="A10433">
        <f>HYPERLINK("https://www.youtube.com/watch?v=CoQuaDKV3xk", "Video")</f>
        <v/>
      </c>
      <c r="B10433" t="inlineStr">
        <is>
          <t>0:32</t>
        </is>
      </c>
      <c r="C10433" t="inlineStr">
        <is>
          <t>and feel hopefully a little bit better</t>
        </is>
      </c>
      <c r="D10433">
        <f>HYPERLINK("https://www.youtube.com/watch?v=CoQuaDKV3xk&amp;t=32s", "Go to time")</f>
        <v/>
      </c>
    </row>
    <row r="10434">
      <c r="A10434">
        <f>HYPERLINK("https://www.youtube.com/watch?v=CoQuaDKV3xk", "Video")</f>
        <v/>
      </c>
      <c r="B10434" t="inlineStr">
        <is>
          <t>6:37</t>
        </is>
      </c>
      <c r="C10434" t="inlineStr">
        <is>
          <t>habitats and it lives there you know</t>
        </is>
      </c>
      <c r="D10434">
        <f>HYPERLINK("https://www.youtube.com/watch?v=CoQuaDKV3xk&amp;t=397s", "Go to time")</f>
        <v/>
      </c>
    </row>
    <row r="10435">
      <c r="A10435">
        <f>HYPERLINK("https://www.youtube.com/watch?v=CoQuaDKV3xk", "Video")</f>
        <v/>
      </c>
      <c r="B10435" t="inlineStr">
        <is>
          <t>8:54</t>
        </is>
      </c>
      <c r="C10435" t="inlineStr">
        <is>
          <t>habitats they expand to take advantage</t>
        </is>
      </c>
      <c r="D10435">
        <f>HYPERLINK("https://www.youtube.com/watch?v=CoQuaDKV3xk&amp;t=534s", "Go to time")</f>
        <v/>
      </c>
    </row>
    <row r="10436">
      <c r="A10436">
        <f>HYPERLINK("https://www.youtube.com/watch?v=CoQuaDKV3xk", "Video")</f>
        <v/>
      </c>
      <c r="B10436" t="inlineStr">
        <is>
          <t>10:13</t>
        </is>
      </c>
      <c r="C10436" t="inlineStr">
        <is>
          <t>you know our habitations are and that</t>
        </is>
      </c>
      <c r="D10436">
        <f>HYPERLINK("https://www.youtube.com/watch?v=CoQuaDKV3xk&amp;t=613s", "Go to time")</f>
        <v/>
      </c>
    </row>
    <row r="10437">
      <c r="A10437">
        <f>HYPERLINK("https://www.youtube.com/watch?v=CoQuaDKV3xk", "Video")</f>
        <v/>
      </c>
      <c r="B10437" t="inlineStr">
        <is>
          <t>17:19</t>
        </is>
      </c>
      <c r="C10437" t="inlineStr">
        <is>
          <t>wildlife habitat let's start conserving</t>
        </is>
      </c>
      <c r="D10437">
        <f>HYPERLINK("https://www.youtube.com/watch?v=CoQuaDKV3xk&amp;t=1039s", "Go to time")</f>
        <v/>
      </c>
    </row>
    <row r="10438">
      <c r="A10438">
        <f>HYPERLINK("https://www.youtube.com/watch?v=CoQuaDKV3xk", "Video")</f>
        <v/>
      </c>
      <c r="B10438" t="inlineStr">
        <is>
          <t>17:20</t>
        </is>
      </c>
      <c r="C10438" t="inlineStr">
        <is>
          <t>wildlife habitat so that doesn't happen</t>
        </is>
      </c>
      <c r="D10438">
        <f>HYPERLINK("https://www.youtube.com/watch?v=CoQuaDKV3xk&amp;t=1040s", "Go to time")</f>
        <v/>
      </c>
    </row>
    <row r="10439">
      <c r="A10439">
        <f>HYPERLINK("https://www.youtube.com/watch?v=CoQuaDKV3xk", "Video")</f>
        <v/>
      </c>
      <c r="B10439" t="inlineStr">
        <is>
          <t>21:11</t>
        </is>
      </c>
      <c r="C10439" t="inlineStr">
        <is>
          <t>distancing a little bit here and there</t>
        </is>
      </c>
      <c r="D10439">
        <f>HYPERLINK("https://www.youtube.com/watch?v=CoQuaDKV3xk&amp;t=1271s", "Go to time")</f>
        <v/>
      </c>
    </row>
    <row r="10440">
      <c r="A10440">
        <f>HYPERLINK("https://www.youtube.com/watch?v=CoQuaDKV3xk", "Video")</f>
        <v/>
      </c>
      <c r="B10440" t="inlineStr">
        <is>
          <t>25:47</t>
        </is>
      </c>
      <c r="C10440" t="inlineStr">
        <is>
          <t>invasion of wildlife habitat there's a</t>
        </is>
      </c>
      <c r="D10440">
        <f>HYPERLINK("https://www.youtube.com/watch?v=CoQuaDKV3xk&amp;t=1547s", "Go to time")</f>
        <v/>
      </c>
    </row>
    <row r="10441">
      <c r="A10441">
        <f>HYPERLINK("https://www.youtube.com/watch?v=CoQuaDKV3xk", "Video")</f>
        <v/>
      </c>
      <c r="B10441" t="inlineStr">
        <is>
          <t>27:36</t>
        </is>
      </c>
      <c r="C10441" t="inlineStr">
        <is>
          <t>protecting wildlife habitat</t>
        </is>
      </c>
      <c r="D10441">
        <f>HYPERLINK("https://www.youtube.com/watch?v=CoQuaDKV3xk&amp;t=1656s", "Go to time")</f>
        <v/>
      </c>
    </row>
    <row r="10442">
      <c r="A10442">
        <f>HYPERLINK("https://www.youtube.com/watch?v=CoQuaDKV3xk", "Video")</f>
        <v/>
      </c>
      <c r="B10442" t="inlineStr">
        <is>
          <t>27:39</t>
        </is>
      </c>
      <c r="C10442" t="inlineStr">
        <is>
          <t>habitat and thinking about the public</t>
        </is>
      </c>
      <c r="D10442">
        <f>HYPERLINK("https://www.youtube.com/watch?v=CoQuaDKV3xk&amp;t=1659s", "Go to time")</f>
        <v/>
      </c>
    </row>
    <row r="10443">
      <c r="A10443">
        <f>HYPERLINK("https://www.youtube.com/watch?v=CoQuaDKV3xk", "Video")</f>
        <v/>
      </c>
      <c r="B10443" t="inlineStr">
        <is>
          <t>28:49</t>
        </is>
      </c>
      <c r="C10443" t="inlineStr">
        <is>
          <t>doing a little bit more but this is</t>
        </is>
      </c>
      <c r="D10443">
        <f>HYPERLINK("https://www.youtube.com/watch?v=CoQuaDKV3xk&amp;t=1729s", "Go to time")</f>
        <v/>
      </c>
    </row>
    <row r="10444">
      <c r="A10444">
        <f>HYPERLINK("https://www.youtube.com/watch?v=CoQuaDKV3xk", "Video")</f>
        <v/>
      </c>
      <c r="B10444" t="inlineStr">
        <is>
          <t>29:35</t>
        </is>
      </c>
      <c r="C10444" t="inlineStr">
        <is>
          <t>things in a little bit of a different</t>
        </is>
      </c>
      <c r="D10444">
        <f>HYPERLINK("https://www.youtube.com/watch?v=CoQuaDKV3xk&amp;t=1775s", "Go to time")</f>
        <v/>
      </c>
    </row>
    <row r="10445">
      <c r="A10445">
        <f>HYPERLINK("https://www.youtube.com/watch?v=85hbMtegrLc", "Video")</f>
        <v/>
      </c>
      <c r="B10445" t="inlineStr">
        <is>
          <t>2:06</t>
        </is>
      </c>
      <c r="C10445" t="inlineStr">
        <is>
          <t>a little bit complicated to see
that he was a victim of American society.</t>
        </is>
      </c>
      <c r="D10445">
        <f>HYPERLINK("https://www.youtube.com/watch?v=85hbMtegrLc&amp;t=126s", "Go to time")</f>
        <v/>
      </c>
    </row>
    <row r="10446">
      <c r="A10446">
        <f>HYPERLINK("https://www.youtube.com/watch?v=WHtmgv7eiZk", "Video")</f>
        <v/>
      </c>
      <c r="B10446" t="inlineStr">
        <is>
          <t>1:44</t>
        </is>
      </c>
      <c r="C10446" t="inlineStr">
        <is>
          <t>The light is absorbed,
raising its temperature a bit.</t>
        </is>
      </c>
      <c r="D10446">
        <f>HYPERLINK("https://www.youtube.com/watch?v=WHtmgv7eiZk&amp;t=104s", "Go to time")</f>
        <v/>
      </c>
    </row>
    <row r="10447">
      <c r="A10447">
        <f>HYPERLINK("https://www.youtube.com/watch?v=Mq0_g-vCwb4", "Video")</f>
        <v/>
      </c>
      <c r="B10447" t="inlineStr">
        <is>
          <t>0:26</t>
        </is>
      </c>
      <c r="C10447" t="inlineStr">
        <is>
          <t>There are an estimated 25,000 inhabitants.</t>
        </is>
      </c>
      <c r="D10447">
        <f>HYPERLINK("https://www.youtube.com/watch?v=Mq0_g-vCwb4&amp;t=26s", "Go to time")</f>
        <v/>
      </c>
    </row>
    <row r="10448">
      <c r="A10448">
        <f>HYPERLINK("https://www.youtube.com/watch?v=Mq0_g-vCwb4", "Video")</f>
        <v/>
      </c>
      <c r="B10448" t="inlineStr">
        <is>
          <t>6:10</t>
        </is>
      </c>
      <c r="C10448" t="inlineStr">
        <is>
          <t>which prohibit catching juvenile fish,</t>
        </is>
      </c>
      <c r="D10448">
        <f>HYPERLINK("https://www.youtube.com/watch?v=Mq0_g-vCwb4&amp;t=370s", "Go to time")</f>
        <v/>
      </c>
    </row>
    <row r="10449">
      <c r="A10449">
        <f>HYPERLINK("https://www.youtube.com/watch?v=DBBA2LAsepU", "Video")</f>
        <v/>
      </c>
      <c r="B10449" t="inlineStr">
        <is>
          <t>1:48</t>
        </is>
      </c>
      <c r="C10449" t="inlineStr">
        <is>
          <t>So after things calmed down a little bit,</t>
        </is>
      </c>
      <c r="D10449">
        <f>HYPERLINK("https://www.youtube.com/watch?v=DBBA2LAsepU&amp;t=108s", "Go to time")</f>
        <v/>
      </c>
    </row>
    <row r="10450">
      <c r="A10450">
        <f>HYPERLINK("https://www.youtube.com/watch?v=icQS5_mOx7U", "Video")</f>
        <v/>
      </c>
      <c r="B10450" t="inlineStr">
        <is>
          <t>4:08</t>
        </is>
      </c>
      <c r="C10450" t="inlineStr">
        <is>
          <t>I mean, this sounds
a little bit bonkers, right?</t>
        </is>
      </c>
      <c r="D10450">
        <f>HYPERLINK("https://www.youtube.com/watch?v=icQS5_mOx7U&amp;t=248s", "Go to time")</f>
        <v/>
      </c>
    </row>
    <row r="10451">
      <c r="A10451">
        <f>HYPERLINK("https://www.youtube.com/watch?v=icQS5_mOx7U", "Video")</f>
        <v/>
      </c>
      <c r="B10451" t="inlineStr">
        <is>
          <t>6:09</t>
        </is>
      </c>
      <c r="C10451" t="inlineStr">
        <is>
          <t>But anyway, my team and I decided
to kind of have a bit of fun.</t>
        </is>
      </c>
      <c r="D10451">
        <f>HYPERLINK("https://www.youtube.com/watch?v=icQS5_mOx7U&amp;t=369s", "Go to time")</f>
        <v/>
      </c>
    </row>
    <row r="10452">
      <c r="A10452">
        <f>HYPERLINK("https://www.youtube.com/watch?v=0_M_syPuFos", "Video")</f>
        <v/>
      </c>
      <c r="B10452" t="inlineStr">
        <is>
          <t>15:54</t>
        </is>
      </c>
      <c r="C10452" t="inlineStr">
        <is>
          <t>CA: OK. Demis, I'd like
to change direction a bit.</t>
        </is>
      </c>
      <c r="D10452">
        <f>HYPERLINK("https://www.youtube.com/watch?v=0_M_syPuFos&amp;t=954s", "Go to time")</f>
        <v/>
      </c>
    </row>
    <row r="10453">
      <c r="A10453">
        <f>HYPERLINK("https://www.youtube.com/watch?v=0_M_syPuFos", "Video")</f>
        <v/>
      </c>
      <c r="B10453" t="inlineStr">
        <is>
          <t>19:31</t>
        </is>
      </c>
      <c r="C10453" t="inlineStr">
        <is>
          <t>But let's roll the clock forward a bit.</t>
        </is>
      </c>
      <c r="D10453">
        <f>HYPERLINK("https://www.youtube.com/watch?v=0_M_syPuFos&amp;t=1171s", "Go to time")</f>
        <v/>
      </c>
    </row>
    <row r="10454">
      <c r="A10454">
        <f>HYPERLINK("https://www.youtube.com/watch?v=tOurql_a-4g", "Video")</f>
        <v/>
      </c>
      <c r="B10454" t="inlineStr">
        <is>
          <t>2:05</t>
        </is>
      </c>
      <c r="C10454" t="inlineStr">
        <is>
          <t>But first, let's talk a little bit
about how we actually see.</t>
        </is>
      </c>
      <c r="D10454">
        <f>HYPERLINK("https://www.youtube.com/watch?v=tOurql_a-4g&amp;t=125s", "Go to time")</f>
        <v/>
      </c>
    </row>
    <row r="10455">
      <c r="A10455">
        <f>HYPERLINK("https://www.youtube.com/watch?v=tOurql_a-4g", "Video")</f>
        <v/>
      </c>
      <c r="B10455" t="inlineStr">
        <is>
          <t>4:38</t>
        </is>
      </c>
      <c r="C10455" t="inlineStr">
        <is>
          <t>we need to understand
just a little bit about genetics.</t>
        </is>
      </c>
      <c r="D10455">
        <f>HYPERLINK("https://www.youtube.com/watch?v=tOurql_a-4g&amp;t=278s", "Go to time")</f>
        <v/>
      </c>
    </row>
    <row r="10456">
      <c r="A10456">
        <f>HYPERLINK("https://www.youtube.com/watch?v=YbnS39GAcQo", "Video")</f>
        <v/>
      </c>
      <c r="B10456" t="inlineStr">
        <is>
          <t>5:26</t>
        </is>
      </c>
      <c r="C10456" t="inlineStr">
        <is>
          <t>You know, if you're going
to be a little bit late,</t>
        </is>
      </c>
      <c r="D10456">
        <f>HYPERLINK("https://www.youtube.com/watch?v=YbnS39GAcQo&amp;t=326s", "Go to time")</f>
        <v/>
      </c>
    </row>
    <row r="10457">
      <c r="A10457">
        <f>HYPERLINK("https://www.youtube.com/watch?v=aTfwA1TaH3Q", "Video")</f>
        <v/>
      </c>
      <c r="B10457" t="inlineStr">
        <is>
          <t>3:37</t>
        </is>
      </c>
      <c r="C10457" t="inlineStr">
        <is>
          <t>He set an ambitious goal:</t>
        </is>
      </c>
      <c r="D10457">
        <f>HYPERLINK("https://www.youtube.com/watch?v=aTfwA1TaH3Q&amp;t=217s", "Go to time")</f>
        <v/>
      </c>
    </row>
    <row r="10458">
      <c r="A10458">
        <f>HYPERLINK("https://www.youtube.com/watch?v=vXlJEcrinwg", "Video")</f>
        <v/>
      </c>
      <c r="B10458" t="inlineStr">
        <is>
          <t>1:50</t>
        </is>
      </c>
      <c r="C10458" t="inlineStr">
        <is>
          <t>First, a bit of context.</t>
        </is>
      </c>
      <c r="D10458">
        <f>HYPERLINK("https://www.youtube.com/watch?v=vXlJEcrinwg&amp;t=110s", "Go to time")</f>
        <v/>
      </c>
    </row>
    <row r="10459">
      <c r="A10459">
        <f>HYPERLINK("https://www.youtube.com/watch?v=vXlJEcrinwg", "Video")</f>
        <v/>
      </c>
      <c r="B10459" t="inlineStr">
        <is>
          <t>9:08</t>
        </is>
      </c>
      <c r="C10459" t="inlineStr">
        <is>
          <t>and by mid-century, we may find
one billion fewer people inhabiting earth</t>
        </is>
      </c>
      <c r="D10459">
        <f>HYPERLINK("https://www.youtube.com/watch?v=vXlJEcrinwg&amp;t=548s", "Go to time")</f>
        <v/>
      </c>
    </row>
    <row r="10460">
      <c r="A10460">
        <f>HYPERLINK("https://www.youtube.com/watch?v=vXlJEcrinwg", "Video")</f>
        <v/>
      </c>
      <c r="B10460" t="inlineStr">
        <is>
          <t>11:45</t>
        </is>
      </c>
      <c r="C10460" t="inlineStr">
        <is>
          <t>every bit of heart,</t>
        </is>
      </c>
      <c r="D10460">
        <f>HYPERLINK("https://www.youtube.com/watch?v=vXlJEcrinwg&amp;t=705s", "Go to time")</f>
        <v/>
      </c>
    </row>
    <row r="10461">
      <c r="A10461">
        <f>HYPERLINK("https://www.youtube.com/watch?v=c73Q8oQmwzo", "Video")</f>
        <v/>
      </c>
      <c r="B10461" t="inlineStr">
        <is>
          <t>3:40</t>
        </is>
      </c>
      <c r="C10461" t="inlineStr">
        <is>
          <t>you start thinking a little bit
beyond the conscious,</t>
        </is>
      </c>
      <c r="D10461">
        <f>HYPERLINK("https://www.youtube.com/watch?v=c73Q8oQmwzo&amp;t=220s", "Go to time")</f>
        <v/>
      </c>
    </row>
    <row r="10462">
      <c r="A10462">
        <f>HYPERLINK("https://www.youtube.com/watch?v=c73Q8oQmwzo", "Video")</f>
        <v/>
      </c>
      <c r="B10462" t="inlineStr">
        <is>
          <t>3:42</t>
        </is>
      </c>
      <c r="C10462" t="inlineStr">
        <is>
          <t>a little bit into the subconscious,</t>
        </is>
      </c>
      <c r="D10462">
        <f>HYPERLINK("https://www.youtube.com/watch?v=c73Q8oQmwzo&amp;t=222s", "Go to time")</f>
        <v/>
      </c>
    </row>
    <row r="10463">
      <c r="A10463">
        <f>HYPERLINK("https://www.youtube.com/watch?v=c73Q8oQmwzo", "Video")</f>
        <v/>
      </c>
      <c r="B10463" t="inlineStr">
        <is>
          <t>5:39</t>
        </is>
      </c>
      <c r="C10463" t="inlineStr">
        <is>
          <t>So we're in this vicious, habitual cycle.</t>
        </is>
      </c>
      <c r="D10463">
        <f>HYPERLINK("https://www.youtube.com/watch?v=c73Q8oQmwzo&amp;t=339s", "Go to time")</f>
        <v/>
      </c>
    </row>
    <row r="10464">
      <c r="A10464">
        <f>HYPERLINK("https://www.youtube.com/watch?v=c73Q8oQmwzo", "Video")</f>
        <v/>
      </c>
      <c r="B10464" t="inlineStr">
        <is>
          <t>8:20</t>
        </is>
      </c>
      <c r="C10464" t="inlineStr">
        <is>
          <t>I feel a little bit crazy,</t>
        </is>
      </c>
      <c r="D10464">
        <f>HYPERLINK("https://www.youtube.com/watch?v=c73Q8oQmwzo&amp;t=500s", "Go to time")</f>
        <v/>
      </c>
    </row>
    <row r="10465">
      <c r="A10465">
        <f>HYPERLINK("https://www.youtube.com/watch?v=c73Q8oQmwzo", "Video")</f>
        <v/>
      </c>
      <c r="B10465" t="inlineStr">
        <is>
          <t>13:14</t>
        </is>
      </c>
      <c r="C10465" t="inlineStr">
        <is>
          <t>was ridiculously ambitious,</t>
        </is>
      </c>
      <c r="D10465">
        <f>HYPERLINK("https://www.youtube.com/watch?v=c73Q8oQmwzo&amp;t=794s", "Go to time")</f>
        <v/>
      </c>
    </row>
    <row r="10466">
      <c r="A10466">
        <f>HYPERLINK("https://www.youtube.com/watch?v=c73Q8oQmwzo", "Video")</f>
        <v/>
      </c>
      <c r="B10466" t="inlineStr">
        <is>
          <t>14:54</t>
        </is>
      </c>
      <c r="C10466" t="inlineStr">
        <is>
          <t>gave us permission
to be offline a little bit more,</t>
        </is>
      </c>
      <c r="D10466">
        <f>HYPERLINK("https://www.youtube.com/watch?v=c73Q8oQmwzo&amp;t=894s", "Go to time")</f>
        <v/>
      </c>
    </row>
    <row r="10467">
      <c r="A10467">
        <f>HYPERLINK("https://www.youtube.com/watch?v=c73Q8oQmwzo", "Video")</f>
        <v/>
      </c>
      <c r="B10467" t="inlineStr">
        <is>
          <t>14:57</t>
        </is>
      </c>
      <c r="C10467" t="inlineStr">
        <is>
          <t>and a little bit of boredom
gave us some clarity</t>
        </is>
      </c>
      <c r="D10467">
        <f>HYPERLINK("https://www.youtube.com/watch?v=c73Q8oQmwzo&amp;t=897s", "Go to time")</f>
        <v/>
      </c>
    </row>
    <row r="10468">
      <c r="A10468">
        <f>HYPERLINK("https://www.youtube.com/watch?v=f4xu7w6Vf0U", "Video")</f>
        <v/>
      </c>
      <c r="B10468" t="inlineStr">
        <is>
          <t>2:04</t>
        </is>
      </c>
      <c r="C10468" t="inlineStr">
        <is>
          <t>and I will come back a little bit later</t>
        </is>
      </c>
      <c r="D10468">
        <f>HYPERLINK("https://www.youtube.com/watch?v=f4xu7w6Vf0U&amp;t=124s", "Go to time")</f>
        <v/>
      </c>
    </row>
    <row r="10469">
      <c r="A10469">
        <f>HYPERLINK("https://www.youtube.com/watch?v=f4xu7w6Vf0U", "Video")</f>
        <v/>
      </c>
      <c r="B10469" t="inlineStr">
        <is>
          <t>2:08</t>
        </is>
      </c>
      <c r="C10469" t="inlineStr">
        <is>
          <t>CA: Thanks so much, Corey,
see you again in a bit.</t>
        </is>
      </c>
      <c r="D10469">
        <f>HYPERLINK("https://www.youtube.com/watch?v=f4xu7w6Vf0U&amp;t=128s", "Go to time")</f>
        <v/>
      </c>
    </row>
    <row r="10470">
      <c r="A10470">
        <f>HYPERLINK("https://www.youtube.com/watch?v=f4xu7w6Vf0U", "Video")</f>
        <v/>
      </c>
      <c r="B10470" t="inlineStr">
        <is>
          <t>3:50</t>
        </is>
      </c>
      <c r="C10470" t="inlineStr">
        <is>
          <t>just talk a bit
about what's at stake there,</t>
        </is>
      </c>
      <c r="D10470">
        <f>HYPERLINK("https://www.youtube.com/watch?v=f4xu7w6Vf0U&amp;t=230s", "Go to time")</f>
        <v/>
      </c>
    </row>
    <row r="10471">
      <c r="A10471">
        <f>HYPERLINK("https://www.youtube.com/watch?v=f4xu7w6Vf0U", "Video")</f>
        <v/>
      </c>
      <c r="B10471" t="inlineStr">
        <is>
          <t>8:24</t>
        </is>
      </c>
      <c r="C10471" t="inlineStr">
        <is>
          <t>countries lurching from
a little bit of activity here</t>
        </is>
      </c>
      <c r="D10471">
        <f>HYPERLINK("https://www.youtube.com/watch?v=f4xu7w6Vf0U&amp;t=504s", "Go to time")</f>
        <v/>
      </c>
    </row>
    <row r="10472">
      <c r="A10472">
        <f>HYPERLINK("https://www.youtube.com/watch?v=f4xu7w6Vf0U", "Video")</f>
        <v/>
      </c>
      <c r="B10472" t="inlineStr">
        <is>
          <t>9:50</t>
        </is>
      </c>
      <c r="C10472" t="inlineStr">
        <is>
          <t>So talk a bit, Danielle,
about your thinking</t>
        </is>
      </c>
      <c r="D10472">
        <f>HYPERLINK("https://www.youtube.com/watch?v=f4xu7w6Vf0U&amp;t=590s", "Go to time")</f>
        <v/>
      </c>
    </row>
    <row r="10473">
      <c r="A10473">
        <f>HYPERLINK("https://www.youtube.com/watch?v=f4xu7w6Vf0U", "Video")</f>
        <v/>
      </c>
      <c r="B10473" t="inlineStr">
        <is>
          <t>12:26</t>
        </is>
      </c>
      <c r="C10473" t="inlineStr">
        <is>
          <t>Talk a bit about that.</t>
        </is>
      </c>
      <c r="D10473">
        <f>HYPERLINK("https://www.youtube.com/watch?v=f4xu7w6Vf0U&amp;t=746s", "Go to time")</f>
        <v/>
      </c>
    </row>
    <row r="10474">
      <c r="A10474">
        <f>HYPERLINK("https://www.youtube.com/watch?v=f4xu7w6Vf0U", "Video")</f>
        <v/>
      </c>
      <c r="B10474" t="inlineStr">
        <is>
          <t>19:51</t>
        </is>
      </c>
      <c r="C10474" t="inlineStr">
        <is>
          <t>CH: OK, thank you, I'll see you
both again in a little bit.</t>
        </is>
      </c>
      <c r="D10474">
        <f>HYPERLINK("https://www.youtube.com/watch?v=f4xu7w6Vf0U&amp;t=1191s", "Go to time")</f>
        <v/>
      </c>
    </row>
    <row r="10475">
      <c r="A10475">
        <f>HYPERLINK("https://www.youtube.com/watch?v=f4xu7w6Vf0U", "Video")</f>
        <v/>
      </c>
      <c r="B10475" t="inlineStr">
        <is>
          <t>19:57</t>
        </is>
      </c>
      <c r="C10475" t="inlineStr">
        <is>
          <t>So let's stay with this
tech issue for a bit.</t>
        </is>
      </c>
      <c r="D10475">
        <f>HYPERLINK("https://www.youtube.com/watch?v=f4xu7w6Vf0U&amp;t=1197s", "Go to time")</f>
        <v/>
      </c>
    </row>
    <row r="10476">
      <c r="A10476">
        <f>HYPERLINK("https://www.youtube.com/watch?v=f4xu7w6Vf0U", "Video")</f>
        <v/>
      </c>
      <c r="B10476" t="inlineStr">
        <is>
          <t>21:33</t>
        </is>
      </c>
      <c r="C10476" t="inlineStr">
        <is>
          <t>that prohibits the commercialization
of this COVID testing data.</t>
        </is>
      </c>
      <c r="D10476">
        <f>HYPERLINK("https://www.youtube.com/watch?v=f4xu7w6Vf0U&amp;t=1293s", "Go to time")</f>
        <v/>
      </c>
    </row>
    <row r="10477">
      <c r="A10477">
        <f>HYPERLINK("https://www.youtube.com/watch?v=f4xu7w6Vf0U", "Video")</f>
        <v/>
      </c>
      <c r="B10477" t="inlineStr">
        <is>
          <t>29:07</t>
        </is>
      </c>
      <c r="C10477" t="inlineStr">
        <is>
          <t>CA: Talk a bit more, actually,
about the group</t>
        </is>
      </c>
      <c r="D10477">
        <f>HYPERLINK("https://www.youtube.com/watch?v=f4xu7w6Vf0U&amp;t=1747s", "Go to time")</f>
        <v/>
      </c>
    </row>
    <row r="10478">
      <c r="A10478">
        <f>HYPERLINK("https://www.youtube.com/watch?v=f4xu7w6Vf0U", "Video")</f>
        <v/>
      </c>
      <c r="B10478" t="inlineStr">
        <is>
          <t>44:16</t>
        </is>
      </c>
      <c r="C10478" t="inlineStr">
        <is>
          <t>if I might, I'd love to just
go to a bit more personal place.</t>
        </is>
      </c>
      <c r="D10478">
        <f>HYPERLINK("https://www.youtube.com/watch?v=f4xu7w6Vf0U&amp;t=2656s", "Go to time")</f>
        <v/>
      </c>
    </row>
    <row r="10479">
      <c r="A10479">
        <f>HYPERLINK("https://www.youtube.com/watch?v=f4xu7w6Vf0U", "Video")</f>
        <v/>
      </c>
      <c r="B10479" t="inlineStr">
        <is>
          <t>44:38</t>
        </is>
      </c>
      <c r="C10479" t="inlineStr">
        <is>
          <t>Tell us a bit about you, please.</t>
        </is>
      </c>
      <c r="D10479">
        <f>HYPERLINK("https://www.youtube.com/watch?v=f4xu7w6Vf0U&amp;t=2678s", "Go to time")</f>
        <v/>
      </c>
    </row>
    <row r="10480">
      <c r="A10480">
        <f>HYPERLINK("https://www.youtube.com/watch?v=nEtATZePGmg", "Video")</f>
        <v/>
      </c>
      <c r="B10480" t="inlineStr">
        <is>
          <t>7:51</t>
        </is>
      </c>
      <c r="C10480" t="inlineStr">
        <is>
          <t>this is the size of human habitats in</t>
        </is>
      </c>
      <c r="D10480">
        <f>HYPERLINK("https://www.youtube.com/watch?v=nEtATZePGmg&amp;t=471s", "Go to time")</f>
        <v/>
      </c>
    </row>
    <row r="10481">
      <c r="A10481">
        <f>HYPERLINK("https://www.youtube.com/watch?v=y8NtMZ7VGmU", "Video")</f>
        <v/>
      </c>
      <c r="B10481" t="inlineStr">
        <is>
          <t>1:12</t>
        </is>
      </c>
      <c r="C10481" t="inlineStr">
        <is>
          <t>trilobites, the first organisms
that could sense light, emerged.</t>
        </is>
      </c>
      <c r="D10481">
        <f>HYPERLINK("https://www.youtube.com/watch?v=y8NtMZ7VGmU&amp;t=72s", "Go to time")</f>
        <v/>
      </c>
    </row>
    <row r="10482">
      <c r="A10482">
        <f>HYPERLINK("https://www.youtube.com/watch?v=y8NtMZ7VGmU", "Video")</f>
        <v/>
      </c>
      <c r="B10482" t="inlineStr">
        <is>
          <t>1:18</t>
        </is>
      </c>
      <c r="C10482" t="inlineStr">
        <is>
          <t>They're the first inhabitants
of this reality that we take for granted.</t>
        </is>
      </c>
      <c r="D10482">
        <f>HYPERLINK("https://www.youtube.com/watch?v=y8NtMZ7VGmU&amp;t=78s", "Go to time")</f>
        <v/>
      </c>
    </row>
    <row r="10483">
      <c r="A10483">
        <f>HYPERLINK("https://www.youtube.com/watch?v=eHJnEHyyN1Y", "Video")</f>
        <v/>
      </c>
      <c r="B10483" t="inlineStr">
        <is>
          <t>1:39</t>
        </is>
      </c>
      <c r="C10483" t="inlineStr">
        <is>
          <t>It's those things, attitudes, habits,
thoughts, mental inclination</t>
        </is>
      </c>
      <c r="D10483">
        <f>HYPERLINK("https://www.youtube.com/watch?v=eHJnEHyyN1Y&amp;t=99s", "Go to time")</f>
        <v/>
      </c>
    </row>
    <row r="10484">
      <c r="A10484">
        <f>HYPERLINK("https://www.youtube.com/watch?v=eHJnEHyyN1Y", "Video")</f>
        <v/>
      </c>
      <c r="B10484" t="inlineStr">
        <is>
          <t>8:10</t>
        </is>
      </c>
      <c r="C10484" t="inlineStr">
        <is>
          <t>and by the way,
if it's a little bit lighter-weight,</t>
        </is>
      </c>
      <c r="D10484">
        <f>HYPERLINK("https://www.youtube.com/watch?v=eHJnEHyyN1Y&amp;t=490s", "Go to time")</f>
        <v/>
      </c>
    </row>
    <row r="10485">
      <c r="A10485">
        <f>HYPERLINK("https://www.youtube.com/watch?v=L61Kbo3y218", "Video")</f>
        <v/>
      </c>
      <c r="B10485" t="inlineStr">
        <is>
          <t>2:00</t>
        </is>
      </c>
      <c r="C10485" t="inlineStr">
        <is>
          <t>a little bit more often.</t>
        </is>
      </c>
      <c r="D10485">
        <f>HYPERLINK("https://www.youtube.com/watch?v=L61Kbo3y218&amp;t=120s", "Go to time")</f>
        <v/>
      </c>
    </row>
    <row r="10486">
      <c r="A10486">
        <f>HYPERLINK("https://www.youtube.com/watch?v=L61Kbo3y218", "Video")</f>
        <v/>
      </c>
      <c r="B10486" t="inlineStr">
        <is>
          <t>2:58</t>
        </is>
      </c>
      <c r="C10486" t="inlineStr">
        <is>
          <t>JR: I guess I could use a little
bit of encouragement.</t>
        </is>
      </c>
      <c r="D10486">
        <f>HYPERLINK("https://www.youtube.com/watch?v=L61Kbo3y218&amp;t=178s", "Go to time")</f>
        <v/>
      </c>
    </row>
    <row r="10487">
      <c r="A10487">
        <f>HYPERLINK("https://www.youtube.com/watch?v=L61Kbo3y218", "Video")</f>
        <v/>
      </c>
      <c r="B10487" t="inlineStr">
        <is>
          <t>3:21</t>
        </is>
      </c>
      <c r="C10487" t="inlineStr">
        <is>
          <t>JR: So any suggestions
for how I could loosen up a little bit?</t>
        </is>
      </c>
      <c r="D10487">
        <f>HYPERLINK("https://www.youtube.com/watch?v=L61Kbo3y218&amp;t=201s", "Go to time")</f>
        <v/>
      </c>
    </row>
    <row r="10488">
      <c r="A10488">
        <f>HYPERLINK("https://www.youtube.com/watch?v=L61Kbo3y218", "Video")</f>
        <v/>
      </c>
      <c r="B10488" t="inlineStr">
        <is>
          <t>7:25</t>
        </is>
      </c>
      <c r="C10488" t="inlineStr">
        <is>
          <t>But wouldn't it be better to spend
a little bit less time in those apps,</t>
        </is>
      </c>
      <c r="D10488">
        <f>HYPERLINK("https://www.youtube.com/watch?v=L61Kbo3y218&amp;t=445s", "Go to time")</f>
        <v/>
      </c>
    </row>
    <row r="10489">
      <c r="A10489">
        <f>HYPERLINK("https://www.youtube.com/watch?v=L61Kbo3y218", "Video")</f>
        <v/>
      </c>
      <c r="B10489" t="inlineStr">
        <is>
          <t>7:29</t>
        </is>
      </c>
      <c r="C10489" t="inlineStr">
        <is>
          <t>or just to need your screen
a little bit less?</t>
        </is>
      </c>
      <c r="D10489">
        <f>HYPERLINK("https://www.youtube.com/watch?v=L61Kbo3y218&amp;t=449s", "Go to time")</f>
        <v/>
      </c>
    </row>
    <row r="10490">
      <c r="A10490">
        <f>HYPERLINK("https://www.youtube.com/watch?v=L61Kbo3y218", "Video")</f>
        <v/>
      </c>
      <c r="B10490" t="inlineStr">
        <is>
          <t>7:34</t>
        </is>
      </c>
      <c r="C10490" t="inlineStr">
        <is>
          <t>for a little bit more of the day.</t>
        </is>
      </c>
      <c r="D10490">
        <f>HYPERLINK("https://www.youtube.com/watch?v=L61Kbo3y218&amp;t=454s", "Go to time")</f>
        <v/>
      </c>
    </row>
    <row r="10491">
      <c r="A10491">
        <f>HYPERLINK("https://www.youtube.com/watch?v=TfKpvpxdNz8", "Video")</f>
        <v/>
      </c>
      <c r="B10491" t="inlineStr">
        <is>
          <t>4:07</t>
        </is>
      </c>
      <c r="C10491" t="inlineStr">
        <is>
          <t>they'll get into
just a little bit of mischief.</t>
        </is>
      </c>
      <c r="D10491">
        <f>HYPERLINK("https://www.youtube.com/watch?v=TfKpvpxdNz8&amp;t=247s", "Go to time")</f>
        <v/>
      </c>
    </row>
    <row r="10492">
      <c r="A10492">
        <f>HYPERLINK("https://www.youtube.com/watch?v=-QkDwqktaVk", "Video")</f>
        <v/>
      </c>
      <c r="B10492" t="inlineStr">
        <is>
          <t>12:35</t>
        </is>
      </c>
      <c r="C10492" t="inlineStr">
        <is>
          <t>and helping them to inhabit the space
that exists between what is now</t>
        </is>
      </c>
      <c r="D10492">
        <f>HYPERLINK("https://www.youtube.com/watch?v=-QkDwqktaVk&amp;t=755s", "Go to time")</f>
        <v/>
      </c>
    </row>
    <row r="10493">
      <c r="A10493">
        <f>HYPERLINK("https://www.youtube.com/watch?v=Kxg0_EpOcWs", "Video")</f>
        <v/>
      </c>
      <c r="B10493" t="inlineStr">
        <is>
          <t>1:23</t>
        </is>
      </c>
      <c r="C10493" t="inlineStr">
        <is>
          <t>For example, if you were born
in 1975, you are a Rabbit.</t>
        </is>
      </c>
      <c r="D10493">
        <f>HYPERLINK("https://www.youtube.com/watch?v=Kxg0_EpOcWs&amp;t=83s", "Go to time")</f>
        <v/>
      </c>
    </row>
    <row r="10494">
      <c r="A10494">
        <f>HYPERLINK("https://www.youtube.com/watch?v=Kxg0_EpOcWs", "Video")</f>
        <v/>
      </c>
      <c r="B10494" t="inlineStr">
        <is>
          <t>2:20</t>
        </is>
      </c>
      <c r="C10494" t="inlineStr">
        <is>
          <t>I'm a Pig; I should have perfect romance
with Tigers, Goats and Rabbits.</t>
        </is>
      </c>
      <c r="D10494">
        <f>HYPERLINK("https://www.youtube.com/watch?v=Kxg0_EpOcWs&amp;t=140s", "Go to time")</f>
        <v/>
      </c>
    </row>
    <row r="10495">
      <c r="A10495">
        <f>HYPERLINK("https://www.youtube.com/watch?v=IW8mHxAkOtA", "Video")</f>
        <v/>
      </c>
      <c r="B10495" t="inlineStr">
        <is>
          <t>8:14</t>
        </is>
      </c>
      <c r="C10495" t="inlineStr">
        <is>
          <t>But now, there are almost 2,000
other planets orbiting other stars</t>
        </is>
      </c>
      <c r="D10495">
        <f>HYPERLINK("https://www.youtube.com/watch?v=IW8mHxAkOtA&amp;t=494s", "Go to time")</f>
        <v/>
      </c>
    </row>
    <row r="10496">
      <c r="A10496">
        <f>HYPERLINK("https://www.youtube.com/watch?v=IW8mHxAkOtA", "Video")</f>
        <v/>
      </c>
      <c r="B10496" t="inlineStr">
        <is>
          <t>8:31</t>
        </is>
      </c>
      <c r="C10496" t="inlineStr">
        <is>
          <t>for planets orbiting other stars.</t>
        </is>
      </c>
      <c r="D10496">
        <f>HYPERLINK("https://www.youtube.com/watch?v=IW8mHxAkOtA&amp;t=511s", "Go to time")</f>
        <v/>
      </c>
    </row>
    <row r="10497">
      <c r="A10497">
        <f>HYPERLINK("https://www.youtube.com/watch?v=IW8mHxAkOtA", "Video")</f>
        <v/>
      </c>
      <c r="B10497" t="inlineStr">
        <is>
          <t>8:58</t>
        </is>
      </c>
      <c r="C10497" t="inlineStr">
        <is>
          <t>We've even found planets
that are orbiting two stars.</t>
        </is>
      </c>
      <c r="D10497">
        <f>HYPERLINK("https://www.youtube.com/watch?v=IW8mHxAkOtA&amp;t=538s", "Go to time")</f>
        <v/>
      </c>
    </row>
    <row r="10498">
      <c r="A10498">
        <f>HYPERLINK("https://www.youtube.com/watch?v=IW8mHxAkOtA", "Video")</f>
        <v/>
      </c>
      <c r="B10498" t="inlineStr">
        <is>
          <t>9:26</t>
        </is>
      </c>
      <c r="C10498" t="inlineStr">
        <is>
          <t>just the right distance from their stars
that they're orbiting --</t>
        </is>
      </c>
      <c r="D10498">
        <f>HYPERLINK("https://www.youtube.com/watch?v=IW8mHxAkOtA&amp;t=566s", "Go to time")</f>
        <v/>
      </c>
    </row>
    <row r="10499">
      <c r="A10499">
        <f>HYPERLINK("https://www.youtube.com/watch?v=bzlYyhh3X0w", "Video")</f>
        <v/>
      </c>
      <c r="B10499" t="inlineStr">
        <is>
          <t>3:36</t>
        </is>
      </c>
      <c r="C10499" t="inlineStr">
        <is>
          <t>if they don't subscribe
to some arbitrary form of acceptable?</t>
        </is>
      </c>
      <c r="D10499">
        <f>HYPERLINK("https://www.youtube.com/watch?v=bzlYyhh3X0w&amp;t=216s", "Go to time")</f>
        <v/>
      </c>
    </row>
    <row r="10500">
      <c r="A10500">
        <f>HYPERLINK("https://www.youtube.com/watch?v=bzlYyhh3X0w", "Video")</f>
        <v/>
      </c>
      <c r="B10500" t="inlineStr">
        <is>
          <t>8:07</t>
        </is>
      </c>
      <c r="C10500" t="inlineStr">
        <is>
          <t>has been reclaiming spaces that are
often prohibitive to bigger bodies,</t>
        </is>
      </c>
      <c r="D10500">
        <f>HYPERLINK("https://www.youtube.com/watch?v=bzlYyhh3X0w&amp;t=487s", "Go to time")</f>
        <v/>
      </c>
    </row>
    <row r="10501">
      <c r="A10501">
        <f>HYPERLINK("https://www.youtube.com/watch?v=5g8V23poB9Q", "Video")</f>
        <v/>
      </c>
      <c r="B10501" t="inlineStr">
        <is>
          <t>1:52</t>
        </is>
      </c>
      <c r="C10501" t="inlineStr">
        <is>
          <t>is now making larger
areas literally uninhabitable,</t>
        </is>
      </c>
      <c r="D10501">
        <f>HYPERLINK("https://www.youtube.com/watch?v=5g8V23poB9Q&amp;t=112s", "Go to time")</f>
        <v/>
      </c>
    </row>
    <row r="10502">
      <c r="A10502">
        <f>HYPERLINK("https://www.youtube.com/watch?v=5g8V23poB9Q", "Video")</f>
        <v/>
      </c>
      <c r="B10502" t="inlineStr">
        <is>
          <t>5:08</t>
        </is>
      </c>
      <c r="C10502" t="inlineStr">
        <is>
          <t>and those recoveries I showed you
from last year may get a tiny bit larger,</t>
        </is>
      </c>
      <c r="D10502">
        <f>HYPERLINK("https://www.youtube.com/watch?v=5g8V23poB9Q&amp;t=308s", "Go to time")</f>
        <v/>
      </c>
    </row>
    <row r="10503">
      <c r="A10503">
        <f>HYPERLINK("https://www.youtube.com/watch?v=Li7PsYiwxVc", "Video")</f>
        <v/>
      </c>
      <c r="B10503" t="inlineStr">
        <is>
          <t>1:32</t>
        </is>
      </c>
      <c r="C10503" t="inlineStr">
        <is>
          <t>So let’s put this
in perspective a little bit.</t>
        </is>
      </c>
      <c r="D10503">
        <f>HYPERLINK("https://www.youtube.com/watch?v=Li7PsYiwxVc&amp;t=92s", "Go to time")</f>
        <v/>
      </c>
    </row>
    <row r="10504">
      <c r="A10504">
        <f>HYPERLINK("https://www.youtube.com/watch?v=Li7PsYiwxVc", "Video")</f>
        <v/>
      </c>
      <c r="B10504" t="inlineStr">
        <is>
          <t>4:10</t>
        </is>
      </c>
      <c r="C10504" t="inlineStr">
        <is>
          <t>to Earth orbit,</t>
        </is>
      </c>
      <c r="D10504">
        <f>HYPERLINK("https://www.youtube.com/watch?v=Li7PsYiwxVc&amp;t=250s", "Go to time")</f>
        <v/>
      </c>
    </row>
    <row r="10505">
      <c r="A10505">
        <f>HYPERLINK("https://www.youtube.com/watch?v=Li7PsYiwxVc", "Video")</f>
        <v/>
      </c>
      <c r="B10505" t="inlineStr">
        <is>
          <t>5:11</t>
        </is>
      </c>
      <c r="C10505" t="inlineStr">
        <is>
          <t>You launch that into orbit.</t>
        </is>
      </c>
      <c r="D10505">
        <f>HYPERLINK("https://www.youtube.com/watch?v=Li7PsYiwxVc&amp;t=311s", "Go to time")</f>
        <v/>
      </c>
    </row>
    <row r="10506">
      <c r="A10506">
        <f>HYPERLINK("https://www.youtube.com/watch?v=Li7PsYiwxVc", "Video")</f>
        <v/>
      </c>
      <c r="B10506" t="inlineStr">
        <is>
          <t>5:21</t>
        </is>
      </c>
      <c r="C10506" t="inlineStr">
        <is>
          <t>and they dock in Earth orbit.</t>
        </is>
      </c>
      <c r="D10506">
        <f>HYPERLINK("https://www.youtube.com/watch?v=Li7PsYiwxVc&amp;t=321s", "Go to time")</f>
        <v/>
      </c>
    </row>
    <row r="10507">
      <c r="A10507">
        <f>HYPERLINK("https://www.youtube.com/watch?v=Li7PsYiwxVc", "Video")</f>
        <v/>
      </c>
      <c r="B10507" t="inlineStr">
        <is>
          <t>5:52</t>
        </is>
      </c>
      <c r="C10507" t="inlineStr">
        <is>
          <t>we’re essentially resetting
the rocket equation in orbit,</t>
        </is>
      </c>
      <c r="D10507">
        <f>HYPERLINK("https://www.youtube.com/watch?v=Li7PsYiwxVc&amp;t=352s", "Go to time")</f>
        <v/>
      </c>
    </row>
    <row r="10508">
      <c r="A10508">
        <f>HYPERLINK("https://www.youtube.com/watch?v=Li7PsYiwxVc", "Video")</f>
        <v/>
      </c>
      <c r="B10508" t="inlineStr">
        <is>
          <t>6:33</t>
        </is>
      </c>
      <c r="C10508" t="inlineStr">
        <is>
          <t>it’ll actually orbit Jupiter</t>
        </is>
      </c>
      <c r="D10508">
        <f>HYPERLINK("https://www.youtube.com/watch?v=Li7PsYiwxVc&amp;t=393s", "Go to time")</f>
        <v/>
      </c>
    </row>
    <row r="10509">
      <c r="A10509">
        <f>HYPERLINK("https://www.youtube.com/watch?v=Li7PsYiwxVc", "Video")</f>
        <v/>
      </c>
      <c r="B10509" t="inlineStr">
        <is>
          <t>11:25</t>
        </is>
      </c>
      <c r="C10509" t="inlineStr">
        <is>
          <t>and explore a little bit.</t>
        </is>
      </c>
      <c r="D10509">
        <f>HYPERLINK("https://www.youtube.com/watch?v=Li7PsYiwxVc&amp;t=685s", "Go to time")</f>
        <v/>
      </c>
    </row>
    <row r="10510">
      <c r="A10510">
        <f>HYPERLINK("https://www.youtube.com/watch?v=jKM0jlPW8x0", "Video")</f>
        <v/>
      </c>
      <c r="B10510" t="inlineStr">
        <is>
          <t>5:33</t>
        </is>
      </c>
      <c r="C10510" t="inlineStr">
        <is>
          <t>There's an abundance of smart, hardworking
and ambitious people in Africa,</t>
        </is>
      </c>
      <c r="D10510">
        <f>HYPERLINK("https://www.youtube.com/watch?v=jKM0jlPW8x0&amp;t=333s", "Go to time")</f>
        <v/>
      </c>
    </row>
    <row r="10511">
      <c r="A10511">
        <f>HYPERLINK("https://www.youtube.com/watch?v=-Hmn5Gmn2dw", "Video")</f>
        <v/>
      </c>
      <c r="B10511" t="inlineStr">
        <is>
          <t>2:18</t>
        </is>
      </c>
      <c r="C10511" t="inlineStr">
        <is>
          <t>or to limit their development
ambitions altogether.</t>
        </is>
      </c>
      <c r="D10511">
        <f>HYPERLINK("https://www.youtube.com/watch?v=-Hmn5Gmn2dw&amp;t=138s", "Go to time")</f>
        <v/>
      </c>
    </row>
    <row r="10512">
      <c r="A10512">
        <f>HYPERLINK("https://www.youtube.com/watch?v=LZXUR4z2P9w", "Video")</f>
        <v/>
      </c>
      <c r="B10512" t="inlineStr">
        <is>
          <t>1:45</t>
        </is>
      </c>
      <c r="C10512" t="inlineStr">
        <is>
          <t>Well, it turns out to be quite a bit.</t>
        </is>
      </c>
      <c r="D10512">
        <f>HYPERLINK("https://www.youtube.com/watch?v=LZXUR4z2P9w&amp;t=105s", "Go to time")</f>
        <v/>
      </c>
    </row>
    <row r="10513">
      <c r="A10513">
        <f>HYPERLINK("https://www.youtube.com/watch?v=LZXUR4z2P9w", "Video")</f>
        <v/>
      </c>
      <c r="B10513" t="inlineStr">
        <is>
          <t>7:59</t>
        </is>
      </c>
      <c r="C10513" t="inlineStr">
        <is>
          <t>can you guys speed that up a little bit?</t>
        </is>
      </c>
      <c r="D10513">
        <f>HYPERLINK("https://www.youtube.com/watch?v=LZXUR4z2P9w&amp;t=479s", "Go to time")</f>
        <v/>
      </c>
    </row>
    <row r="10514">
      <c r="A10514">
        <f>HYPERLINK("https://www.youtube.com/watch?v=LZXUR4z2P9w", "Video")</f>
        <v/>
      </c>
      <c r="B10514" t="inlineStr">
        <is>
          <t>8:01</t>
        </is>
      </c>
      <c r="C10514" t="inlineStr">
        <is>
          <t>Because we're in a little bit
of a climate crisis right now.</t>
        </is>
      </c>
      <c r="D10514">
        <f>HYPERLINK("https://www.youtube.com/watch?v=LZXUR4z2P9w&amp;t=481s", "Go to time")</f>
        <v/>
      </c>
    </row>
    <row r="10515">
      <c r="A10515">
        <f>HYPERLINK("https://www.youtube.com/watch?v=7p1nCRQCiUM", "Video")</f>
        <v/>
      </c>
      <c r="B10515" t="inlineStr">
        <is>
          <t>2:10</t>
        </is>
      </c>
      <c r="C10515" t="inlineStr">
        <is>
          <t>This was not my natural habitat.</t>
        </is>
      </c>
      <c r="D10515">
        <f>HYPERLINK("https://www.youtube.com/watch?v=7p1nCRQCiUM&amp;t=130s", "Go to time")</f>
        <v/>
      </c>
    </row>
    <row r="10516">
      <c r="A10516">
        <f>HYPERLINK("https://www.youtube.com/watch?v=7p1nCRQCiUM", "Video")</f>
        <v/>
      </c>
      <c r="B10516" t="inlineStr">
        <is>
          <t>7:03</t>
        </is>
      </c>
      <c r="C10516" t="inlineStr">
        <is>
          <t>Early on, Laura Hughes could see
that I was a little lost in this habitat,</t>
        </is>
      </c>
      <c r="D10516">
        <f>HYPERLINK("https://www.youtube.com/watch?v=7p1nCRQCiUM&amp;t=423s", "Go to time")</f>
        <v/>
      </c>
    </row>
    <row r="10517">
      <c r="A10517">
        <f>HYPERLINK("https://www.youtube.com/watch?v=A3WrAEm3PXU", "Video")</f>
        <v/>
      </c>
      <c r="B10517" t="inlineStr">
        <is>
          <t>0:49</t>
        </is>
      </c>
      <c r="C10517" t="inlineStr">
        <is>
          <t>But our discovery
is a little bit different.</t>
        </is>
      </c>
      <c r="D10517">
        <f>HYPERLINK("https://www.youtube.com/watch?v=A3WrAEm3PXU&amp;t=49s", "Go to time")</f>
        <v/>
      </c>
    </row>
    <row r="10518">
      <c r="A10518">
        <f>HYPERLINK("https://www.youtube.com/watch?v=ZTg54BbjJfA", "Video")</f>
        <v/>
      </c>
      <c r="B10518" t="inlineStr">
        <is>
          <t>0:03</t>
        </is>
      </c>
      <c r="C10518" t="inlineStr">
        <is>
          <t>Susan Cain: The idea of bittersweetness
is that we live in a constant state,</t>
        </is>
      </c>
      <c r="D10518">
        <f>HYPERLINK("https://www.youtube.com/watch?v=ZTg54BbjJfA&amp;t=3s", "Go to time")</f>
        <v/>
      </c>
    </row>
    <row r="10519">
      <c r="A10519">
        <f>HYPERLINK("https://www.youtube.com/watch?v=ZTg54BbjJfA", "Video")</f>
        <v/>
      </c>
      <c r="B10519" t="inlineStr">
        <is>
          <t>0:19</t>
        </is>
      </c>
      <c r="C10519" t="inlineStr">
        <is>
          <t>bitter and sweet.</t>
        </is>
      </c>
      <c r="D10519">
        <f>HYPERLINK("https://www.youtube.com/watch?v=ZTg54BbjJfA&amp;t=19s", "Go to time")</f>
        <v/>
      </c>
    </row>
    <row r="10520">
      <c r="A10520">
        <f>HYPERLINK("https://www.youtube.com/watch?v=ZTg54BbjJfA", "Video")</f>
        <v/>
      </c>
      <c r="B10520" t="inlineStr">
        <is>
          <t>1:24</t>
        </is>
      </c>
      <c r="C10520" t="inlineStr">
        <is>
          <t>art is a way that we see
bittersweetness being expressed</t>
        </is>
      </c>
      <c r="D10520">
        <f>HYPERLINK("https://www.youtube.com/watch?v=ZTg54BbjJfA&amp;t=84s", "Go to time")</f>
        <v/>
      </c>
    </row>
    <row r="10521">
      <c r="A10521">
        <f>HYPERLINK("https://www.youtube.com/watch?v=ZTg54BbjJfA", "Video")</f>
        <v/>
      </c>
      <c r="B10521" t="inlineStr">
        <is>
          <t>5:00</t>
        </is>
      </c>
      <c r="C10521" t="inlineStr">
        <is>
          <t>Can you share a little bit more
about the process</t>
        </is>
      </c>
      <c r="D10521">
        <f>HYPERLINK("https://www.youtube.com/watch?v=ZTg54BbjJfA&amp;t=300s", "Go to time")</f>
        <v/>
      </c>
    </row>
    <row r="10522">
      <c r="A10522">
        <f>HYPERLINK("https://www.youtube.com/watch?v=ZTg54BbjJfA", "Video")</f>
        <v/>
      </c>
      <c r="B10522" t="inlineStr">
        <is>
          <t>5:08</t>
        </is>
      </c>
      <c r="C10522" t="inlineStr">
        <is>
          <t>in this place where bittersweet
was the end product?</t>
        </is>
      </c>
      <c r="D10522">
        <f>HYPERLINK("https://www.youtube.com/watch?v=ZTg54BbjJfA&amp;t=308s", "Go to time")</f>
        <v/>
      </c>
    </row>
    <row r="10523">
      <c r="A10523">
        <f>HYPERLINK("https://www.youtube.com/watch?v=ZTg54BbjJfA", "Video")</f>
        <v/>
      </c>
      <c r="B10523" t="inlineStr">
        <is>
          <t>11:54</t>
        </is>
      </c>
      <c r="C10523" t="inlineStr">
        <is>
          <t>and pick up the shards where we can
and maybe shine them up a little bit.</t>
        </is>
      </c>
      <c r="D10523">
        <f>HYPERLINK("https://www.youtube.com/watch?v=ZTg54BbjJfA&amp;t=714s", "Go to time")</f>
        <v/>
      </c>
    </row>
    <row r="10524">
      <c r="A10524">
        <f>HYPERLINK("https://www.youtube.com/watch?v=ZTg54BbjJfA", "Video")</f>
        <v/>
      </c>
      <c r="B10524" t="inlineStr">
        <is>
          <t>14:09</t>
        </is>
      </c>
      <c r="C10524" t="inlineStr">
        <is>
          <t>and I guess now bittersweetness.</t>
        </is>
      </c>
      <c r="D10524">
        <f>HYPERLINK("https://www.youtube.com/watch?v=ZTg54BbjJfA&amp;t=849s", "Go to time")</f>
        <v/>
      </c>
    </row>
    <row r="10525">
      <c r="A10525">
        <f>HYPERLINK("https://www.youtube.com/watch?v=EQQqGlFL_is", "Video")</f>
        <v/>
      </c>
      <c r="B10525" t="inlineStr">
        <is>
          <t>0:24</t>
        </is>
      </c>
      <c r="C10525" t="inlineStr">
        <is>
          <t>There are also codes if you need
surgery after being bitten by a pig,</t>
        </is>
      </c>
      <c r="D10525">
        <f>HYPERLINK("https://www.youtube.com/watch?v=EQQqGlFL_is&amp;t=24s", "Go to time")</f>
        <v/>
      </c>
    </row>
    <row r="10526">
      <c r="A10526">
        <f>HYPERLINK("https://www.youtube.com/watch?v=PlPena9gobI", "Video")</f>
        <v/>
      </c>
      <c r="B10526" t="inlineStr">
        <is>
          <t>7:13</t>
        </is>
      </c>
      <c r="C10526" t="inlineStr">
        <is>
          <t>and tell you a little bit about me
and that song that I played you a part of</t>
        </is>
      </c>
      <c r="D10526">
        <f>HYPERLINK("https://www.youtube.com/watch?v=PlPena9gobI&amp;t=433s", "Go to time")</f>
        <v/>
      </c>
    </row>
    <row r="10527">
      <c r="A10527">
        <f>HYPERLINK("https://www.youtube.com/watch?v=PlPena9gobI", "Video")</f>
        <v/>
      </c>
      <c r="B10527" t="inlineStr">
        <is>
          <t>8:07</t>
        </is>
      </c>
      <c r="C10527" t="inlineStr">
        <is>
          <t>and visit with her for a little bit.</t>
        </is>
      </c>
      <c r="D10527">
        <f>HYPERLINK("https://www.youtube.com/watch?v=PlPena9gobI&amp;t=487s", "Go to time")</f>
        <v/>
      </c>
    </row>
    <row r="10528">
      <c r="A10528">
        <f>HYPERLINK("https://www.youtube.com/watch?v=PlPena9gobI", "Video")</f>
        <v/>
      </c>
      <c r="B10528" t="inlineStr">
        <is>
          <t>8:42</t>
        </is>
      </c>
      <c r="C10528" t="inlineStr">
        <is>
          <t>I stopped singing for a little bit
and I just hummed a melody.</t>
        </is>
      </c>
      <c r="D10528">
        <f>HYPERLINK("https://www.youtube.com/watch?v=PlPena9gobI&amp;t=522s", "Go to time")</f>
        <v/>
      </c>
    </row>
    <row r="10529">
      <c r="A10529">
        <f>HYPERLINK("https://www.youtube.com/watch?v=CPVjktgYKo4", "Video")</f>
        <v/>
      </c>
      <c r="B10529" t="inlineStr">
        <is>
          <t>0:56</t>
        </is>
      </c>
      <c r="C10529" t="inlineStr">
        <is>
          <t>a little bit like here,</t>
        </is>
      </c>
      <c r="D10529">
        <f>HYPERLINK("https://www.youtube.com/watch?v=CPVjktgYKo4&amp;t=56s", "Go to time")</f>
        <v/>
      </c>
    </row>
    <row r="10530">
      <c r="A10530">
        <f>HYPERLINK("https://www.youtube.com/watch?v=FQQE3rB8Uc0", "Video")</f>
        <v/>
      </c>
      <c r="B10530" t="inlineStr">
        <is>
          <t>4:51</t>
        </is>
      </c>
      <c r="C10530" t="inlineStr">
        <is>
          <t>or which bits of the plant site
might need remediation.</t>
        </is>
      </c>
      <c r="D10530">
        <f>HYPERLINK("https://www.youtube.com/watch?v=FQQE3rB8Uc0&amp;t=291s", "Go to time")</f>
        <v/>
      </c>
    </row>
    <row r="10531">
      <c r="A10531">
        <f>HYPERLINK("https://www.youtube.com/watch?v=TeGr86rq06c", "Video")</f>
        <v/>
      </c>
      <c r="B10531" t="inlineStr">
        <is>
          <t>8:11</t>
        </is>
      </c>
      <c r="C10531" t="inlineStr">
        <is>
          <t>The traditional surgery is to take
a bit of the cranium off,</t>
        </is>
      </c>
      <c r="D10531">
        <f>HYPERLINK("https://www.youtube.com/watch?v=TeGr86rq06c&amp;t=491s", "Go to time")</f>
        <v/>
      </c>
    </row>
    <row r="10532">
      <c r="A10532">
        <f>HYPERLINK("https://www.youtube.com/watch?v=TeGr86rq06c", "Video")</f>
        <v/>
      </c>
      <c r="B10532" t="inlineStr">
        <is>
          <t>8:14</t>
        </is>
      </c>
      <c r="C10532" t="inlineStr">
        <is>
          <t>a bit of the skull,</t>
        </is>
      </c>
      <c r="D10532">
        <f>HYPERLINK("https://www.youtube.com/watch?v=TeGr86rq06c&amp;t=494s", "Go to time")</f>
        <v/>
      </c>
    </row>
    <row r="10533">
      <c r="A10533">
        <f>HYPERLINK("https://www.youtube.com/watch?v=TeGr86rq06c", "Video")</f>
        <v/>
      </c>
      <c r="B10533" t="inlineStr">
        <is>
          <t>14:30</t>
        </is>
      </c>
      <c r="C10533" t="inlineStr">
        <is>
          <t>STM 3: And then lower
the whole table down a little bit?</t>
        </is>
      </c>
      <c r="D10533">
        <f>HYPERLINK("https://www.youtube.com/watch?v=TeGr86rq06c&amp;t=870s", "Go to time")</f>
        <v/>
      </c>
    </row>
    <row r="10534">
      <c r="A10534">
        <f>HYPERLINK("https://www.youtube.com/watch?v=Rv-tDrv__mc", "Video")</f>
        <v/>
      </c>
      <c r="B10534" t="inlineStr">
        <is>
          <t>8:01</t>
        </is>
      </c>
      <c r="C10534" t="inlineStr">
        <is>
          <t>We would, yes, go a little bit further
on SDG accomplishments,</t>
        </is>
      </c>
      <c r="D10534">
        <f>HYPERLINK("https://www.youtube.com/watch?v=Rv-tDrv__mc&amp;t=481s", "Go to time")</f>
        <v/>
      </c>
    </row>
    <row r="10535">
      <c r="A10535">
        <f>HYPERLINK("https://www.youtube.com/watch?v=Rv-tDrv__mc", "Video")</f>
        <v/>
      </c>
      <c r="B10535" t="inlineStr">
        <is>
          <t>8:23</t>
        </is>
      </c>
      <c r="C10535" t="inlineStr">
        <is>
          <t>A harder scenario would take us
a little bit better,</t>
        </is>
      </c>
      <c r="D10535">
        <f>HYPERLINK("https://www.youtube.com/watch?v=Rv-tDrv__mc&amp;t=503s", "Go to time")</f>
        <v/>
      </c>
    </row>
    <row r="10536">
      <c r="A10536">
        <f>HYPERLINK("https://www.youtube.com/watch?v=Mp3Msfw90BE", "Video")</f>
        <v/>
      </c>
      <c r="B10536" t="inlineStr">
        <is>
          <t>3:17</t>
        </is>
      </c>
      <c r="C10536" t="inlineStr">
        <is>
          <t>We’re in the habit of saying yes
to every meeting we’re invited to.</t>
        </is>
      </c>
      <c r="D10536">
        <f>HYPERLINK("https://www.youtube.com/watch?v=Mp3Msfw90BE&amp;t=197s", "Go to time")</f>
        <v/>
      </c>
    </row>
    <row r="10537">
      <c r="A10537">
        <f>HYPERLINK("https://www.youtube.com/watch?v=8nt3edWLgIg", "Video")</f>
        <v/>
      </c>
      <c r="B10537" t="inlineStr">
        <is>
          <t>4:29</t>
        </is>
      </c>
      <c r="C10537" t="inlineStr">
        <is>
          <t>Actually, this is a little bit more
than an assumption.</t>
        </is>
      </c>
      <c r="D10537">
        <f>HYPERLINK("https://www.youtube.com/watch?v=8nt3edWLgIg&amp;t=269s", "Go to time")</f>
        <v/>
      </c>
    </row>
    <row r="10538">
      <c r="A10538">
        <f>HYPERLINK("https://www.youtube.com/watch?v=_nSHsb5xKPo", "Video")</f>
        <v/>
      </c>
      <c r="B10538" t="inlineStr">
        <is>
          <t>5:13</t>
        </is>
      </c>
      <c r="C10538" t="inlineStr">
        <is>
          <t>Los Zetas said, "We will kill 10 people
for every bit of information you release."</t>
        </is>
      </c>
      <c r="D10538">
        <f>HYPERLINK("https://www.youtube.com/watch?v=_nSHsb5xKPo&amp;t=313s", "Go to time")</f>
        <v/>
      </c>
    </row>
    <row r="10539">
      <c r="A10539">
        <f>HYPERLINK("https://www.youtube.com/watch?v=_nSHsb5xKPo", "Video")</f>
        <v/>
      </c>
      <c r="B10539" t="inlineStr">
        <is>
          <t>8:37</t>
        </is>
      </c>
      <c r="C10539" t="inlineStr">
        <is>
          <t>And government support
for technologies like Tor and Bitcoin</t>
        </is>
      </c>
      <c r="D10539">
        <f>HYPERLINK("https://www.youtube.com/watch?v=_nSHsb5xKPo&amp;t=517s", "Go to time")</f>
        <v/>
      </c>
    </row>
    <row r="10540">
      <c r="A10540">
        <f>HYPERLINK("https://www.youtube.com/watch?v=Ew2z_sYABE0", "Video")</f>
        <v/>
      </c>
      <c r="B10540" t="inlineStr">
        <is>
          <t>0:27</t>
        </is>
      </c>
      <c r="C10540" t="inlineStr">
        <is>
          <t>Exploring the emotional impact
of our digital habits."</t>
        </is>
      </c>
      <c r="D10540">
        <f>HYPERLINK("https://www.youtube.com/watch?v=Ew2z_sYABE0&amp;t=27s", "Go to time")</f>
        <v/>
      </c>
    </row>
    <row r="10541">
      <c r="A10541">
        <f>HYPERLINK("https://www.youtube.com/watch?v=Ew2z_sYABE0", "Video")</f>
        <v/>
      </c>
      <c r="B10541" t="inlineStr">
        <is>
          <t>1:00</t>
        </is>
      </c>
      <c r="C10541" t="inlineStr">
        <is>
          <t>So can you tell us
a little bit more about that?</t>
        </is>
      </c>
      <c r="D10541">
        <f>HYPERLINK("https://www.youtube.com/watch?v=Ew2z_sYABE0&amp;t=60s", "Go to time")</f>
        <v/>
      </c>
    </row>
    <row r="10542">
      <c r="A10542">
        <f>HYPERLINK("https://www.youtube.com/watch?v=Ew2z_sYABE0", "Video")</f>
        <v/>
      </c>
      <c r="B10542" t="inlineStr">
        <is>
          <t>10:11</t>
        </is>
      </c>
      <c r="C10542" t="inlineStr">
        <is>
          <t>we need to inhabit
and act on these reflections.</t>
        </is>
      </c>
      <c r="D10542">
        <f>HYPERLINK("https://www.youtube.com/watch?v=Ew2z_sYABE0&amp;t=611s", "Go to time")</f>
        <v/>
      </c>
    </row>
    <row r="10543">
      <c r="A10543">
        <f>HYPERLINK("https://www.youtube.com/watch?v=Ew2z_sYABE0", "Video")</f>
        <v/>
      </c>
      <c r="B10543" t="inlineStr">
        <is>
          <t>10:44</t>
        </is>
      </c>
      <c r="C10543" t="inlineStr">
        <is>
          <t>And also sometimes inhibits, I think,
real harder conversations from happening,</t>
        </is>
      </c>
      <c r="D10543">
        <f>HYPERLINK("https://www.youtube.com/watch?v=Ew2z_sYABE0&amp;t=644s", "Go to time")</f>
        <v/>
      </c>
    </row>
    <row r="10544">
      <c r="A10544">
        <f>HYPERLINK("https://www.youtube.com/watch?v=iFTWM7HV2UI", "Video")</f>
        <v/>
      </c>
      <c r="B10544" t="inlineStr">
        <is>
          <t>7:08</t>
        </is>
      </c>
      <c r="C10544" t="inlineStr">
        <is>
          <t>So let's push that Vegas example a bit.</t>
        </is>
      </c>
      <c r="D10544">
        <f>HYPERLINK("https://www.youtube.com/watch?v=iFTWM7HV2UI&amp;t=428s", "Go to time")</f>
        <v/>
      </c>
    </row>
    <row r="10545">
      <c r="A10545">
        <f>HYPERLINK("https://www.youtube.com/watch?v=iFTWM7HV2UI", "Video")</f>
        <v/>
      </c>
      <c r="B10545" t="inlineStr">
        <is>
          <t>10:35</t>
        </is>
      </c>
      <c r="C10545" t="inlineStr">
        <is>
          <t>watching video after video
going down that rabbit hole</t>
        </is>
      </c>
      <c r="D10545">
        <f>HYPERLINK("https://www.youtube.com/watch?v=iFTWM7HV2UI&amp;t=635s", "Go to time")</f>
        <v/>
      </c>
    </row>
    <row r="10546">
      <c r="A10546">
        <f>HYPERLINK("https://www.youtube.com/watch?v=lyu7v7nWzfo", "Video")</f>
        <v/>
      </c>
      <c r="B10546" t="inlineStr">
        <is>
          <t>7:11</t>
        </is>
      </c>
      <c r="C10546" t="inlineStr">
        <is>
          <t>in a bit of a different light.</t>
        </is>
      </c>
      <c r="D10546">
        <f>HYPERLINK("https://www.youtube.com/watch?v=lyu7v7nWzfo&amp;t=431s", "Go to time")</f>
        <v/>
      </c>
    </row>
    <row r="10547">
      <c r="A10547">
        <f>HYPERLINK("https://www.youtube.com/watch?v=o4Nno6POrwE", "Video")</f>
        <v/>
      </c>
      <c r="B10547" t="inlineStr">
        <is>
          <t>13:55</t>
        </is>
      </c>
      <c r="C10547" t="inlineStr">
        <is>
          <t>to try to make the world
a little bit more just</t>
        </is>
      </c>
      <c r="D10547">
        <f>HYPERLINK("https://www.youtube.com/watch?v=o4Nno6POrwE&amp;t=835s", "Go to time")</f>
        <v/>
      </c>
    </row>
    <row r="10548">
      <c r="A10548">
        <f>HYPERLINK("https://www.youtube.com/watch?v=o4Nno6POrwE", "Video")</f>
        <v/>
      </c>
      <c r="B10548" t="inlineStr">
        <is>
          <t>13:57</t>
        </is>
      </c>
      <c r="C10548" t="inlineStr">
        <is>
          <t>and a little bit more loving.</t>
        </is>
      </c>
      <c r="D10548">
        <f>HYPERLINK("https://www.youtube.com/watch?v=o4Nno6POrwE&amp;t=837s", "Go to time")</f>
        <v/>
      </c>
    </row>
    <row r="10549">
      <c r="A10549">
        <f>HYPERLINK("https://www.youtube.com/watch?v=mnRlB3G9fDU", "Video")</f>
        <v/>
      </c>
      <c r="B10549" t="inlineStr">
        <is>
          <t>7:42</t>
        </is>
      </c>
      <c r="C10549" t="inlineStr">
        <is>
          <t>Sometimes, a bit more.</t>
        </is>
      </c>
      <c r="D10549">
        <f>HYPERLINK("https://www.youtube.com/watch?v=mnRlB3G9fDU&amp;t=462s", "Go to time")</f>
        <v/>
      </c>
    </row>
    <row r="10550">
      <c r="A10550">
        <f>HYPERLINK("https://www.youtube.com/watch?v=mnRlB3G9fDU", "Video")</f>
        <v/>
      </c>
      <c r="B10550" t="inlineStr">
        <is>
          <t>10:37</t>
        </is>
      </c>
      <c r="C10550" t="inlineStr">
        <is>
          <t>a little bit longer
to add in the technologies</t>
        </is>
      </c>
      <c r="D10550">
        <f>HYPERLINK("https://www.youtube.com/watch?v=mnRlB3G9fDU&amp;t=637s", "Go to time")</f>
        <v/>
      </c>
    </row>
    <row r="10551">
      <c r="A10551">
        <f>HYPERLINK("https://www.youtube.com/watch?v=mnRlB3G9fDU", "Video")</f>
        <v/>
      </c>
      <c r="B10551" t="inlineStr">
        <is>
          <t>11:19</t>
        </is>
      </c>
      <c r="C10551" t="inlineStr">
        <is>
          <t>So let's all share a bit of humanity</t>
        </is>
      </c>
      <c r="D10551">
        <f>HYPERLINK("https://www.youtube.com/watch?v=mnRlB3G9fDU&amp;t=679s", "Go to time")</f>
        <v/>
      </c>
    </row>
    <row r="10552">
      <c r="A10552">
        <f>HYPERLINK("https://www.youtube.com/watch?v=Un2yBgIAxYs", "Video")</f>
        <v/>
      </c>
      <c r="B10552" t="inlineStr">
        <is>
          <t>15:04</t>
        </is>
      </c>
      <c r="C10552" t="inlineStr">
        <is>
          <t>degrade wildlife habitat,</t>
        </is>
      </c>
      <c r="D10552">
        <f>HYPERLINK("https://www.youtube.com/watch?v=Un2yBgIAxYs&amp;t=904s", "Go to time")</f>
        <v/>
      </c>
    </row>
    <row r="10553">
      <c r="A10553">
        <f>HYPERLINK("https://www.youtube.com/watch?v=hPgY45xsGsU", "Video")</f>
        <v/>
      </c>
      <c r="B10553" t="inlineStr">
        <is>
          <t>3:16</t>
        </is>
      </c>
      <c r="C10553" t="inlineStr">
        <is>
          <t>a little bit better with some loose some</t>
        </is>
      </c>
      <c r="D10553">
        <f>HYPERLINK("https://www.youtube.com/watch?v=hPgY45xsGsU&amp;t=196s", "Go to time")</f>
        <v/>
      </c>
    </row>
    <row r="10554">
      <c r="A10554">
        <f>HYPERLINK("https://www.youtube.com/watch?v=x92AnU6MUr0", "Video")</f>
        <v/>
      </c>
      <c r="B10554" t="inlineStr">
        <is>
          <t>4:29</t>
        </is>
      </c>
      <c r="C10554" t="inlineStr">
        <is>
          <t>So maybe to save you a little
bit of anxiety,</t>
        </is>
      </c>
      <c r="D10554">
        <f>HYPERLINK("https://www.youtube.com/watch?v=x92AnU6MUr0&amp;t=269s", "Go to time")</f>
        <v/>
      </c>
    </row>
    <row r="10555">
      <c r="A10555">
        <f>HYPERLINK("https://www.youtube.com/watch?v=x92AnU6MUr0", "Video")</f>
        <v/>
      </c>
      <c r="B10555" t="inlineStr">
        <is>
          <t>5:36</t>
        </is>
      </c>
      <c r="C10555" t="inlineStr">
        <is>
          <t>they tend to move a little bit
more quickly than those around them.</t>
        </is>
      </c>
      <c r="D10555">
        <f>HYPERLINK("https://www.youtube.com/watch?v=x92AnU6MUr0&amp;t=336s", "Go to time")</f>
        <v/>
      </c>
    </row>
    <row r="10556">
      <c r="A10556">
        <f>HYPERLINK("https://www.youtube.com/watch?v=x92AnU6MUr0", "Video")</f>
        <v/>
      </c>
      <c r="B10556" t="inlineStr">
        <is>
          <t>10:54</t>
        </is>
      </c>
      <c r="C10556" t="inlineStr">
        <is>
          <t>To stack that dishwasher
with a little bit more joy.</t>
        </is>
      </c>
      <c r="D10556">
        <f>HYPERLINK("https://www.youtube.com/watch?v=x92AnU6MUr0&amp;t=654s", "Go to time")</f>
        <v/>
      </c>
    </row>
    <row r="10557">
      <c r="A10557">
        <f>HYPERLINK("https://www.youtube.com/watch?v=M6aq2SH-xVo", "Video")</f>
        <v/>
      </c>
      <c r="B10557" t="inlineStr">
        <is>
          <t>1:01</t>
        </is>
      </c>
      <c r="C10557" t="inlineStr">
        <is>
          <t>which, I have to say, happened
a little bit too long for my liking --</t>
        </is>
      </c>
      <c r="D10557">
        <f>HYPERLINK("https://www.youtube.com/watch?v=M6aq2SH-xVo&amp;t=61s", "Go to time")</f>
        <v/>
      </c>
    </row>
    <row r="10558">
      <c r="A10558">
        <f>HYPERLINK("https://www.youtube.com/watch?v=M6aq2SH-xVo", "Video")</f>
        <v/>
      </c>
      <c r="B10558" t="inlineStr">
        <is>
          <t>6:34</t>
        </is>
      </c>
      <c r="C10558" t="inlineStr">
        <is>
          <t>a bit like the NHS in the UK.</t>
        </is>
      </c>
      <c r="D10558">
        <f>HYPERLINK("https://www.youtube.com/watch?v=M6aq2SH-xVo&amp;t=394s", "Go to time")</f>
        <v/>
      </c>
    </row>
    <row r="10559">
      <c r="A10559">
        <f>HYPERLINK("https://www.youtube.com/watch?v=M6aq2SH-xVo", "Video")</f>
        <v/>
      </c>
      <c r="B10559" t="inlineStr">
        <is>
          <t>17:53</t>
        </is>
      </c>
      <c r="C10559" t="inlineStr">
        <is>
          <t>and they had six -- they included food,
which is pretty ambitious.</t>
        </is>
      </c>
      <c r="D10559">
        <f>HYPERLINK("https://www.youtube.com/watch?v=M6aq2SH-xVo&amp;t=1073s", "Go to time")</f>
        <v/>
      </c>
    </row>
    <row r="10560">
      <c r="A10560">
        <f>HYPERLINK("https://www.youtube.com/watch?v=kvdHqS3ryw0", "Video")</f>
        <v/>
      </c>
      <c r="B10560" t="inlineStr">
        <is>
          <t>1:34</t>
        </is>
      </c>
      <c r="C10560" t="inlineStr">
        <is>
          <t>Now, Davidson is a little-bitty town,</t>
        </is>
      </c>
      <c r="D10560">
        <f>HYPERLINK("https://www.youtube.com/watch?v=kvdHqS3ryw0&amp;t=94s", "Go to time")</f>
        <v/>
      </c>
    </row>
    <row r="10561">
      <c r="A10561">
        <f>HYPERLINK("https://www.youtube.com/watch?v=kvdHqS3ryw0", "Video")</f>
        <v/>
      </c>
      <c r="B10561" t="inlineStr">
        <is>
          <t>4:27</t>
        </is>
      </c>
      <c r="C10561" t="inlineStr">
        <is>
          <t>which makes me a little bit of a unicorn.</t>
        </is>
      </c>
      <c r="D10561">
        <f>HYPERLINK("https://www.youtube.com/watch?v=kvdHqS3ryw0&amp;t=267s", "Go to time")</f>
        <v/>
      </c>
    </row>
    <row r="10562">
      <c r="A10562">
        <f>HYPERLINK("https://www.youtube.com/watch?v=kvdHqS3ryw0", "Video")</f>
        <v/>
      </c>
      <c r="B10562" t="inlineStr">
        <is>
          <t>6:52</t>
        </is>
      </c>
      <c r="C10562" t="inlineStr">
        <is>
          <t>a little bit like hearing
a smoke alarm going off</t>
        </is>
      </c>
      <c r="D10562">
        <f>HYPERLINK("https://www.youtube.com/watch?v=kvdHqS3ryw0&amp;t=412s", "Go to time")</f>
        <v/>
      </c>
    </row>
    <row r="10563">
      <c r="A10563">
        <f>HYPERLINK("https://www.youtube.com/watch?v=kvdHqS3ryw0", "Video")</f>
        <v/>
      </c>
      <c r="B10563" t="inlineStr">
        <is>
          <t>8:18</t>
        </is>
      </c>
      <c r="C10563" t="inlineStr">
        <is>
          <t>if they looked a little bit like
the people that work for you?</t>
        </is>
      </c>
      <c r="D10563">
        <f>HYPERLINK("https://www.youtube.com/watch?v=kvdHqS3ryw0&amp;t=498s", "Go to time")</f>
        <v/>
      </c>
    </row>
    <row r="10564">
      <c r="A10564">
        <f>HYPERLINK("https://www.youtube.com/watch?v=uA70ZGCC1f4", "Video")</f>
        <v/>
      </c>
      <c r="B10564" t="inlineStr">
        <is>
          <t>5:05</t>
        </is>
      </c>
      <c r="C10564" t="inlineStr">
        <is>
          <t>transforming it bit by bit.</t>
        </is>
      </c>
      <c r="D10564">
        <f>HYPERLINK("https://www.youtube.com/watch?v=uA70ZGCC1f4&amp;t=305s", "Go to time")</f>
        <v/>
      </c>
    </row>
    <row r="10565">
      <c r="A10565">
        <f>HYPERLINK("https://www.youtube.com/watch?v=TZOoT8AbkNE", "Video")</f>
        <v/>
      </c>
      <c r="B10565" t="inlineStr">
        <is>
          <t>1:26</t>
        </is>
      </c>
      <c r="C10565" t="inlineStr">
        <is>
          <t>It's a bit of a headfuck.</t>
        </is>
      </c>
      <c r="D10565">
        <f>HYPERLINK("https://www.youtube.com/watch?v=TZOoT8AbkNE&amp;t=86s", "Go to time")</f>
        <v/>
      </c>
    </row>
    <row r="10566">
      <c r="A10566">
        <f>HYPERLINK("https://www.youtube.com/watch?v=21hgbMa_sVc", "Video")</f>
        <v/>
      </c>
      <c r="B10566" t="inlineStr">
        <is>
          <t>10:19</t>
        </is>
      </c>
      <c r="C10566" t="inlineStr">
        <is>
          <t>I know these driven, ambitious young men</t>
        </is>
      </c>
      <c r="D10566">
        <f>HYPERLINK("https://www.youtube.com/watch?v=21hgbMa_sVc&amp;t=619s", "Go to time")</f>
        <v/>
      </c>
    </row>
    <row r="10567">
      <c r="A10567">
        <f>HYPERLINK("https://www.youtube.com/watch?v=PlytMrKfOFA", "Video")</f>
        <v/>
      </c>
      <c r="B10567" t="inlineStr">
        <is>
          <t>4:15</t>
        </is>
      </c>
      <c r="C10567" t="inlineStr">
        <is>
          <t>And my field's a bit unusual,</t>
        </is>
      </c>
      <c r="D10567">
        <f>HYPERLINK("https://www.youtube.com/watch?v=PlytMrKfOFA&amp;t=255s", "Go to time")</f>
        <v/>
      </c>
    </row>
    <row r="10568">
      <c r="A10568">
        <f>HYPERLINK("https://www.youtube.com/watch?v=6TyIY6u31gk", "Video")</f>
        <v/>
      </c>
      <c r="B10568" t="inlineStr">
        <is>
          <t>3:02</t>
        </is>
      </c>
      <c r="C10568" t="inlineStr">
        <is>
          <t>So it would sound a little bit like ...</t>
        </is>
      </c>
      <c r="D10568">
        <f>HYPERLINK("https://www.youtube.com/watch?v=6TyIY6u31gk&amp;t=182s", "Go to time")</f>
        <v/>
      </c>
    </row>
    <row r="10569">
      <c r="A10569">
        <f>HYPERLINK("https://www.youtube.com/watch?v=iu9u5yzUlb0", "Video")</f>
        <v/>
      </c>
      <c r="B10569" t="inlineStr">
        <is>
          <t>0:34</t>
        </is>
      </c>
      <c r="C10569" t="inlineStr">
        <is>
          <t>This charming habit developed
when I was in college,</t>
        </is>
      </c>
      <c r="D10569">
        <f>HYPERLINK("https://www.youtube.com/watch?v=iu9u5yzUlb0&amp;t=34s", "Go to time")</f>
        <v/>
      </c>
    </row>
    <row r="10570">
      <c r="A10570">
        <f>HYPERLINK("https://www.youtube.com/watch?v=iu9u5yzUlb0", "Video")</f>
        <v/>
      </c>
      <c r="B10570" t="inlineStr">
        <is>
          <t>1:10</t>
        </is>
      </c>
      <c r="C10570" t="inlineStr">
        <is>
          <t>and breaking this habit is hard.</t>
        </is>
      </c>
      <c r="D10570">
        <f>HYPERLINK("https://www.youtube.com/watch?v=iu9u5yzUlb0&amp;t=70s", "Go to time")</f>
        <v/>
      </c>
    </row>
    <row r="10571">
      <c r="A10571">
        <f>HYPERLINK("https://www.youtube.com/watch?v=iu9u5yzUlb0", "Video")</f>
        <v/>
      </c>
      <c r="B10571" t="inlineStr">
        <is>
          <t>1:26</t>
        </is>
      </c>
      <c r="C10571" t="inlineStr">
        <is>
          <t>and establish habits
better suited for the future.</t>
        </is>
      </c>
      <c r="D10571">
        <f>HYPERLINK("https://www.youtube.com/watch?v=iu9u5yzUlb0&amp;t=86s", "Go to time")</f>
        <v/>
      </c>
    </row>
    <row r="10572">
      <c r="A10572">
        <f>HYPERLINK("https://www.youtube.com/watch?v=iu9u5yzUlb0", "Video")</f>
        <v/>
      </c>
      <c r="B10572" t="inlineStr">
        <is>
          <t>1:51</t>
        </is>
      </c>
      <c r="C10572" t="inlineStr">
        <is>
          <t>outdated leadership habits
are forming right before our eyes</t>
        </is>
      </c>
      <c r="D10572">
        <f>HYPERLINK("https://www.youtube.com/watch?v=iu9u5yzUlb0&amp;t=111s", "Go to time")</f>
        <v/>
      </c>
    </row>
    <row r="10573">
      <c r="A10573">
        <f>HYPERLINK("https://www.youtube.com/watch?v=iu9u5yzUlb0", "Video")</f>
        <v/>
      </c>
      <c r="B10573" t="inlineStr">
        <is>
          <t>3:15</t>
        </is>
      </c>
      <c r="C10573" t="inlineStr">
        <is>
          <t>Those deeply ingrained habits</t>
        </is>
      </c>
      <c r="D10573">
        <f>HYPERLINK("https://www.youtube.com/watch?v=iu9u5yzUlb0&amp;t=195s", "Go to time")</f>
        <v/>
      </c>
    </row>
    <row r="10574">
      <c r="A10574">
        <f>HYPERLINK("https://www.youtube.com/watch?v=iu9u5yzUlb0", "Video")</f>
        <v/>
      </c>
      <c r="B10574" t="inlineStr">
        <is>
          <t>3:39</t>
        </is>
      </c>
      <c r="C10574" t="inlineStr">
        <is>
          <t>because her habits are rubbing off on him.</t>
        </is>
      </c>
      <c r="D10574">
        <f>HYPERLINK("https://www.youtube.com/watch?v=iu9u5yzUlb0&amp;t=219s", "Go to time")</f>
        <v/>
      </c>
    </row>
    <row r="10575">
      <c r="A10575">
        <f>HYPERLINK("https://www.youtube.com/watch?v=iu9u5yzUlb0", "Video")</f>
        <v/>
      </c>
      <c r="B10575" t="inlineStr">
        <is>
          <t>8:52</t>
        </is>
      </c>
      <c r="C10575" t="inlineStr">
        <is>
          <t>she needs to accept that with a little bit
of room to try his hand at leading,</t>
        </is>
      </c>
      <c r="D10575">
        <f>HYPERLINK("https://www.youtube.com/watch?v=iu9u5yzUlb0&amp;t=532s", "Go to time")</f>
        <v/>
      </c>
    </row>
    <row r="10576">
      <c r="A10576">
        <f>HYPERLINK("https://www.youtube.com/watch?v=iu9u5yzUlb0", "Video")</f>
        <v/>
      </c>
      <c r="B10576" t="inlineStr">
        <is>
          <t>11:07</t>
        </is>
      </c>
      <c r="C10576" t="inlineStr">
        <is>
          <t>in which he said, "The chains
of habit are too light to be felt</t>
        </is>
      </c>
      <c r="D10576">
        <f>HYPERLINK("https://www.youtube.com/watch?v=iu9u5yzUlb0&amp;t=667s", "Go to time")</f>
        <v/>
      </c>
    </row>
    <row r="10577">
      <c r="A10577">
        <f>HYPERLINK("https://www.youtube.com/watch?v=iu9u5yzUlb0", "Video")</f>
        <v/>
      </c>
      <c r="B10577" t="inlineStr">
        <is>
          <t>11:27</t>
        </is>
      </c>
      <c r="C10577" t="inlineStr">
        <is>
          <t>and not too far gone down a path
of bad habits we totally saw coming?</t>
        </is>
      </c>
      <c r="D10577">
        <f>HYPERLINK("https://www.youtube.com/watch?v=iu9u5yzUlb0&amp;t=687s", "Go to time")</f>
        <v/>
      </c>
    </row>
    <row r="10578">
      <c r="A10578">
        <f>HYPERLINK("https://www.youtube.com/watch?v=iu9u5yzUlb0", "Video")</f>
        <v/>
      </c>
      <c r="B10578" t="inlineStr">
        <is>
          <t>11:37</t>
        </is>
      </c>
      <c r="C10578" t="inlineStr">
        <is>
          <t>It would have been so much easier
to nip that habit in the bud</t>
        </is>
      </c>
      <c r="D10578">
        <f>HYPERLINK("https://www.youtube.com/watch?v=iu9u5yzUlb0&amp;t=697s", "Go to time")</f>
        <v/>
      </c>
    </row>
    <row r="10579">
      <c r="A10579">
        <f>HYPERLINK("https://www.youtube.com/watch?v=aQsOmGflf1o", "Video")</f>
        <v/>
      </c>
      <c r="B10579" t="inlineStr">
        <is>
          <t>0:15</t>
        </is>
      </c>
      <c r="C10579" t="inlineStr">
        <is>
          <t>and once in a while,
this habit plays tricks on me.</t>
        </is>
      </c>
      <c r="D10579">
        <f>HYPERLINK("https://www.youtube.com/watch?v=aQsOmGflf1o&amp;t=15s", "Go to time")</f>
        <v/>
      </c>
    </row>
    <row r="10580">
      <c r="A10580">
        <f>HYPERLINK("https://www.youtube.com/watch?v=_KpRZNOSwBg", "Video")</f>
        <v/>
      </c>
      <c r="B10580" t="inlineStr">
        <is>
          <t>6:49</t>
        </is>
      </c>
      <c r="C10580" t="inlineStr">
        <is>
          <t>So after she passed away, I spent
some time being angry, bitter, resentful,</t>
        </is>
      </c>
      <c r="D10580">
        <f>HYPERLINK("https://www.youtube.com/watch?v=_KpRZNOSwBg&amp;t=409s", "Go to time")</f>
        <v/>
      </c>
    </row>
    <row r="10581">
      <c r="A10581">
        <f>HYPERLINK("https://www.youtube.com/watch?v=_mq-HqRnngc", "Video")</f>
        <v/>
      </c>
      <c r="B10581" t="inlineStr">
        <is>
          <t>5:26</t>
        </is>
      </c>
      <c r="C10581" t="inlineStr">
        <is>
          <t>the rules prohibit them completely.</t>
        </is>
      </c>
      <c r="D10581">
        <f>HYPERLINK("https://www.youtube.com/watch?v=_mq-HqRnngc&amp;t=326s", "Go to time")</f>
        <v/>
      </c>
    </row>
    <row r="10582">
      <c r="A10582">
        <f>HYPERLINK("https://www.youtube.com/watch?v=_mq-HqRnngc", "Video")</f>
        <v/>
      </c>
      <c r="B10582" t="inlineStr">
        <is>
          <t>7:50</t>
        </is>
      </c>
      <c r="C10582" t="inlineStr">
        <is>
          <t>but a little bit odd.</t>
        </is>
      </c>
      <c r="D10582">
        <f>HYPERLINK("https://www.youtube.com/watch?v=_mq-HqRnngc&amp;t=470s", "Go to time")</f>
        <v/>
      </c>
    </row>
    <row r="10583">
      <c r="A10583">
        <f>HYPERLINK("https://www.youtube.com/watch?v=AA4N5ZFefqs", "Video")</f>
        <v/>
      </c>
      <c r="B10583" t="inlineStr">
        <is>
          <t>9:57</t>
        </is>
      </c>
      <c r="C10583" t="inlineStr">
        <is>
          <t>"I just want to play my guitar
a little bit better every day."</t>
        </is>
      </c>
      <c r="D10583">
        <f>HYPERLINK("https://www.youtube.com/watch?v=AA4N5ZFefqs&amp;t=597s", "Go to time")</f>
        <v/>
      </c>
    </row>
    <row r="10584">
      <c r="A10584">
        <f>HYPERLINK("https://www.youtube.com/watch?v=SK3z5H_Rfr0", "Video")</f>
        <v/>
      </c>
      <c r="B10584" t="inlineStr">
        <is>
          <t>0:23</t>
        </is>
      </c>
      <c r="C10584" t="inlineStr">
        <is>
          <t>Farming is the greatest cause
of habitat destruction,</t>
        </is>
      </c>
      <c r="D10584">
        <f>HYPERLINK("https://www.youtube.com/watch?v=SK3z5H_Rfr0&amp;t=23s", "Go to time")</f>
        <v/>
      </c>
    </row>
    <row r="10585">
      <c r="A10585">
        <f>HYPERLINK("https://www.youtube.com/watch?v=SK3z5H_Rfr0", "Video")</f>
        <v/>
      </c>
      <c r="B10585" t="inlineStr">
        <is>
          <t>4:32</t>
        </is>
      </c>
      <c r="C10585" t="inlineStr">
        <is>
          <t>It's beginning to look a bit
like the global financial system</t>
        </is>
      </c>
      <c r="D10585">
        <f>HYPERLINK("https://www.youtube.com/watch?v=SK3z5H_Rfr0&amp;t=272s", "Go to time")</f>
        <v/>
      </c>
    </row>
    <row r="10586">
      <c r="A10586">
        <f>HYPERLINK("https://www.youtube.com/watch?v=PX61e3sAj5k", "Video")</f>
        <v/>
      </c>
      <c r="B10586" t="inlineStr">
        <is>
          <t>4:38</t>
        </is>
      </c>
      <c r="C10586" t="inlineStr">
        <is>
          <t>I have to tell you,
I was a little bit hurt.</t>
        </is>
      </c>
      <c r="D10586">
        <f>HYPERLINK("https://www.youtube.com/watch?v=PX61e3sAj5k&amp;t=278s", "Go to time")</f>
        <v/>
      </c>
    </row>
    <row r="10587">
      <c r="A10587">
        <f>HYPERLINK("https://www.youtube.com/watch?v=m9jnEfTscYI", "Video")</f>
        <v/>
      </c>
      <c r="B10587" t="inlineStr">
        <is>
          <t>6:14</t>
        </is>
      </c>
      <c r="C10587" t="inlineStr">
        <is>
          <t>but the hardships he's faced
have given Alex a superhuman ambition.</t>
        </is>
      </c>
      <c r="D10587">
        <f>HYPERLINK("https://www.youtube.com/watch?v=m9jnEfTscYI&amp;t=374s", "Go to time")</f>
        <v/>
      </c>
    </row>
    <row r="10588">
      <c r="A10588">
        <f>HYPERLINK("https://www.youtube.com/watch?v=01qATwnoD_E", "Video")</f>
        <v/>
      </c>
      <c r="B10588" t="inlineStr">
        <is>
          <t>1:26</t>
        </is>
      </c>
      <c r="C10588" t="inlineStr">
        <is>
          <t>same time maybe a little bit earlier</t>
        </is>
      </c>
      <c r="D10588">
        <f>HYPERLINK("https://www.youtube.com/watch?v=01qATwnoD_E&amp;t=86s", "Go to time")</f>
        <v/>
      </c>
    </row>
    <row r="10589">
      <c r="A10589">
        <f>HYPERLINK("https://www.youtube.com/watch?v=01qATwnoD_E", "Video")</f>
        <v/>
      </c>
      <c r="B10589" t="inlineStr">
        <is>
          <t>3:44</t>
        </is>
      </c>
      <c r="C10589" t="inlineStr">
        <is>
          <t>talk to me a little bit about sort of</t>
        </is>
      </c>
      <c r="D10589">
        <f>HYPERLINK("https://www.youtube.com/watch?v=01qATwnoD_E&amp;t=224s", "Go to time")</f>
        <v/>
      </c>
    </row>
    <row r="10590">
      <c r="A10590">
        <f>HYPERLINK("https://www.youtube.com/watch?v=01qATwnoD_E", "Video")</f>
        <v/>
      </c>
      <c r="B10590" t="inlineStr">
        <is>
          <t>3:51</t>
        </is>
      </c>
      <c r="C10590" t="inlineStr">
        <is>
          <t>sort of the dial a little bit where sort</t>
        </is>
      </c>
      <c r="D10590">
        <f>HYPERLINK("https://www.youtube.com/watch?v=01qATwnoD_E&amp;t=231s", "Go to time")</f>
        <v/>
      </c>
    </row>
    <row r="10591">
      <c r="A10591">
        <f>HYPERLINK("https://www.youtube.com/watch?v=01qATwnoD_E", "Video")</f>
        <v/>
      </c>
      <c r="B10591" t="inlineStr">
        <is>
          <t>14:38</t>
        </is>
      </c>
      <c r="C10591" t="inlineStr">
        <is>
          <t>quite a bit how how do you make that</t>
        </is>
      </c>
      <c r="D10591">
        <f>HYPERLINK("https://www.youtube.com/watch?v=01qATwnoD_E&amp;t=878s", "Go to time")</f>
        <v/>
      </c>
    </row>
    <row r="10592">
      <c r="A10592">
        <f>HYPERLINK("https://www.youtube.com/watch?v=01qATwnoD_E", "Video")</f>
        <v/>
      </c>
      <c r="B10592" t="inlineStr">
        <is>
          <t>20:38</t>
        </is>
      </c>
      <c r="C10592" t="inlineStr">
        <is>
          <t>maybe even even is causing a little bit</t>
        </is>
      </c>
      <c r="D10592">
        <f>HYPERLINK("https://www.youtube.com/watch?v=01qATwnoD_E&amp;t=1238s", "Go to time")</f>
        <v/>
      </c>
    </row>
    <row r="10593">
      <c r="A10593">
        <f>HYPERLINK("https://www.youtube.com/watch?v=01qATwnoD_E", "Video")</f>
        <v/>
      </c>
      <c r="B10593" t="inlineStr">
        <is>
          <t>23:07</t>
        </is>
      </c>
      <c r="C10593" t="inlineStr">
        <is>
          <t>little bit of time left so let's take it</t>
        </is>
      </c>
      <c r="D10593">
        <f>HYPERLINK("https://www.youtube.com/watch?v=01qATwnoD_E&amp;t=1387s", "Go to time")</f>
        <v/>
      </c>
    </row>
    <row r="10594">
      <c r="A10594">
        <f>HYPERLINK("https://www.youtube.com/watch?v=_7J1JVCxWJM", "Video")</f>
        <v/>
      </c>
      <c r="B10594" t="inlineStr">
        <is>
          <t>2:14</t>
        </is>
      </c>
      <c r="C10594" t="inlineStr">
        <is>
          <t>fast food is no longer something
associated with a quick bite on the go.</t>
        </is>
      </c>
      <c r="D10594">
        <f>HYPERLINK("https://www.youtube.com/watch?v=_7J1JVCxWJM&amp;t=134s", "Go to time")</f>
        <v/>
      </c>
    </row>
    <row r="10595">
      <c r="A10595">
        <f>HYPERLINK("https://www.youtube.com/watch?v=_7J1JVCxWJM", "Video")</f>
        <v/>
      </c>
      <c r="B10595" t="inlineStr">
        <is>
          <t>2:36</t>
        </is>
      </c>
      <c r="C10595" t="inlineStr">
        <is>
          <t>Maybe link the app to a debit card</t>
        </is>
      </c>
      <c r="D10595">
        <f>HYPERLINK("https://www.youtube.com/watch?v=_7J1JVCxWJM&amp;t=156s", "Go to time")</f>
        <v/>
      </c>
    </row>
    <row r="10596">
      <c r="A10596">
        <f>HYPERLINK("https://www.youtube.com/watch?v=3DdSiJB8Bo0", "Video")</f>
        <v/>
      </c>
      <c r="B10596" t="inlineStr">
        <is>
          <t>3:46</t>
        </is>
      </c>
      <c r="C10596" t="inlineStr">
        <is>
          <t>This came to me as a bit of a surprise.</t>
        </is>
      </c>
      <c r="D10596">
        <f>HYPERLINK("https://www.youtube.com/watch?v=3DdSiJB8Bo0&amp;t=226s", "Go to time")</f>
        <v/>
      </c>
    </row>
    <row r="10597">
      <c r="A10597">
        <f>HYPERLINK("https://www.youtube.com/watch?v=8jkFNm8lKOs", "Video")</f>
        <v/>
      </c>
      <c r="B10597" t="inlineStr">
        <is>
          <t>1:49</t>
        </is>
      </c>
      <c r="C10597" t="inlineStr">
        <is>
          <t>It's a bit like those of you
that are nurses</t>
        </is>
      </c>
      <c r="D10597">
        <f>HYPERLINK("https://www.youtube.com/watch?v=8jkFNm8lKOs&amp;t=109s", "Go to time")</f>
        <v/>
      </c>
    </row>
    <row r="10598">
      <c r="A10598">
        <f>HYPERLINK("https://www.youtube.com/watch?v=8jkFNm8lKOs", "Video")</f>
        <v/>
      </c>
      <c r="B10598" t="inlineStr">
        <is>
          <t>3:40</t>
        </is>
      </c>
      <c r="C10598" t="inlineStr">
        <is>
          <t>I often act as a bit of a translator
between cats and their caregivers.</t>
        </is>
      </c>
      <c r="D10598">
        <f>HYPERLINK("https://www.youtube.com/watch?v=8jkFNm8lKOs&amp;t=220s", "Go to time")</f>
        <v/>
      </c>
    </row>
    <row r="10599">
      <c r="A10599">
        <f>HYPERLINK("https://www.youtube.com/watch?v=8jkFNm8lKOs", "Video")</f>
        <v/>
      </c>
      <c r="B10599" t="inlineStr">
        <is>
          <t>4:32</t>
        </is>
      </c>
      <c r="C10599" t="inlineStr">
        <is>
          <t>Some cats prefer a game of rabbit,</t>
        </is>
      </c>
      <c r="D10599">
        <f>HYPERLINK("https://www.youtube.com/watch?v=8jkFNm8lKOs&amp;t=272s", "Go to time")</f>
        <v/>
      </c>
    </row>
    <row r="10600">
      <c r="A10600">
        <f>HYPERLINK("https://www.youtube.com/watch?v=8jkFNm8lKOs", "Video")</f>
        <v/>
      </c>
      <c r="B10600" t="inlineStr">
        <is>
          <t>4:36</t>
        </is>
      </c>
      <c r="C10600" t="inlineStr">
        <is>
          <t>a bit like this cat.</t>
        </is>
      </c>
      <c r="D10600">
        <f>HYPERLINK("https://www.youtube.com/watch?v=8jkFNm8lKOs&amp;t=276s", "Go to time")</f>
        <v/>
      </c>
    </row>
    <row r="10601">
      <c r="A10601">
        <f>HYPERLINK("https://www.youtube.com/watch?v=8jkFNm8lKOs", "Video")</f>
        <v/>
      </c>
      <c r="B10601" t="inlineStr">
        <is>
          <t>5:53</t>
        </is>
      </c>
      <c r="C10601" t="inlineStr">
        <is>
          <t>the laser pens can be a bit of a problem,</t>
        </is>
      </c>
      <c r="D10601">
        <f>HYPERLINK("https://www.youtube.com/watch?v=8jkFNm8lKOs&amp;t=353s", "Go to time")</f>
        <v/>
      </c>
    </row>
    <row r="10602">
      <c r="A10602">
        <f>HYPERLINK("https://www.youtube.com/watch?v=8jkFNm8lKOs", "Video")</f>
        <v/>
      </c>
      <c r="B10602" t="inlineStr">
        <is>
          <t>8:54</t>
        </is>
      </c>
      <c r="C10602" t="inlineStr">
        <is>
          <t>you can cover the biscuits
with a bit of paper.</t>
        </is>
      </c>
      <c r="D10602">
        <f>HYPERLINK("https://www.youtube.com/watch?v=8jkFNm8lKOs&amp;t=534s", "Go to time")</f>
        <v/>
      </c>
    </row>
    <row r="10603">
      <c r="A10603">
        <f>HYPERLINK("https://www.youtube.com/watch?v=nAHvKC_k5VE", "Video")</f>
        <v/>
      </c>
      <c r="B10603" t="inlineStr">
        <is>
          <t>11:15</t>
        </is>
      </c>
      <c r="C10603" t="inlineStr">
        <is>
          <t>to inhabit this shared space,</t>
        </is>
      </c>
      <c r="D10603">
        <f>HYPERLINK("https://www.youtube.com/watch?v=nAHvKC_k5VE&amp;t=675s", "Go to time")</f>
        <v/>
      </c>
    </row>
    <row r="10604">
      <c r="A10604">
        <f>HYPERLINK("https://www.youtube.com/watch?v=96HHmILhyrE", "Video")</f>
        <v/>
      </c>
      <c r="B10604" t="inlineStr">
        <is>
          <t>1:36</t>
        </is>
      </c>
      <c r="C10604" t="inlineStr">
        <is>
          <t>so they could put
a little bit of light underwater</t>
        </is>
      </c>
      <c r="D10604">
        <f>HYPERLINK("https://www.youtube.com/watch?v=96HHmILhyrE&amp;t=96s", "Go to time")</f>
        <v/>
      </c>
    </row>
    <row r="10605">
      <c r="A10605">
        <f>HYPERLINK("https://www.youtube.com/watch?v=96HHmILhyrE", "Video")</f>
        <v/>
      </c>
      <c r="B10605" t="inlineStr">
        <is>
          <t>4:04</t>
        </is>
      </c>
      <c r="C10605" t="inlineStr">
        <is>
          <t>We're making an exhibit
for the Museum of Natural History,</t>
        </is>
      </c>
      <c r="D10605">
        <f>HYPERLINK("https://www.youtube.com/watch?v=96HHmILhyrE&amp;t=244s", "Go to time")</f>
        <v/>
      </c>
    </row>
    <row r="10606">
      <c r="A10606">
        <f>HYPERLINK("https://www.youtube.com/watch?v=96HHmILhyrE", "Video")</f>
        <v/>
      </c>
      <c r="B10606" t="inlineStr">
        <is>
          <t>5:11</t>
        </is>
      </c>
      <c r="C10606" t="inlineStr">
        <is>
          <t>And it's a bit like "E.T. phone home."</t>
        </is>
      </c>
      <c r="D10606">
        <f>HYPERLINK("https://www.youtube.com/watch?v=96HHmILhyrE&amp;t=311s", "Go to time")</f>
        <v/>
      </c>
    </row>
    <row r="10607">
      <c r="A10607">
        <f>HYPERLINK("https://www.youtube.com/watch?v=BcgDvEdGEXg", "Video")</f>
        <v/>
      </c>
      <c r="B10607" t="inlineStr">
        <is>
          <t>10:23</t>
        </is>
      </c>
      <c r="C10607" t="inlineStr">
        <is>
          <t>JD: Just to back up a bit,</t>
        </is>
      </c>
      <c r="D10607">
        <f>HYPERLINK("https://www.youtube.com/watch?v=BcgDvEdGEXg&amp;t=623s", "Go to time")</f>
        <v/>
      </c>
    </row>
    <row r="10608">
      <c r="A10608">
        <f>HYPERLINK("https://www.youtube.com/watch?v=tSciinXdGhI", "Video")</f>
        <v/>
      </c>
      <c r="B10608" t="inlineStr">
        <is>
          <t>0:20</t>
        </is>
      </c>
      <c r="C10608" t="inlineStr">
        <is>
          <t>Holding chopsticks
is a little bit like holding a pencil,</t>
        </is>
      </c>
      <c r="D10608">
        <f>HYPERLINK("https://www.youtube.com/watch?v=tSciinXdGhI&amp;t=20s", "Go to time")</f>
        <v/>
      </c>
    </row>
    <row r="10609">
      <c r="A10609">
        <f>HYPERLINK("https://www.youtube.com/watch?v=tSciinXdGhI", "Video")</f>
        <v/>
      </c>
      <c r="B10609" t="inlineStr">
        <is>
          <t>0:34</t>
        </is>
      </c>
      <c r="C10609" t="inlineStr">
        <is>
          <t>Chopsticks are really well designed
for eating small bits of food.</t>
        </is>
      </c>
      <c r="D10609">
        <f>HYPERLINK("https://www.youtube.com/watch?v=tSciinXdGhI&amp;t=34s", "Go to time")</f>
        <v/>
      </c>
    </row>
    <row r="10610">
      <c r="A10610">
        <f>HYPERLINK("https://www.youtube.com/watch?v=VLDwh4ivNf4", "Video")</f>
        <v/>
      </c>
      <c r="B10610" t="inlineStr">
        <is>
          <t>2:23</t>
        </is>
      </c>
      <c r="C10610" t="inlineStr">
        <is>
          <t>known as "habituation,"</t>
        </is>
      </c>
      <c r="D10610">
        <f>HYPERLINK("https://www.youtube.com/watch?v=VLDwh4ivNf4&amp;t=143s", "Go to time")</f>
        <v/>
      </c>
    </row>
    <row r="10611">
      <c r="A10611">
        <f>HYPERLINK("https://www.youtube.com/watch?v=VLDwh4ivNf4", "Video")</f>
        <v/>
      </c>
      <c r="B10611" t="inlineStr">
        <is>
          <t>2:29</t>
        </is>
      </c>
      <c r="C10611" t="inlineStr">
        <is>
          <t>Habituation explains how our brains
adapt to some behaviors,</t>
        </is>
      </c>
      <c r="D10611">
        <f>HYPERLINK("https://www.youtube.com/watch?v=VLDwh4ivNf4&amp;t=149s", "Go to time")</f>
        <v/>
      </c>
    </row>
    <row r="10612">
      <c r="A10612">
        <f>HYPERLINK("https://www.youtube.com/watch?v=VLDwh4ivNf4", "Video")</f>
        <v/>
      </c>
      <c r="B10612" t="inlineStr">
        <is>
          <t>2:46</t>
        </is>
      </c>
      <c r="C10612" t="inlineStr">
        <is>
          <t>So I predicted that
habituation to risk-taking</t>
        </is>
      </c>
      <c r="D10612">
        <f>HYPERLINK("https://www.youtube.com/watch?v=VLDwh4ivNf4&amp;t=166s", "Go to time")</f>
        <v/>
      </c>
    </row>
    <row r="10613">
      <c r="A10613">
        <f>HYPERLINK("https://www.youtube.com/watch?v=VLDwh4ivNf4", "Video")</f>
        <v/>
      </c>
      <c r="B10613" t="inlineStr">
        <is>
          <t>6:22</t>
        </is>
      </c>
      <c r="C10613" t="inlineStr">
        <is>
          <t>This meant that I had measured
the process of habituation</t>
        </is>
      </c>
      <c r="D10613">
        <f>HYPERLINK("https://www.youtube.com/watch?v=VLDwh4ivNf4&amp;t=382s", "Go to time")</f>
        <v/>
      </c>
    </row>
    <row r="10614">
      <c r="A10614">
        <f>HYPERLINK("https://www.youtube.com/watch?v=VLDwh4ivNf4", "Video")</f>
        <v/>
      </c>
      <c r="B10614" t="inlineStr">
        <is>
          <t>6:41</t>
        </is>
      </c>
      <c r="C10614" t="inlineStr">
        <is>
          <t>And the results showed
that habituation to risk-taking</t>
        </is>
      </c>
      <c r="D10614">
        <f>HYPERLINK("https://www.youtube.com/watch?v=VLDwh4ivNf4&amp;t=401s", "Go to time")</f>
        <v/>
      </c>
    </row>
    <row r="10615">
      <c r="A10615">
        <f>HYPERLINK("https://www.youtube.com/watch?v=VLDwh4ivNf4", "Video")</f>
        <v/>
      </c>
      <c r="B10615" t="inlineStr">
        <is>
          <t>7:48</t>
        </is>
      </c>
      <c r="C10615" t="inlineStr">
        <is>
          <t>The process of habituation
also plays a key role in risk-taking</t>
        </is>
      </c>
      <c r="D10615">
        <f>HYPERLINK("https://www.youtube.com/watch?v=VLDwh4ivNf4&amp;t=468s", "Go to time")</f>
        <v/>
      </c>
    </row>
    <row r="10616">
      <c r="A10616">
        <f>HYPERLINK("https://www.youtube.com/watch?v=VLDwh4ivNf4", "Video")</f>
        <v/>
      </c>
      <c r="B10616" t="inlineStr">
        <is>
          <t>8:06</t>
        </is>
      </c>
      <c r="C10616" t="inlineStr">
        <is>
          <t>was that a habituation to risks</t>
        </is>
      </c>
      <c r="D10616">
        <f>HYPERLINK("https://www.youtube.com/watch?v=VLDwh4ivNf4&amp;t=486s", "Go to time")</f>
        <v/>
      </c>
    </row>
    <row r="10617">
      <c r="A10617">
        <f>HYPERLINK("https://www.youtube.com/watch?v=VLDwh4ivNf4", "Video")</f>
        <v/>
      </c>
      <c r="B10617" t="inlineStr">
        <is>
          <t>8:16</t>
        </is>
      </c>
      <c r="C10617" t="inlineStr">
        <is>
          <t>and the impact of habituation</t>
        </is>
      </c>
      <c r="D10617">
        <f>HYPERLINK("https://www.youtube.com/watch?v=VLDwh4ivNf4&amp;t=496s", "Go to time")</f>
        <v/>
      </c>
    </row>
    <row r="10618">
      <c r="A10618">
        <f>HYPERLINK("https://www.youtube.com/watch?v=VLDwh4ivNf4", "Video")</f>
        <v/>
      </c>
      <c r="B10618" t="inlineStr">
        <is>
          <t>8:34</t>
        </is>
      </c>
      <c r="C10618" t="inlineStr">
        <is>
          <t>The biggest hurdle they're facing
is their habituation to risks:</t>
        </is>
      </c>
      <c r="D10618">
        <f>HYPERLINK("https://www.youtube.com/watch?v=VLDwh4ivNf4&amp;t=514s", "Go to time")</f>
        <v/>
      </c>
    </row>
    <row r="10619">
      <c r="A10619">
        <f>HYPERLINK("https://www.youtube.com/watch?v=xo3twNN-CTg", "Video")</f>
        <v/>
      </c>
      <c r="B10619" t="inlineStr">
        <is>
          <t>2:13</t>
        </is>
      </c>
      <c r="C10619" t="inlineStr">
        <is>
          <t>people who selected Black or white
could go a bit more granular</t>
        </is>
      </c>
      <c r="D10619">
        <f>HYPERLINK("https://www.youtube.com/watch?v=xo3twNN-CTg&amp;t=133s", "Go to time")</f>
        <v/>
      </c>
    </row>
    <row r="10620">
      <c r="A10620">
        <f>HYPERLINK("https://www.youtube.com/watch?v=O4F40SsEFyY", "Video")</f>
        <v/>
      </c>
      <c r="B10620" t="inlineStr">
        <is>
          <t>5:25</t>
        </is>
      </c>
      <c r="C10620" t="inlineStr">
        <is>
          <t>But when you bite into it,</t>
        </is>
      </c>
      <c r="D10620">
        <f>HYPERLINK("https://www.youtube.com/watch?v=O4F40SsEFyY&amp;t=325s", "Go to time")</f>
        <v/>
      </c>
    </row>
    <row r="10621">
      <c r="A10621">
        <f>HYPERLINK("https://www.youtube.com/watch?v=O4F40SsEFyY", "Video")</f>
        <v/>
      </c>
      <c r="B10621" t="inlineStr">
        <is>
          <t>11:02</t>
        </is>
      </c>
      <c r="C10621" t="inlineStr">
        <is>
          <t>which is just, like,
a little bit unpredictable here.</t>
        </is>
      </c>
      <c r="D10621">
        <f>HYPERLINK("https://www.youtube.com/watch?v=O4F40SsEFyY&amp;t=662s", "Go to time")</f>
        <v/>
      </c>
    </row>
    <row r="10622">
      <c r="A10622">
        <f>HYPERLINK("https://www.youtube.com/watch?v=ZL-6MeYBeUs", "Video")</f>
        <v/>
      </c>
      <c r="B10622" t="inlineStr">
        <is>
          <t>0:26</t>
        </is>
      </c>
      <c r="C10622" t="inlineStr">
        <is>
          <t>I'm a little bit older than you,</t>
        </is>
      </c>
      <c r="D10622">
        <f>HYPERLINK("https://www.youtube.com/watch?v=ZL-6MeYBeUs&amp;t=26s", "Go to time")</f>
        <v/>
      </c>
    </row>
    <row r="10623">
      <c r="A10623">
        <f>HYPERLINK("https://www.youtube.com/watch?v=H8kr_V3fEGA", "Video")</f>
        <v/>
      </c>
      <c r="B10623" t="inlineStr">
        <is>
          <t>1:11</t>
        </is>
      </c>
      <c r="C10623" t="inlineStr">
        <is>
          <t>I am also from Sarah Jones's family,
but I'm a little bit nervous</t>
        </is>
      </c>
      <c r="D10623">
        <f>HYPERLINK("https://www.youtube.com/watch?v=H8kr_V3fEGA&amp;t=71s", "Go to time")</f>
        <v/>
      </c>
    </row>
    <row r="10624">
      <c r="A10624">
        <f>HYPERLINK("https://www.youtube.com/watch?v=H8kr_V3fEGA", "Video")</f>
        <v/>
      </c>
      <c r="B10624" t="inlineStr">
        <is>
          <t>6:05</t>
        </is>
      </c>
      <c r="C10624" t="inlineStr">
        <is>
          <t>But if you don't know my work,
let me give you a little bit more context.</t>
        </is>
      </c>
      <c r="D10624">
        <f>HYPERLINK("https://www.youtube.com/watch?v=H8kr_V3fEGA&amp;t=365s", "Go to time")</f>
        <v/>
      </c>
    </row>
    <row r="10625">
      <c r="A10625">
        <f>HYPERLINK("https://www.youtube.com/watch?v=H8kr_V3fEGA", "Video")</f>
        <v/>
      </c>
      <c r="B10625" t="inlineStr">
        <is>
          <t>13:12</t>
        </is>
      </c>
      <c r="C10625" t="inlineStr">
        <is>
          <t>that we can still empathize
with each other just a little bit more.</t>
        </is>
      </c>
      <c r="D10625">
        <f>HYPERLINK("https://www.youtube.com/watch?v=H8kr_V3fEGA&amp;t=792s", "Go to time")</f>
        <v/>
      </c>
    </row>
    <row r="10626">
      <c r="A10626">
        <f>HYPERLINK("https://www.youtube.com/watch?v=NqOjj1FCcVY", "Video")</f>
        <v/>
      </c>
      <c r="B10626" t="inlineStr">
        <is>
          <t>0:50</t>
        </is>
      </c>
      <c r="C10626" t="inlineStr">
        <is>
          <t>Exhibit A is the 2016
presidential election.</t>
        </is>
      </c>
      <c r="D10626">
        <f>HYPERLINK("https://www.youtube.com/watch?v=NqOjj1FCcVY&amp;t=50s", "Go to time")</f>
        <v/>
      </c>
    </row>
    <row r="10627">
      <c r="A10627">
        <f>HYPERLINK("https://www.youtube.com/watch?v=NqOjj1FCcVY", "Video")</f>
        <v/>
      </c>
      <c r="B10627" t="inlineStr">
        <is>
          <t>4:04</t>
        </is>
      </c>
      <c r="C10627" t="inlineStr">
        <is>
          <t>Now, all of this may sound
a little bit 18th century to you,</t>
        </is>
      </c>
      <c r="D10627">
        <f>HYPERLINK("https://www.youtube.com/watch?v=NqOjj1FCcVY&amp;t=244s", "Go to time")</f>
        <v/>
      </c>
    </row>
    <row r="10628">
      <c r="A10628">
        <f>HYPERLINK("https://www.youtube.com/watch?v=NqOjj1FCcVY", "Video")</f>
        <v/>
      </c>
      <c r="B10628" t="inlineStr">
        <is>
          <t>10:31</t>
        </is>
      </c>
      <c r="C10628" t="inlineStr">
        <is>
          <t>that is maybe a little less spiritual
and a bit more pointed.</t>
        </is>
      </c>
      <c r="D10628">
        <f>HYPERLINK("https://www.youtube.com/watch?v=NqOjj1FCcVY&amp;t=631s", "Go to time")</f>
        <v/>
      </c>
    </row>
    <row r="10629">
      <c r="A10629">
        <f>HYPERLINK("https://www.youtube.com/watch?v=5QTjSH1KGlY", "Video")</f>
        <v/>
      </c>
      <c r="B10629" t="inlineStr">
        <is>
          <t>2:09</t>
        </is>
      </c>
      <c r="C10629" t="inlineStr">
        <is>
          <t>It's a beautiful bit of shared silence</t>
        </is>
      </c>
      <c r="D10629">
        <f>HYPERLINK("https://www.youtube.com/watch?v=5QTjSH1KGlY&amp;t=129s", "Go to time")</f>
        <v/>
      </c>
    </row>
    <row r="10630">
      <c r="A10630">
        <f>HYPERLINK("https://www.youtube.com/watch?v=5QTjSH1KGlY", "Video")</f>
        <v/>
      </c>
      <c r="B10630" t="inlineStr">
        <is>
          <t>5:18</t>
        </is>
      </c>
      <c r="C10630" t="inlineStr">
        <is>
          <t>and with a bit of luck,</t>
        </is>
      </c>
      <c r="D10630">
        <f>HYPERLINK("https://www.youtube.com/watch?v=5QTjSH1KGlY&amp;t=318s", "Go to time")</f>
        <v/>
      </c>
    </row>
    <row r="10631">
      <c r="A10631">
        <f>HYPERLINK("https://www.youtube.com/watch?v=HDjM5lw8OYo", "Video")</f>
        <v/>
      </c>
      <c r="B10631" t="inlineStr">
        <is>
          <t>5:10</t>
        </is>
      </c>
      <c r="C10631" t="inlineStr">
        <is>
          <t>That can seem like a bracing bit
of realpolitik to people,</t>
        </is>
      </c>
      <c r="D10631">
        <f>HYPERLINK("https://www.youtube.com/watch?v=HDjM5lw8OYo&amp;t=310s", "Go to time")</f>
        <v/>
      </c>
    </row>
    <row r="10632">
      <c r="A10632">
        <f>HYPERLINK("https://www.youtube.com/watch?v=HDjM5lw8OYo", "Video")</f>
        <v/>
      </c>
      <c r="B10632" t="inlineStr">
        <is>
          <t>5:20</t>
        </is>
      </c>
      <c r="C10632" t="inlineStr">
        <is>
          <t>But actually, I think it's a bit
of self-serving rationalization</t>
        </is>
      </c>
      <c r="D10632">
        <f>HYPERLINK("https://www.youtube.com/watch?v=HDjM5lw8OYo&amp;t=320s", "Go to time")</f>
        <v/>
      </c>
    </row>
    <row r="10633">
      <c r="A10633">
        <f>HYPERLINK("https://www.youtube.com/watch?v=HDjM5lw8OYo", "Video")</f>
        <v/>
      </c>
      <c r="B10633" t="inlineStr">
        <is>
          <t>13:15</t>
        </is>
      </c>
      <c r="C10633" t="inlineStr">
        <is>
          <t>to inhabit a common space,</t>
        </is>
      </c>
      <c r="D10633">
        <f>HYPERLINK("https://www.youtube.com/watch?v=HDjM5lw8OYo&amp;t=795s", "Go to time")</f>
        <v/>
      </c>
    </row>
    <row r="10634">
      <c r="A10634">
        <f>HYPERLINK("https://www.youtube.com/watch?v=HDjM5lw8OYo", "Video")</f>
        <v/>
      </c>
      <c r="B10634" t="inlineStr">
        <is>
          <t>13:25</t>
        </is>
      </c>
      <c r="C10634" t="inlineStr">
        <is>
          <t>But you can't strive to inhabit that space</t>
        </is>
      </c>
      <c r="D10634">
        <f>HYPERLINK("https://www.youtube.com/watch?v=HDjM5lw8OYo&amp;t=805s", "Go to time")</f>
        <v/>
      </c>
    </row>
    <row r="10635">
      <c r="A10635">
        <f>HYPERLINK("https://www.youtube.com/watch?v=1Rr-pZoftho", "Video")</f>
        <v/>
      </c>
      <c r="B10635" t="inlineStr">
        <is>
          <t>4:49</t>
        </is>
      </c>
      <c r="C10635" t="inlineStr">
        <is>
          <t>a population of individuals which
exhibit some physical variations;</t>
        </is>
      </c>
      <c r="D10635">
        <f>HYPERLINK("https://www.youtube.com/watch?v=1Rr-pZoftho&amp;t=289s", "Go to time")</f>
        <v/>
      </c>
    </row>
    <row r="10636">
      <c r="A10636">
        <f>HYPERLINK("https://www.youtube.com/watch?v=1Rr-pZoftho", "Video")</f>
        <v/>
      </c>
      <c r="B10636" t="inlineStr">
        <is>
          <t>6:47</t>
        </is>
      </c>
      <c r="C10636" t="inlineStr">
        <is>
          <t>but occasionally also
exhibits some new ones.</t>
        </is>
      </c>
      <c r="D10636">
        <f>HYPERLINK("https://www.youtube.com/watch?v=1Rr-pZoftho&amp;t=407s", "Go to time")</f>
        <v/>
      </c>
    </row>
    <row r="10637">
      <c r="A10637">
        <f>HYPERLINK("https://www.youtube.com/watch?v=M0-b-z5Le10", "Video")</f>
        <v/>
      </c>
      <c r="B10637" t="inlineStr">
        <is>
          <t>5:47</t>
        </is>
      </c>
      <c r="C10637" t="inlineStr">
        <is>
          <t>And that created a little bit
of jealousy with their children.</t>
        </is>
      </c>
      <c r="D10637">
        <f>HYPERLINK("https://www.youtube.com/watch?v=M0-b-z5Le10&amp;t=347s", "Go to time")</f>
        <v/>
      </c>
    </row>
    <row r="10638">
      <c r="A10638">
        <f>HYPERLINK("https://www.youtube.com/watch?v=TppG2Wcl3bY", "Video")</f>
        <v/>
      </c>
      <c r="B10638" t="inlineStr">
        <is>
          <t>14:12</t>
        </is>
      </c>
      <c r="C10638" t="inlineStr">
        <is>
          <t>I only hope to have a tiny bit</t>
        </is>
      </c>
      <c r="D10638">
        <f>HYPERLINK("https://www.youtube.com/watch?v=TppG2Wcl3bY&amp;t=852s", "Go to time")</f>
        <v/>
      </c>
    </row>
    <row r="10639">
      <c r="A10639">
        <f>HYPERLINK("https://www.youtube.com/watch?v=XPDHY-jOQYA", "Video")</f>
        <v/>
      </c>
      <c r="B10639" t="inlineStr">
        <is>
          <t>0:25</t>
        </is>
      </c>
      <c r="C10639" t="inlineStr">
        <is>
          <t>on an otherwise uninhabited island,</t>
        </is>
      </c>
      <c r="D10639">
        <f>HYPERLINK("https://www.youtube.com/watch?v=XPDHY-jOQYA&amp;t=25s", "Go to time")</f>
        <v/>
      </c>
    </row>
    <row r="10640">
      <c r="A10640">
        <f>HYPERLINK("https://www.youtube.com/watch?v=XPDHY-jOQYA", "Video")</f>
        <v/>
      </c>
      <c r="B10640" t="inlineStr">
        <is>
          <t>1:56</t>
        </is>
      </c>
      <c r="C10640" t="inlineStr">
        <is>
          <t>it might help for you to know
a little bit more about me</t>
        </is>
      </c>
      <c r="D10640">
        <f>HYPERLINK("https://www.youtube.com/watch?v=XPDHY-jOQYA&amp;t=116s", "Go to time")</f>
        <v/>
      </c>
    </row>
    <row r="10641">
      <c r="A10641">
        <f>HYPERLINK("https://www.youtube.com/watch?v=XPDHY-jOQYA", "Video")</f>
        <v/>
      </c>
      <c r="B10641" t="inlineStr">
        <is>
          <t>9:42</t>
        </is>
      </c>
      <c r="C10641" t="inlineStr">
        <is>
          <t>And give yourself permission
to be at least a little bit idealistic.</t>
        </is>
      </c>
      <c r="D10641">
        <f>HYPERLINK("https://www.youtube.com/watch?v=XPDHY-jOQYA&amp;t=582s", "Go to time")</f>
        <v/>
      </c>
    </row>
    <row r="10642">
      <c r="A10642">
        <f>HYPERLINK("https://www.youtube.com/watch?v=wBRqxBvBWQE", "Video")</f>
        <v/>
      </c>
      <c r="B10642" t="inlineStr">
        <is>
          <t>9:55</t>
        </is>
      </c>
      <c r="C10642" t="inlineStr">
        <is>
          <t>in assessing the local climate ambition,</t>
        </is>
      </c>
      <c r="D10642">
        <f>HYPERLINK("https://www.youtube.com/watch?v=wBRqxBvBWQE&amp;t=595s", "Go to time")</f>
        <v/>
      </c>
    </row>
    <row r="10643">
      <c r="A10643">
        <f>HYPERLINK("https://www.youtube.com/watch?v=S-3qnZrVy9o", "Video")</f>
        <v/>
      </c>
      <c r="B10643" t="inlineStr">
        <is>
          <t>0:51</t>
        </is>
      </c>
      <c r="C10643" t="inlineStr">
        <is>
          <t>You were probably feeling
a little bit under pressure,</t>
        </is>
      </c>
      <c r="D10643">
        <f>HYPERLINK("https://www.youtube.com/watch?v=S-3qnZrVy9o&amp;t=51s", "Go to time")</f>
        <v/>
      </c>
    </row>
    <row r="10644">
      <c r="A10644">
        <f>HYPERLINK("https://www.youtube.com/watch?v=S-3qnZrVy9o", "Video")</f>
        <v/>
      </c>
      <c r="B10644" t="inlineStr">
        <is>
          <t>9:24</t>
        </is>
      </c>
      <c r="C10644" t="inlineStr">
        <is>
          <t>seem rather unambitious?</t>
        </is>
      </c>
      <c r="D10644">
        <f>HYPERLINK("https://www.youtube.com/watch?v=S-3qnZrVy9o&amp;t=564s", "Go to time")</f>
        <v/>
      </c>
    </row>
    <row r="10645">
      <c r="A10645">
        <f>HYPERLINK("https://www.youtube.com/watch?v=S-3qnZrVy9o", "Video")</f>
        <v/>
      </c>
      <c r="B10645" t="inlineStr">
        <is>
          <t>10:33</t>
        </is>
      </c>
      <c r="C10645" t="inlineStr">
        <is>
          <t>Feel sad in the 16th century,
and you might feel a little bit smug.</t>
        </is>
      </c>
      <c r="D10645">
        <f>HYPERLINK("https://www.youtube.com/watch?v=S-3qnZrVy9o&amp;t=633s", "Go to time")</f>
        <v/>
      </c>
    </row>
    <row r="10646">
      <c r="A10646">
        <f>HYPERLINK("https://www.youtube.com/watch?v=uYaF8p_TNSU", "Video")</f>
        <v/>
      </c>
      <c r="B10646" t="inlineStr">
        <is>
          <t>3:05</t>
        </is>
      </c>
      <c r="C10646" t="inlineStr">
        <is>
          <t>that I had to do my bit,</t>
        </is>
      </c>
      <c r="D10646">
        <f>HYPERLINK("https://www.youtube.com/watch?v=uYaF8p_TNSU&amp;t=185s", "Go to time")</f>
        <v/>
      </c>
    </row>
    <row r="10647">
      <c r="A10647">
        <f>HYPERLINK("https://www.youtube.com/watch?v=uYaF8p_TNSU", "Video")</f>
        <v/>
      </c>
      <c r="B10647" t="inlineStr">
        <is>
          <t>9:41</t>
        </is>
      </c>
      <c r="C10647" t="inlineStr">
        <is>
          <t>And maybe I also had the ambition
to do more with less.</t>
        </is>
      </c>
      <c r="D10647">
        <f>HYPERLINK("https://www.youtube.com/watch?v=uYaF8p_TNSU&amp;t=581s", "Go to time")</f>
        <v/>
      </c>
    </row>
    <row r="10648">
      <c r="A10648">
        <f>HYPERLINK("https://www.youtube.com/watch?v=lh4d1fjzfNA", "Video")</f>
        <v/>
      </c>
      <c r="B10648" t="inlineStr">
        <is>
          <t>2:51</t>
        </is>
      </c>
      <c r="C10648" t="inlineStr">
        <is>
          <t>still be a bit of a taboo subject but</t>
        </is>
      </c>
      <c r="D10648">
        <f>HYPERLINK("https://www.youtube.com/watch?v=lh4d1fjzfNA&amp;t=171s", "Go to time")</f>
        <v/>
      </c>
    </row>
    <row r="10649">
      <c r="A10649">
        <f>HYPERLINK("https://www.youtube.com/watch?v=t6XLYx4se-Q", "Video")</f>
        <v/>
      </c>
      <c r="B10649" t="inlineStr">
        <is>
          <t>5:51</t>
        </is>
      </c>
      <c r="C10649" t="inlineStr">
        <is>
          <t>The first Fitbit only launched in 2009.</t>
        </is>
      </c>
      <c r="D10649">
        <f>HYPERLINK("https://www.youtube.com/watch?v=t6XLYx4se-Q&amp;t=351s", "Go to time")</f>
        <v/>
      </c>
    </row>
    <row r="10650">
      <c r="A10650">
        <f>HYPERLINK("https://www.youtube.com/watch?v=NuhIzO57HVk", "Video")</f>
        <v/>
      </c>
      <c r="B10650" t="inlineStr">
        <is>
          <t>11:46</t>
        </is>
      </c>
      <c r="C10650" t="inlineStr">
        <is>
          <t>For ambitious people,
this may be a little scary.</t>
        </is>
      </c>
      <c r="D10650">
        <f>HYPERLINK("https://www.youtube.com/watch?v=NuhIzO57HVk&amp;t=706s", "Go to time")</f>
        <v/>
      </c>
    </row>
    <row r="10651">
      <c r="A10651">
        <f>HYPERLINK("https://www.youtube.com/watch?v=qaIghx4QRN4", "Video")</f>
        <v/>
      </c>
      <c r="B10651" t="inlineStr">
        <is>
          <t>3:52</t>
        </is>
      </c>
      <c r="C10651" t="inlineStr">
        <is>
          <t>Habitability --</t>
        </is>
      </c>
      <c r="D10651">
        <f>HYPERLINK("https://www.youtube.com/watch?v=qaIghx4QRN4&amp;t=232s", "Go to time")</f>
        <v/>
      </c>
    </row>
    <row r="10652">
      <c r="A10652">
        <f>HYPERLINK("https://www.youtube.com/watch?v=qaIghx4QRN4", "Video")</f>
        <v/>
      </c>
      <c r="B10652" t="inlineStr">
        <is>
          <t>4:04</t>
        </is>
      </c>
      <c r="C10652" t="inlineStr">
        <is>
          <t>In 2016, astronomers confirmed
there's a planet in the habitable zone</t>
        </is>
      </c>
      <c r="D10652">
        <f>HYPERLINK("https://www.youtube.com/watch?v=qaIghx4QRN4&amp;t=244s", "Go to time")</f>
        <v/>
      </c>
    </row>
    <row r="10653">
      <c r="A10653">
        <f>HYPERLINK("https://www.youtube.com/watch?v=qaIghx4QRN4", "Video")</f>
        <v/>
      </c>
      <c r="B10653" t="inlineStr">
        <is>
          <t>4:21</t>
        </is>
      </c>
      <c r="C10653" t="inlineStr">
        <is>
          <t>But not all worlds are habitable.</t>
        </is>
      </c>
      <c r="D10653">
        <f>HYPERLINK("https://www.youtube.com/watch?v=qaIghx4QRN4&amp;t=261s", "Go to time")</f>
        <v/>
      </c>
    </row>
    <row r="10654">
      <c r="A10654">
        <f>HYPERLINK("https://www.youtube.com/watch?v=qaIghx4QRN4", "Video")</f>
        <v/>
      </c>
      <c r="B10654" t="inlineStr">
        <is>
          <t>8:18</t>
        </is>
      </c>
      <c r="C10654" t="inlineStr">
        <is>
          <t>because Earth's previous
inhabitants enjoyed</t>
        </is>
      </c>
      <c r="D10654">
        <f>HYPERLINK("https://www.youtube.com/watch?v=qaIghx4QRN4&amp;t=498s", "Go to time")</f>
        <v/>
      </c>
    </row>
    <row r="10655">
      <c r="A10655">
        <f>HYPERLINK("https://www.youtube.com/watch?v=qaIghx4QRN4", "Video")</f>
        <v/>
      </c>
      <c r="B10655" t="inlineStr">
        <is>
          <t>10:50</t>
        </is>
      </c>
      <c r="C10655" t="inlineStr">
        <is>
          <t>Habitability --</t>
        </is>
      </c>
      <c r="D10655">
        <f>HYPERLINK("https://www.youtube.com/watch?v=qaIghx4QRN4&amp;t=650s", "Go to time")</f>
        <v/>
      </c>
    </row>
    <row r="10656">
      <c r="A10656">
        <f>HYPERLINK("https://www.youtube.com/watch?v=ItGGGN4jeYE", "Video")</f>
        <v/>
      </c>
      <c r="B10656" t="inlineStr">
        <is>
          <t>5:24</t>
        </is>
      </c>
      <c r="C10656" t="inlineStr">
        <is>
          <t>His legs are a bit weak,</t>
        </is>
      </c>
      <c r="D10656">
        <f>HYPERLINK("https://www.youtube.com/watch?v=ItGGGN4jeYE&amp;t=324s", "Go to time")</f>
        <v/>
      </c>
    </row>
    <row r="10657">
      <c r="A10657">
        <f>HYPERLINK("https://www.youtube.com/watch?v=ItGGGN4jeYE", "Video")</f>
        <v/>
      </c>
      <c r="B10657" t="inlineStr">
        <is>
          <t>5:54</t>
        </is>
      </c>
      <c r="C10657" t="inlineStr">
        <is>
          <t>so I just needed a bit of assistance
for transfers and books.</t>
        </is>
      </c>
      <c r="D10657">
        <f>HYPERLINK("https://www.youtube.com/watch?v=ItGGGN4jeYE&amp;t=354s", "Go to time")</f>
        <v/>
      </c>
    </row>
    <row r="10658">
      <c r="A10658">
        <f>HYPERLINK("https://www.youtube.com/watch?v=gHvXr6NuqYQ", "Video")</f>
        <v/>
      </c>
      <c r="B10658" t="inlineStr">
        <is>
          <t>9:44</t>
        </is>
      </c>
      <c r="C10658" t="inlineStr">
        <is>
          <t>our patient ambition,</t>
        </is>
      </c>
      <c r="D10658">
        <f>HYPERLINK("https://www.youtube.com/watch?v=gHvXr6NuqYQ&amp;t=584s", "Go to time")</f>
        <v/>
      </c>
    </row>
    <row r="10659">
      <c r="A10659">
        <f>HYPERLINK("https://www.youtube.com/watch?v=BzeTjn0R2VY", "Video")</f>
        <v/>
      </c>
      <c r="B10659" t="inlineStr">
        <is>
          <t>12:02</t>
        </is>
      </c>
      <c r="C10659" t="inlineStr">
        <is>
          <t>surely the rest of us can stop our habits</t>
        </is>
      </c>
      <c r="D10659">
        <f>HYPERLINK("https://www.youtube.com/watch?v=BzeTjn0R2VY&amp;t=722s", "Go to time")</f>
        <v/>
      </c>
    </row>
    <row r="10660">
      <c r="A10660">
        <f>HYPERLINK("https://www.youtube.com/watch?v=3vJ4-UH38dQ", "Video")</f>
        <v/>
      </c>
      <c r="B10660" t="inlineStr">
        <is>
          <t>3:15</t>
        </is>
      </c>
      <c r="C10660" t="inlineStr">
        <is>
          <t>Then when they land, the local mosquitoes
begin to bite them and spread the fever.</t>
        </is>
      </c>
      <c r="D10660">
        <f>HYPERLINK("https://www.youtube.com/watch?v=3vJ4-UH38dQ&amp;t=195s", "Go to time")</f>
        <v/>
      </c>
    </row>
    <row r="10661">
      <c r="A10661">
        <f>HYPERLINK("https://www.youtube.com/watch?v=3vJ4-UH38dQ", "Video")</f>
        <v/>
      </c>
      <c r="B10661" t="inlineStr">
        <is>
          <t>8:54</t>
        </is>
      </c>
      <c r="C10661" t="inlineStr">
        <is>
          <t>She bites to get a blood meal
to feed her offspring.</t>
        </is>
      </c>
      <c r="D10661">
        <f>HYPERLINK("https://www.youtube.com/watch?v=3vJ4-UH38dQ&amp;t=534s", "Go to time")</f>
        <v/>
      </c>
    </row>
    <row r="10662">
      <c r="A10662">
        <f>HYPERLINK("https://www.youtube.com/watch?v=3vJ4-UH38dQ", "Video")</f>
        <v/>
      </c>
      <c r="B10662" t="inlineStr">
        <is>
          <t>9:00</t>
        </is>
      </c>
      <c r="C10662" t="inlineStr">
        <is>
          <t>Males don't bite; they don't even
have the mouth parts to bite.</t>
        </is>
      </c>
      <c r="D10662">
        <f>HYPERLINK("https://www.youtube.com/watch?v=3vJ4-UH38dQ&amp;t=540s", "Go to time")</f>
        <v/>
      </c>
    </row>
    <row r="10663">
      <c r="A10663">
        <f>HYPERLINK("https://www.youtube.com/watch?v=3vJ4-UH38dQ", "Video")</f>
        <v/>
      </c>
      <c r="B10663" t="inlineStr">
        <is>
          <t>10:51</t>
        </is>
      </c>
      <c r="C10663" t="inlineStr">
        <is>
          <t>And let me remind you
that males don't bite.</t>
        </is>
      </c>
      <c r="D10663">
        <f>HYPERLINK("https://www.youtube.com/watch?v=3vJ4-UH38dQ&amp;t=651s", "Go to time")</f>
        <v/>
      </c>
    </row>
    <row r="10664">
      <c r="A10664">
        <f>HYPERLINK("https://www.youtube.com/watch?v=VRAlpK8IGLE", "Video")</f>
        <v/>
      </c>
      <c r="B10664" t="inlineStr">
        <is>
          <t>6:13</t>
        </is>
      </c>
      <c r="C10664" t="inlineStr">
        <is>
          <t>So make a habit of talking
about enjoying work,</t>
        </is>
      </c>
      <c r="D10664">
        <f>HYPERLINK("https://www.youtube.com/watch?v=VRAlpK8IGLE&amp;t=373s", "Go to time")</f>
        <v/>
      </c>
    </row>
    <row r="10665">
      <c r="A10665">
        <f>HYPERLINK("https://www.youtube.com/watch?v=9NZCWeBNPeE", "Video")</f>
        <v/>
      </c>
      <c r="B10665" t="inlineStr">
        <is>
          <t>12:15</t>
        </is>
      </c>
      <c r="C10665" t="inlineStr">
        <is>
          <t>I watched my older daughter
take a bite of her doughnut,</t>
        </is>
      </c>
      <c r="D10665">
        <f>HYPERLINK("https://www.youtube.com/watch?v=9NZCWeBNPeE&amp;t=735s", "Go to time")</f>
        <v/>
      </c>
    </row>
    <row r="10666">
      <c r="A10666">
        <f>HYPERLINK("https://www.youtube.com/watch?v=MjpO66YdP2s", "Video")</f>
        <v/>
      </c>
      <c r="B10666" t="inlineStr">
        <is>
          <t>0:38</t>
        </is>
      </c>
      <c r="C10666" t="inlineStr">
        <is>
          <t>I think I would love to hear
a bit about your story</t>
        </is>
      </c>
      <c r="D10666">
        <f>HYPERLINK("https://www.youtube.com/watch?v=MjpO66YdP2s&amp;t=38s", "Go to time")</f>
        <v/>
      </c>
    </row>
    <row r="10667">
      <c r="A10667">
        <f>HYPERLINK("https://www.youtube.com/watch?v=MjpO66YdP2s", "Video")</f>
        <v/>
      </c>
      <c r="B10667" t="inlineStr">
        <is>
          <t>6:46</t>
        </is>
      </c>
      <c r="C10667" t="inlineStr">
        <is>
          <t>I was ambitious, I really was ambitious.</t>
        </is>
      </c>
      <c r="D10667">
        <f>HYPERLINK("https://www.youtube.com/watch?v=MjpO66YdP2s&amp;t=406s", "Go to time")</f>
        <v/>
      </c>
    </row>
    <row r="10668">
      <c r="A10668">
        <f>HYPERLINK("https://www.youtube.com/watch?v=MjpO66YdP2s", "Video")</f>
        <v/>
      </c>
      <c r="B10668" t="inlineStr">
        <is>
          <t>30:31</t>
        </is>
      </c>
      <c r="C10668" t="inlineStr">
        <is>
          <t>We should probably tell people just a bit
about how the transition happened,</t>
        </is>
      </c>
      <c r="D10668">
        <f>HYPERLINK("https://www.youtube.com/watch?v=MjpO66YdP2s&amp;t=1831s", "Go to time")</f>
        <v/>
      </c>
    </row>
    <row r="10669">
      <c r="A10669">
        <f>HYPERLINK("https://www.youtube.com/watch?v=MjpO66YdP2s", "Video")</f>
        <v/>
      </c>
      <c r="B10669" t="inlineStr">
        <is>
          <t>31:34</t>
        </is>
      </c>
      <c r="C10669" t="inlineStr">
        <is>
          <t>You probably feared that
a bit with me as well.</t>
        </is>
      </c>
      <c r="D10669">
        <f>HYPERLINK("https://www.youtube.com/watch?v=MjpO66YdP2s&amp;t=1894s", "Go to time")</f>
        <v/>
      </c>
    </row>
    <row r="10670">
      <c r="A10670">
        <f>HYPERLINK("https://www.youtube.com/watch?v=MjpO66YdP2s", "Video")</f>
        <v/>
      </c>
      <c r="B10670" t="inlineStr">
        <is>
          <t>32:51</t>
        </is>
      </c>
      <c r="C10670" t="inlineStr">
        <is>
          <t>and I had no money, I had a foundation
with a bit of money in it.</t>
        </is>
      </c>
      <c r="D10670">
        <f>HYPERLINK("https://www.youtube.com/watch?v=MjpO66YdP2s&amp;t=1971s", "Go to time")</f>
        <v/>
      </c>
    </row>
    <row r="10671">
      <c r="A10671">
        <f>HYPERLINK("https://www.youtube.com/watch?v=MjpO66YdP2s", "Video")</f>
        <v/>
      </c>
      <c r="B10671" t="inlineStr">
        <is>
          <t>36:08</t>
        </is>
      </c>
      <c r="C10671" t="inlineStr">
        <is>
          <t>when things were still
a bit awkward with us --</t>
        </is>
      </c>
      <c r="D10671">
        <f>HYPERLINK("https://www.youtube.com/watch?v=MjpO66YdP2s&amp;t=2168s", "Go to time")</f>
        <v/>
      </c>
    </row>
    <row r="10672">
      <c r="A10672">
        <f>HYPERLINK("https://www.youtube.com/watch?v=MjpO66YdP2s", "Video")</f>
        <v/>
      </c>
      <c r="B10672" t="inlineStr">
        <is>
          <t>39:27</t>
        </is>
      </c>
      <c r="C10672" t="inlineStr">
        <is>
          <t>And then we saw how ambitious
he was, was to get a hat,</t>
        </is>
      </c>
      <c r="D10672">
        <f>HYPERLINK("https://www.youtube.com/watch?v=MjpO66YdP2s&amp;t=2367s", "Go to time")</f>
        <v/>
      </c>
    </row>
    <row r="10673">
      <c r="A10673">
        <f>HYPERLINK("https://www.youtube.com/watch?v=UeGLnUqNI0s", "Video")</f>
        <v/>
      </c>
      <c r="B10673" t="inlineStr">
        <is>
          <t>9:36</t>
        </is>
      </c>
      <c r="C10673" t="inlineStr">
        <is>
          <t>And even that, that justified act
kind of wrecks her a little bit,</t>
        </is>
      </c>
      <c r="D10673">
        <f>HYPERLINK("https://www.youtube.com/watch?v=UeGLnUqNI0s&amp;t=576s", "Go to time")</f>
        <v/>
      </c>
    </row>
    <row r="10674">
      <c r="A10674">
        <f>HYPERLINK("https://www.youtube.com/watch?v=51k3UASQE5E", "Video")</f>
        <v/>
      </c>
      <c r="B10674" t="inlineStr">
        <is>
          <t>11:42</t>
        </is>
      </c>
      <c r="C10674" t="inlineStr">
        <is>
          <t>I want you to think a little bit.</t>
        </is>
      </c>
      <c r="D10674">
        <f>HYPERLINK("https://www.youtube.com/watch?v=51k3UASQE5E&amp;t=702s", "Go to time")</f>
        <v/>
      </c>
    </row>
    <row r="10675">
      <c r="A10675">
        <f>HYPERLINK("https://www.youtube.com/watch?v=3zJHwOwirjA", "Video")</f>
        <v/>
      </c>
      <c r="B10675" t="inlineStr">
        <is>
          <t>4:53</t>
        </is>
      </c>
      <c r="C10675" t="inlineStr">
        <is>
          <t>How do I get beyond the bitterness
and the sadness and the lethargy</t>
        </is>
      </c>
      <c r="D10675">
        <f>HYPERLINK("https://www.youtube.com/watch?v=3zJHwOwirjA&amp;t=293s", "Go to time")</f>
        <v/>
      </c>
    </row>
    <row r="10676">
      <c r="A10676">
        <f>HYPERLINK("https://www.youtube.com/watch?v=3zJHwOwirjA", "Video")</f>
        <v/>
      </c>
      <c r="B10676" t="inlineStr">
        <is>
          <t>6:00</t>
        </is>
      </c>
      <c r="C10676" t="inlineStr">
        <is>
          <t>One, am I honest about the scope
of my ambition?</t>
        </is>
      </c>
      <c r="D10676">
        <f>HYPERLINK("https://www.youtube.com/watch?v=3zJHwOwirjA&amp;t=360s", "Go to time")</f>
        <v/>
      </c>
    </row>
    <row r="10677">
      <c r="A10677">
        <f>HYPERLINK("https://www.youtube.com/watch?v=3zJHwOwirjA", "Video")</f>
        <v/>
      </c>
      <c r="B10677" t="inlineStr">
        <is>
          <t>6:10</t>
        </is>
      </c>
      <c r="C10677" t="inlineStr">
        <is>
          <t>but I'm here to tell you
to be aggressive about your ambition.</t>
        </is>
      </c>
      <c r="D10677">
        <f>HYPERLINK("https://www.youtube.com/watch?v=3zJHwOwirjA&amp;t=370s", "Go to time")</f>
        <v/>
      </c>
    </row>
    <row r="10678">
      <c r="A10678">
        <f>HYPERLINK("https://www.youtube.com/watch?v=3zJHwOwirjA", "Video")</f>
        <v/>
      </c>
      <c r="B10678" t="inlineStr">
        <is>
          <t>9:15</t>
        </is>
      </c>
      <c r="C10678" t="inlineStr">
        <is>
          <t>Now, you may have heard,
I'm in a little bit of debt.</t>
        </is>
      </c>
      <c r="D10678">
        <f>HYPERLINK("https://www.youtube.com/watch?v=3zJHwOwirjA&amp;t=555s", "Go to time")</f>
        <v/>
      </c>
    </row>
    <row r="10679">
      <c r="A10679">
        <f>HYPERLINK("https://www.youtube.com/watch?v=_bm98rrVZzE", "Video")</f>
        <v/>
      </c>
      <c r="B10679" t="inlineStr">
        <is>
          <t>5:06</t>
        </is>
      </c>
      <c r="C10679" t="inlineStr">
        <is>
          <t>a place where you can control
every single polar orbiting satellite</t>
        </is>
      </c>
      <c r="D10679">
        <f>HYPERLINK("https://www.youtube.com/watch?v=_bm98rrVZzE&amp;t=306s", "Go to time")</f>
        <v/>
      </c>
    </row>
    <row r="10680">
      <c r="A10680">
        <f>HYPERLINK("https://www.youtube.com/watch?v=_bm98rrVZzE", "Video")</f>
        <v/>
      </c>
      <c r="B10680" t="inlineStr">
        <is>
          <t>5:09</t>
        </is>
      </c>
      <c r="C10680" t="inlineStr">
        <is>
          <t>on every orbit.</t>
        </is>
      </c>
      <c r="D10680">
        <f>HYPERLINK("https://www.youtube.com/watch?v=_bm98rrVZzE&amp;t=309s", "Go to time")</f>
        <v/>
      </c>
    </row>
    <row r="10681">
      <c r="A10681">
        <f>HYPERLINK("https://www.youtube.com/watch?v=MIGtyaVb2Xc", "Video")</f>
        <v/>
      </c>
      <c r="B10681" t="inlineStr">
        <is>
          <t>10:25</t>
        </is>
      </c>
      <c r="C10681" t="inlineStr">
        <is>
          <t>But the world has changed a bit.</t>
        </is>
      </c>
      <c r="D10681">
        <f>HYPERLINK("https://www.youtube.com/watch?v=MIGtyaVb2Xc&amp;t=625s", "Go to time")</f>
        <v/>
      </c>
    </row>
    <row r="10682">
      <c r="A10682">
        <f>HYPERLINK("https://www.youtube.com/watch?v=Q69o7mr-0S4", "Video")</f>
        <v/>
      </c>
      <c r="B10682" t="inlineStr">
        <is>
          <t>3:36</t>
        </is>
      </c>
      <c r="C10682" t="inlineStr">
        <is>
          <t>For the liver, maybe a little bit longer.</t>
        </is>
      </c>
      <c r="D10682">
        <f>HYPERLINK("https://www.youtube.com/watch?v=Q69o7mr-0S4&amp;t=216s", "Go to time")</f>
        <v/>
      </c>
    </row>
    <row r="10683">
      <c r="A10683">
        <f>HYPERLINK("https://www.youtube.com/watch?v=BPsSKKL8N0s", "Video")</f>
        <v/>
      </c>
      <c r="B10683" t="inlineStr">
        <is>
          <t>8:53</t>
        </is>
      </c>
      <c r="C10683" t="inlineStr">
        <is>
          <t>you get automatically the ambition
to be high ranking in the males.</t>
        </is>
      </c>
      <c r="D10683">
        <f>HYPERLINK("https://www.youtube.com/watch?v=BPsSKKL8N0s&amp;t=533s", "Go to time")</f>
        <v/>
      </c>
    </row>
    <row r="10684">
      <c r="A10684">
        <f>HYPERLINK("https://www.youtube.com/watch?v=BPsSKKL8N0s", "Video")</f>
        <v/>
      </c>
      <c r="B10684" t="inlineStr">
        <is>
          <t>9:40</t>
        </is>
      </c>
      <c r="C10684" t="inlineStr">
        <is>
          <t>and that's what male
chimpanzees do quite a bit.</t>
        </is>
      </c>
      <c r="D10684">
        <f>HYPERLINK("https://www.youtube.com/watch?v=BPsSKKL8N0s&amp;t=580s", "Go to time")</f>
        <v/>
      </c>
    </row>
    <row r="10685">
      <c r="A10685">
        <f>HYPERLINK("https://www.youtube.com/watch?v=rWTwcySGvrE", "Video")</f>
        <v/>
      </c>
      <c r="B10685" t="inlineStr">
        <is>
          <t>10:51</t>
        </is>
      </c>
      <c r="C10685" t="inlineStr">
        <is>
          <t>to raise money to finance your ambitions.</t>
        </is>
      </c>
      <c r="D10685">
        <f>HYPERLINK("https://www.youtube.com/watch?v=rWTwcySGvrE&amp;t=651s", "Go to time")</f>
        <v/>
      </c>
    </row>
    <row r="10686">
      <c r="A10686">
        <f>HYPERLINK("https://www.youtube.com/watch?v=iU1bhHeCkoU", "Video")</f>
        <v/>
      </c>
      <c r="B10686" t="inlineStr">
        <is>
          <t>6:49</t>
        </is>
      </c>
      <c r="C10686" t="inlineStr">
        <is>
          <t>You know, I'm a little bit of a Luddite,</t>
        </is>
      </c>
      <c r="D10686">
        <f>HYPERLINK("https://www.youtube.com/watch?v=iU1bhHeCkoU&amp;t=409s", "Go to time")</f>
        <v/>
      </c>
    </row>
    <row r="10687">
      <c r="A10687">
        <f>HYPERLINK("https://www.youtube.com/watch?v=iU1bhHeCkoU", "Video")</f>
        <v/>
      </c>
      <c r="B10687" t="inlineStr">
        <is>
          <t>12:51</t>
        </is>
      </c>
      <c r="C10687" t="inlineStr">
        <is>
          <t>it's like, "No! Another one
bites the dust."</t>
        </is>
      </c>
      <c r="D10687">
        <f>HYPERLINK("https://www.youtube.com/watch?v=iU1bhHeCkoU&amp;t=771s", "Go to time")</f>
        <v/>
      </c>
    </row>
    <row r="10688">
      <c r="A10688">
        <f>HYPERLINK("https://www.youtube.com/watch?v=hMutHPLkUYM", "Video")</f>
        <v/>
      </c>
      <c r="B10688" t="inlineStr">
        <is>
          <t>4:48</t>
        </is>
      </c>
      <c r="C10688" t="inlineStr">
        <is>
          <t>But then, we had
a little bit of a breakthrough.</t>
        </is>
      </c>
      <c r="D10688">
        <f>HYPERLINK("https://www.youtube.com/watch?v=hMutHPLkUYM&amp;t=288s", "Go to time")</f>
        <v/>
      </c>
    </row>
    <row r="10689">
      <c r="A10689">
        <f>HYPERLINK("https://www.youtube.com/watch?v=yjYrxcGSWX4", "Video")</f>
        <v/>
      </c>
      <c r="B10689" t="inlineStr">
        <is>
          <t>2:48</t>
        </is>
      </c>
      <c r="C10689" t="inlineStr">
        <is>
          <t>into the personalities
and the working habits</t>
        </is>
      </c>
      <c r="D10689">
        <f>HYPERLINK("https://www.youtube.com/watch?v=yjYrxcGSWX4&amp;t=168s", "Go to time")</f>
        <v/>
      </c>
    </row>
    <row r="10690">
      <c r="A10690">
        <f>HYPERLINK("https://www.youtube.com/watch?v=p5IuRLOer6E", "Video")</f>
        <v/>
      </c>
      <c r="B10690" t="inlineStr">
        <is>
          <t>8:08</t>
        </is>
      </c>
      <c r="C10690" t="inlineStr">
        <is>
          <t>So I asked him if he'd just show me
quickly a little bit about his craft.</t>
        </is>
      </c>
      <c r="D10690">
        <f>HYPERLINK("https://www.youtube.com/watch?v=p5IuRLOer6E&amp;t=488s", "Go to time")</f>
        <v/>
      </c>
    </row>
    <row r="10691">
      <c r="A10691">
        <f>HYPERLINK("https://www.youtube.com/watch?v=p5IuRLOer6E", "Video")</f>
        <v/>
      </c>
      <c r="B10691" t="inlineStr">
        <is>
          <t>11:44</t>
        </is>
      </c>
      <c r="C10691" t="inlineStr">
        <is>
          <t>and especially those of us
who might have freaked out just a wee bit</t>
        </is>
      </c>
      <c r="D10691">
        <f>HYPERLINK("https://www.youtube.com/watch?v=p5IuRLOer6E&amp;t=704s", "Go to time")</f>
        <v/>
      </c>
    </row>
    <row r="10692">
      <c r="A10692">
        <f>HYPERLINK("https://www.youtube.com/watch?v=jltYcaQ24q4", "Video")</f>
        <v/>
      </c>
      <c r="B10692" t="inlineStr">
        <is>
          <t>7:55</t>
        </is>
      </c>
      <c r="C10692" t="inlineStr">
        <is>
          <t>It just helps us
understand it a bit better.</t>
        </is>
      </c>
      <c r="D10692">
        <f>HYPERLINK("https://www.youtube.com/watch?v=jltYcaQ24q4&amp;t=475s", "Go to time")</f>
        <v/>
      </c>
    </row>
    <row r="10693">
      <c r="A10693">
        <f>HYPERLINK("https://www.youtube.com/watch?v=8q7D4EmbSCw", "Video")</f>
        <v/>
      </c>
      <c r="B10693" t="inlineStr">
        <is>
          <t>5:02</t>
        </is>
      </c>
      <c r="C10693" t="inlineStr">
        <is>
          <t>so I decided to create an art exhibition,</t>
        </is>
      </c>
      <c r="D10693">
        <f>HYPERLINK("https://www.youtube.com/watch?v=8q7D4EmbSCw&amp;t=302s", "Go to time")</f>
        <v/>
      </c>
    </row>
    <row r="10694">
      <c r="A10694">
        <f>HYPERLINK("https://www.youtube.com/watch?v=rwigf0C6zxM", "Video")</f>
        <v/>
      </c>
      <c r="B10694" t="inlineStr">
        <is>
          <t>8:14</t>
        </is>
      </c>
      <c r="C10694" t="inlineStr">
        <is>
          <t>go a little bit into the water.</t>
        </is>
      </c>
      <c r="D10694">
        <f>HYPERLINK("https://www.youtube.com/watch?v=rwigf0C6zxM&amp;t=494s", "Go to time")</f>
        <v/>
      </c>
    </row>
    <row r="10695">
      <c r="A10695">
        <f>HYPERLINK("https://www.youtube.com/watch?v=jATCr-gQvPA", "Video")</f>
        <v/>
      </c>
      <c r="B10695" t="inlineStr">
        <is>
          <t>5:38</t>
        </is>
      </c>
      <c r="C10695" t="inlineStr">
        <is>
          <t>They were ambitious and motivated.</t>
        </is>
      </c>
      <c r="D10695">
        <f>HYPERLINK("https://www.youtube.com/watch?v=jATCr-gQvPA&amp;t=338s", "Go to time")</f>
        <v/>
      </c>
    </row>
    <row r="10696">
      <c r="A10696">
        <f>HYPERLINK("https://www.youtube.com/watch?v=Qao76IPXW-E", "Video")</f>
        <v/>
      </c>
      <c r="B10696" t="inlineStr">
        <is>
          <t>0:19</t>
        </is>
      </c>
      <c r="C10696" t="inlineStr">
        <is>
          <t>let me give you the answer:
yes, a little bit like Melinda Gates --</t>
        </is>
      </c>
      <c r="D10696">
        <f>HYPERLINK("https://www.youtube.com/watch?v=Qao76IPXW-E&amp;t=19s", "Go to time")</f>
        <v/>
      </c>
    </row>
    <row r="10697">
      <c r="A10697">
        <f>HYPERLINK("https://www.youtube.com/watch?v=TV841ZtGfj0", "Video")</f>
        <v/>
      </c>
      <c r="B10697" t="inlineStr">
        <is>
          <t>9:44</t>
        </is>
      </c>
      <c r="C10697" t="inlineStr">
        <is>
          <t>out of a gallery space
where I was actually exhibiting art.</t>
        </is>
      </c>
      <c r="D10697">
        <f>HYPERLINK("https://www.youtube.com/watch?v=TV841ZtGfj0&amp;t=584s", "Go to time")</f>
        <v/>
      </c>
    </row>
    <row r="10698">
      <c r="A10698">
        <f>HYPERLINK("https://www.youtube.com/watch?v=_2u_eHHzRto", "Video")</f>
        <v/>
      </c>
      <c r="B10698" t="inlineStr">
        <is>
          <t>1:19</t>
        </is>
      </c>
      <c r="C10698" t="inlineStr">
        <is>
          <t>the ambition I have,</t>
        </is>
      </c>
      <c r="D10698">
        <f>HYPERLINK("https://www.youtube.com/watch?v=_2u_eHHzRto&amp;t=79s", "Go to time")</f>
        <v/>
      </c>
    </row>
    <row r="10699">
      <c r="A10699">
        <f>HYPERLINK("https://www.youtube.com/watch?v=_2u_eHHzRto", "Video")</f>
        <v/>
      </c>
      <c r="B10699" t="inlineStr">
        <is>
          <t>12:37</t>
        </is>
      </c>
      <c r="C10699" t="inlineStr">
        <is>
          <t>Data scientists: we should
not be the arbiters of truth.</t>
        </is>
      </c>
      <c r="D10699">
        <f>HYPERLINK("https://www.youtube.com/watch?v=_2u_eHHzRto&amp;t=757s", "Go to time")</f>
        <v/>
      </c>
    </row>
    <row r="10700">
      <c r="A10700">
        <f>HYPERLINK("https://www.youtube.com/watch?v=HDHbjYNBwXI", "Video")</f>
        <v/>
      </c>
      <c r="B10700" t="inlineStr">
        <is>
          <t>4:25</t>
        </is>
      </c>
      <c r="C10700" t="inlineStr">
        <is>
          <t>watching brilliant bits of nonsense</t>
        </is>
      </c>
      <c r="D10700">
        <f>HYPERLINK("https://www.youtube.com/watch?v=HDHbjYNBwXI&amp;t=265s", "Go to time")</f>
        <v/>
      </c>
    </row>
    <row r="10701">
      <c r="A10701">
        <f>HYPERLINK("https://www.youtube.com/watch?v=dKq34EVggjI", "Video")</f>
        <v/>
      </c>
      <c r="B10701" t="inlineStr">
        <is>
          <t>6:49</t>
        </is>
      </c>
      <c r="C10701" t="inlineStr">
        <is>
          <t>but in this case he pushed the limits
just that little bit too far</t>
        </is>
      </c>
      <c r="D10701">
        <f>HYPERLINK("https://www.youtube.com/watch?v=dKq34EVggjI&amp;t=409s", "Go to time")</f>
        <v/>
      </c>
    </row>
    <row r="10702">
      <c r="A10702">
        <f>HYPERLINK("https://www.youtube.com/watch?v=dKq34EVggjI", "Video")</f>
        <v/>
      </c>
      <c r="B10702" t="inlineStr">
        <is>
          <t>7:55</t>
        </is>
      </c>
      <c r="C10702" t="inlineStr">
        <is>
          <t>We're currently working on one in Turkey
which is a bit longer,</t>
        </is>
      </c>
      <c r="D10702">
        <f>HYPERLINK("https://www.youtube.com/watch?v=dKq34EVggjI&amp;t=475s", "Go to time")</f>
        <v/>
      </c>
    </row>
    <row r="10703">
      <c r="A10703">
        <f>HYPERLINK("https://www.youtube.com/watch?v=dKq34EVggjI", "Video")</f>
        <v/>
      </c>
      <c r="B10703" t="inlineStr">
        <is>
          <t>10:15</t>
        </is>
      </c>
      <c r="C10703" t="inlineStr">
        <is>
          <t>The deep water means that foundations
are prohibitively expensive.</t>
        </is>
      </c>
      <c r="D10703">
        <f>HYPERLINK("https://www.youtube.com/watch?v=dKq34EVggjI&amp;t=615s", "Go to time")</f>
        <v/>
      </c>
    </row>
    <row r="10704">
      <c r="A10704">
        <f>HYPERLINK("https://www.youtube.com/watch?v=dKq34EVggjI", "Video")</f>
        <v/>
      </c>
      <c r="B10704" t="inlineStr">
        <is>
          <t>11:29</t>
        </is>
      </c>
      <c r="C10704" t="inlineStr">
        <is>
          <t>It's a bit of a mouthful.</t>
        </is>
      </c>
      <c r="D10704">
        <f>HYPERLINK("https://www.youtube.com/watch?v=dKq34EVggjI&amp;t=689s", "Go to time")</f>
        <v/>
      </c>
    </row>
    <row r="10705">
      <c r="A10705">
        <f>HYPERLINK("https://www.youtube.com/watch?v=dKq34EVggjI", "Video")</f>
        <v/>
      </c>
      <c r="B10705" t="inlineStr">
        <is>
          <t>13:29</t>
        </is>
      </c>
      <c r="C10705" t="inlineStr">
        <is>
          <t>So yes, technology happens
a bit slowly sometimes in my world.</t>
        </is>
      </c>
      <c r="D10705">
        <f>HYPERLINK("https://www.youtube.com/watch?v=dKq34EVggjI&amp;t=809s", "Go to time")</f>
        <v/>
      </c>
    </row>
    <row r="10706">
      <c r="A10706">
        <f>HYPERLINK("https://www.youtube.com/watch?v=MiI7q_4p17M", "Video")</f>
        <v/>
      </c>
      <c r="B10706" t="inlineStr">
        <is>
          <t>5:09</t>
        </is>
      </c>
      <c r="C10706" t="inlineStr">
        <is>
          <t>which roughly translates
as "the bittersweet poignancy of things,"</t>
        </is>
      </c>
      <c r="D10706">
        <f>HYPERLINK("https://www.youtube.com/watch?v=MiI7q_4p17M&amp;t=309s", "Go to time")</f>
        <v/>
      </c>
    </row>
    <row r="10707">
      <c r="A10707">
        <f>HYPERLINK("https://www.youtube.com/watch?v=TSDOXxlT0U0", "Video")</f>
        <v/>
      </c>
      <c r="B10707" t="inlineStr">
        <is>
          <t>5:23</t>
        </is>
      </c>
      <c r="C10707" t="inlineStr">
        <is>
          <t>So we do a little bit of --</t>
        </is>
      </c>
      <c r="D10707">
        <f>HYPERLINK("https://www.youtube.com/watch?v=TSDOXxlT0U0&amp;t=323s", "Go to time")</f>
        <v/>
      </c>
    </row>
    <row r="10708">
      <c r="A10708">
        <f>HYPERLINK("https://www.youtube.com/watch?v=k1oPVp63eNk", "Video")</f>
        <v/>
      </c>
      <c r="B10708" t="inlineStr">
        <is>
          <t>0:32</t>
        </is>
      </c>
      <c r="C10708" t="inlineStr">
        <is>
          <t>ambitious enough to reach
the goals of the Paris Agreement.</t>
        </is>
      </c>
      <c r="D10708">
        <f>HYPERLINK("https://www.youtube.com/watch?v=k1oPVp63eNk&amp;t=32s", "Go to time")</f>
        <v/>
      </c>
    </row>
    <row r="10709">
      <c r="A10709">
        <f>HYPERLINK("https://www.youtube.com/watch?v=k1oPVp63eNk", "Video")</f>
        <v/>
      </c>
      <c r="B10709" t="inlineStr">
        <is>
          <t>0:50</t>
        </is>
      </c>
      <c r="C10709" t="inlineStr">
        <is>
          <t>even on their unambitious targets.</t>
        </is>
      </c>
      <c r="D10709">
        <f>HYPERLINK("https://www.youtube.com/watch?v=k1oPVp63eNk&amp;t=50s", "Go to time")</f>
        <v/>
      </c>
    </row>
    <row r="10710">
      <c r="A10710">
        <f>HYPERLINK("https://www.youtube.com/watch?v=k1oPVp63eNk", "Video")</f>
        <v/>
      </c>
      <c r="B10710" t="inlineStr">
        <is>
          <t>4:00</t>
        </is>
      </c>
      <c r="C10710" t="inlineStr">
        <is>
          <t>We need more ambitious targets
and much more ambitious actions.</t>
        </is>
      </c>
      <c r="D10710">
        <f>HYPERLINK("https://www.youtube.com/watch?v=k1oPVp63eNk&amp;t=240s", "Go to time")</f>
        <v/>
      </c>
    </row>
    <row r="10711">
      <c r="A10711">
        <f>HYPERLINK("https://www.youtube.com/watch?v=MsKU2BY6yHQ", "Video")</f>
        <v/>
      </c>
      <c r="B10711" t="inlineStr">
        <is>
          <t>3:29</t>
        </is>
      </c>
      <c r="C10711" t="inlineStr">
        <is>
          <t>Bold ambition, I know.</t>
        </is>
      </c>
      <c r="D10711">
        <f>HYPERLINK("https://www.youtube.com/watch?v=MsKU2BY6yHQ&amp;t=209s", "Go to time")</f>
        <v/>
      </c>
    </row>
    <row r="10712">
      <c r="A10712">
        <f>HYPERLINK("https://www.youtube.com/watch?v=MsKU2BY6yHQ", "Video")</f>
        <v/>
      </c>
      <c r="B10712" t="inlineStr">
        <is>
          <t>5:29</t>
        </is>
      </c>
      <c r="C10712" t="inlineStr">
        <is>
          <t>no matter the cost
to the planet and its inhabitants.</t>
        </is>
      </c>
      <c r="D10712">
        <f>HYPERLINK("https://www.youtube.com/watch?v=MsKU2BY6yHQ&amp;t=329s", "Go to time")</f>
        <v/>
      </c>
    </row>
    <row r="10713">
      <c r="A10713">
        <f>HYPERLINK("https://www.youtube.com/watch?v=spwXNUFHhAg", "Video")</f>
        <v/>
      </c>
      <c r="B10713" t="inlineStr">
        <is>
          <t>12:53</t>
        </is>
      </c>
      <c r="C10713" t="inlineStr">
        <is>
          <t>rather than compel their children
to embody arbitrary gender roles.</t>
        </is>
      </c>
      <c r="D10713">
        <f>HYPERLINK("https://www.youtube.com/watch?v=spwXNUFHhAg&amp;t=773s", "Go to time")</f>
        <v/>
      </c>
    </row>
    <row r="10714">
      <c r="A10714">
        <f>HYPERLINK("https://www.youtube.com/watch?v=hTnJYRMixKs", "Video")</f>
        <v/>
      </c>
      <c r="B10714" t="inlineStr">
        <is>
          <t>1:08</t>
        </is>
      </c>
      <c r="C10714" t="inlineStr">
        <is>
          <t>and Unreal Engine and a bit more.</t>
        </is>
      </c>
      <c r="D10714">
        <f>HYPERLINK("https://www.youtube.com/watch?v=hTnJYRMixKs&amp;t=68s", "Go to time")</f>
        <v/>
      </c>
    </row>
    <row r="10715">
      <c r="A10715">
        <f>HYPERLINK("https://www.youtube.com/watch?v=hTnJYRMixKs", "Video")</f>
        <v/>
      </c>
      <c r="B10715" t="inlineStr">
        <is>
          <t>8:51</t>
        </is>
      </c>
      <c r="C10715" t="inlineStr">
        <is>
          <t>imma: Well, I think it rained a little bit
this morning, but it’s quite sunny,</t>
        </is>
      </c>
      <c r="D10715">
        <f>HYPERLINK("https://www.youtube.com/watch?v=hTnJYRMixKs&amp;t=531s", "Go to time")</f>
        <v/>
      </c>
    </row>
    <row r="10716">
      <c r="A10716">
        <f>HYPERLINK("https://www.youtube.com/watch?v=CyElHdaqkjo", "Video")</f>
        <v/>
      </c>
      <c r="B10716" t="inlineStr">
        <is>
          <t>8:00</t>
        </is>
      </c>
      <c r="C10716" t="inlineStr">
        <is>
          <t>and far more concerned that they have
the habits, the mindset, the skill set,</t>
        </is>
      </c>
      <c r="D10716">
        <f>HYPERLINK("https://www.youtube.com/watch?v=CyElHdaqkjo&amp;t=480s", "Go to time")</f>
        <v/>
      </c>
    </row>
    <row r="10717">
      <c r="A10717">
        <f>HYPERLINK("https://www.youtube.com/watch?v=dxA6D4dJWn8", "Video")</f>
        <v/>
      </c>
      <c r="B10717" t="inlineStr">
        <is>
          <t>4:35</t>
        </is>
      </c>
      <c r="C10717" t="inlineStr">
        <is>
          <t>gives us a bit of perspective
that we might not otherwise have.</t>
        </is>
      </c>
      <c r="D10717">
        <f>HYPERLINK("https://www.youtube.com/watch?v=dxA6D4dJWn8&amp;t=275s", "Go to time")</f>
        <v/>
      </c>
    </row>
    <row r="10718">
      <c r="A10718">
        <f>HYPERLINK("https://www.youtube.com/watch?v=Uq3MCf_6HtI", "Video")</f>
        <v/>
      </c>
      <c r="B10718" t="inlineStr">
        <is>
          <t>2:23</t>
        </is>
      </c>
      <c r="C10718" t="inlineStr">
        <is>
          <t>"Let's let that big old cloud of blood
dissipate a bit before we have to surface</t>
        </is>
      </c>
      <c r="D10718">
        <f>HYPERLINK("https://www.youtube.com/watch?v=Uq3MCf_6HtI&amp;t=143s", "Go to time")</f>
        <v/>
      </c>
    </row>
    <row r="10719">
      <c r="A10719">
        <f>HYPERLINK("https://www.youtube.com/watch?v=4OXhOXULEbA", "Video")</f>
        <v/>
      </c>
      <c r="B10719" t="inlineStr">
        <is>
          <t>4:42</t>
        </is>
      </c>
      <c r="C10719" t="inlineStr">
        <is>
          <t>which is an exorbitant amount
for immigrants,</t>
        </is>
      </c>
      <c r="D10719">
        <f>HYPERLINK("https://www.youtube.com/watch?v=4OXhOXULEbA&amp;t=282s", "Go to time")</f>
        <v/>
      </c>
    </row>
    <row r="10720">
      <c r="A10720">
        <f>HYPERLINK("https://www.youtube.com/watch?v=4OXhOXULEbA", "Video")</f>
        <v/>
      </c>
      <c r="B10720" t="inlineStr">
        <is>
          <t>7:17</t>
        </is>
      </c>
      <c r="C10720" t="inlineStr">
        <is>
          <t>But let me just give you
a bit of a taste of this.</t>
        </is>
      </c>
      <c r="D10720">
        <f>HYPERLINK("https://www.youtube.com/watch?v=4OXhOXULEbA&amp;t=437s", "Go to time")</f>
        <v/>
      </c>
    </row>
    <row r="10721">
      <c r="A10721">
        <f>HYPERLINK("https://www.youtube.com/watch?v=EG6QA47rMNg", "Video")</f>
        <v/>
      </c>
      <c r="B10721" t="inlineStr">
        <is>
          <t>4:38</t>
        </is>
      </c>
      <c r="C10721" t="inlineStr">
        <is>
          <t>It's very easy to fall
into the rabbit hole</t>
        </is>
      </c>
      <c r="D10721">
        <f>HYPERLINK("https://www.youtube.com/watch?v=EG6QA47rMNg&amp;t=278s", "Go to time")</f>
        <v/>
      </c>
    </row>
    <row r="10722">
      <c r="A10722">
        <f>HYPERLINK("https://www.youtube.com/watch?v=9KvZy09vaNg", "Video")</f>
        <v/>
      </c>
      <c r="B10722" t="inlineStr">
        <is>
          <t>8:50</t>
        </is>
      </c>
      <c r="C10722" t="inlineStr">
        <is>
          <t>So you come out of this exhibit,</t>
        </is>
      </c>
      <c r="D10722">
        <f>HYPERLINK("https://www.youtube.com/watch?v=9KvZy09vaNg&amp;t=530s", "Go to time")</f>
        <v/>
      </c>
    </row>
    <row r="10723">
      <c r="A10723">
        <f>HYPERLINK("https://www.youtube.com/watch?v=-vqV-gHa2FE", "Video")</f>
        <v/>
      </c>
      <c r="B10723" t="inlineStr">
        <is>
          <t>9:12</t>
        </is>
      </c>
      <c r="C10723" t="inlineStr">
        <is>
          <t>To some, these changes
may seem a bit drastic.</t>
        </is>
      </c>
      <c r="D10723">
        <f>HYPERLINK("https://www.youtube.com/watch?v=-vqV-gHa2FE&amp;t=552s", "Go to time")</f>
        <v/>
      </c>
    </row>
    <row r="10724">
      <c r="A10724">
        <f>HYPERLINK("https://www.youtube.com/watch?v=-vqV-gHa2FE", "Video")</f>
        <v/>
      </c>
      <c r="B10724" t="inlineStr">
        <is>
          <t>15:11</t>
        </is>
      </c>
      <c r="C10724" t="inlineStr">
        <is>
          <t>The success of every spelling reform
that affects deeply rooted habits</t>
        </is>
      </c>
      <c r="D10724">
        <f>HYPERLINK("https://www.youtube.com/watch?v=-vqV-gHa2FE&amp;t=911s", "Go to time")</f>
        <v/>
      </c>
    </row>
    <row r="10725">
      <c r="A10725">
        <f>HYPERLINK("https://www.youtube.com/watch?v=-vqV-gHa2FE", "Video")</f>
        <v/>
      </c>
      <c r="B10725" t="inlineStr">
        <is>
          <t>15:45</t>
        </is>
      </c>
      <c r="C10725" t="inlineStr">
        <is>
          <t>all the habits we practice
just for the sake of tradition,</t>
        </is>
      </c>
      <c r="D10725">
        <f>HYPERLINK("https://www.youtube.com/watch?v=-vqV-gHa2FE&amp;t=945s", "Go to time")</f>
        <v/>
      </c>
    </row>
    <row r="10726">
      <c r="A10726">
        <f>HYPERLINK("https://www.youtube.com/watch?v=Dar8P3r7GYA", "Video")</f>
        <v/>
      </c>
      <c r="B10726" t="inlineStr">
        <is>
          <t>0:40</t>
        </is>
      </c>
      <c r="C10726" t="inlineStr">
        <is>
          <t>we can launch into orbit</t>
        </is>
      </c>
      <c r="D10726">
        <f>HYPERLINK("https://www.youtube.com/watch?v=Dar8P3r7GYA&amp;t=40s", "Go to time")</f>
        <v/>
      </c>
    </row>
    <row r="10727">
      <c r="A10727">
        <f>HYPERLINK("https://www.youtube.com/watch?v=Dar8P3r7GYA", "Video")</f>
        <v/>
      </c>
      <c r="B10727" t="inlineStr">
        <is>
          <t>3:06</t>
        </is>
      </c>
      <c r="C10727" t="inlineStr">
        <is>
          <t>of actually putting humans into orbit.</t>
        </is>
      </c>
      <c r="D10727">
        <f>HYPERLINK("https://www.youtube.com/watch?v=Dar8P3r7GYA&amp;t=186s", "Go to time")</f>
        <v/>
      </c>
    </row>
    <row r="10728">
      <c r="A10728">
        <f>HYPERLINK("https://www.youtube.com/watch?v=Dar8P3r7GYA", "Video")</f>
        <v/>
      </c>
      <c r="B10728" t="inlineStr">
        <is>
          <t>9:57</t>
        </is>
      </c>
      <c r="C10728" t="inlineStr">
        <is>
          <t>is a massive network of literally
thousands of low earth orbit satellites</t>
        </is>
      </c>
      <c r="D10728">
        <f>HYPERLINK("https://www.youtube.com/watch?v=Dar8P3r7GYA&amp;t=597s", "Go to time")</f>
        <v/>
      </c>
    </row>
    <row r="10729">
      <c r="A10729">
        <f>HYPERLINK("https://www.youtube.com/watch?v=Dar8P3r7GYA", "Video")</f>
        <v/>
      </c>
      <c r="B10729" t="inlineStr">
        <is>
          <t>11:12</t>
        </is>
      </c>
      <c r="C10729" t="inlineStr">
        <is>
          <t>This would a huge increase in the total
number of satellites in orbit.</t>
        </is>
      </c>
      <c r="D10729">
        <f>HYPERLINK("https://www.youtube.com/watch?v=Dar8P3r7GYA&amp;t=672s", "Go to time")</f>
        <v/>
      </c>
    </row>
    <row r="10730">
      <c r="A10730">
        <f>HYPERLINK("https://www.youtube.com/watch?v=Dar8P3r7GYA", "Video")</f>
        <v/>
      </c>
      <c r="B10730" t="inlineStr">
        <is>
          <t>11:27</t>
        </is>
      </c>
      <c r="C10730" t="inlineStr">
        <is>
          <t>You could basically spew
a bunch of particles in orbit</t>
        </is>
      </c>
      <c r="D10730">
        <f>HYPERLINK("https://www.youtube.com/watch?v=Dar8P3r7GYA&amp;t=687s", "Go to time")</f>
        <v/>
      </c>
    </row>
    <row r="10731">
      <c r="A10731">
        <f>HYPERLINK("https://www.youtube.com/watch?v=Dar8P3r7GYA", "Video")</f>
        <v/>
      </c>
      <c r="B10731" t="inlineStr">
        <is>
          <t>11:31</t>
        </is>
      </c>
      <c r="C10731" t="inlineStr">
        <is>
          <t>that could take out that orbit
from being useful for decades or longer.</t>
        </is>
      </c>
      <c r="D10731">
        <f>HYPERLINK("https://www.youtube.com/watch?v=Dar8P3r7GYA&amp;t=691s", "Go to time")</f>
        <v/>
      </c>
    </row>
    <row r="10732">
      <c r="A10732">
        <f>HYPERLINK("https://www.youtube.com/watch?v=Dar8P3r7GYA", "Video")</f>
        <v/>
      </c>
      <c r="B10732" t="inlineStr">
        <is>
          <t>11:42</t>
        </is>
      </c>
      <c r="C10732" t="inlineStr">
        <is>
          <t>so it doesn't end up being
a rocket carcass orbiting earth.</t>
        </is>
      </c>
      <c r="D10732">
        <f>HYPERLINK("https://www.youtube.com/watch?v=Dar8P3r7GYA&amp;t=702s", "Go to time")</f>
        <v/>
      </c>
    </row>
    <row r="10733">
      <c r="A10733">
        <f>HYPERLINK("https://www.youtube.com/watch?v=Dar8P3r7GYA", "Video")</f>
        <v/>
      </c>
      <c r="B10733" t="inlineStr">
        <is>
          <t>13:04</t>
        </is>
      </c>
      <c r="C10733" t="inlineStr">
        <is>
          <t>GS: Yes. BFR can take the satellites
that we're currently taking to orbit</t>
        </is>
      </c>
      <c r="D10733">
        <f>HYPERLINK("https://www.youtube.com/watch?v=Dar8P3r7GYA&amp;t=784s", "Go to time")</f>
        <v/>
      </c>
    </row>
    <row r="10734">
      <c r="A10734">
        <f>HYPERLINK("https://www.youtube.com/watch?v=Dar8P3r7GYA", "Video")</f>
        <v/>
      </c>
      <c r="B10734" t="inlineStr">
        <is>
          <t>13:08</t>
        </is>
      </c>
      <c r="C10734" t="inlineStr">
        <is>
          <t>to many orbits.</t>
        </is>
      </c>
      <c r="D10734">
        <f>HYPERLINK("https://www.youtube.com/watch?v=Dar8P3r7GYA&amp;t=788s", "Go to time")</f>
        <v/>
      </c>
    </row>
    <row r="10735">
      <c r="A10735">
        <f>HYPERLINK("https://www.youtube.com/watch?v=Dar8P3r7GYA", "Video")</f>
        <v/>
      </c>
      <c r="B10735" t="inlineStr">
        <is>
          <t>13:09</t>
        </is>
      </c>
      <c r="C10735" t="inlineStr">
        <is>
          <t>It allows for even a new class
of satellites to be delivered to orbit.</t>
        </is>
      </c>
      <c r="D10735">
        <f>HYPERLINK("https://www.youtube.com/watch?v=Dar8P3r7GYA&amp;t=789s", "Go to time")</f>
        <v/>
      </c>
    </row>
    <row r="10736">
      <c r="A10736">
        <f>HYPERLINK("https://www.youtube.com/watch?v=Dar8P3r7GYA", "Video")</f>
        <v/>
      </c>
      <c r="B10736" t="inlineStr">
        <is>
          <t>16:14</t>
        </is>
      </c>
      <c r="C10736" t="inlineStr">
        <is>
          <t>And let's talk a little bit
about the business.</t>
        </is>
      </c>
      <c r="D10736">
        <f>HYPERLINK("https://www.youtube.com/watch?v=Dar8P3r7GYA&amp;t=974s", "Go to time")</f>
        <v/>
      </c>
    </row>
    <row r="10737">
      <c r="A10737">
        <f>HYPERLINK("https://www.youtube.com/watch?v=Dar8P3r7GYA", "Video")</f>
        <v/>
      </c>
      <c r="B10737" t="inlineStr">
        <is>
          <t>16:37</t>
        </is>
      </c>
      <c r="C10737" t="inlineStr">
        <is>
          <t>and the fuel is
a little bit more expensive,</t>
        </is>
      </c>
      <c r="D10737">
        <f>HYPERLINK("https://www.youtube.com/watch?v=Dar8P3r7GYA&amp;t=997s", "Go to time")</f>
        <v/>
      </c>
    </row>
    <row r="10738">
      <c r="A10738">
        <f>HYPERLINK("https://www.youtube.com/watch?v=Dar8P3r7GYA", "Video")</f>
        <v/>
      </c>
      <c r="B10738" t="inlineStr">
        <is>
          <t>17:40</t>
        </is>
      </c>
      <c r="C10738" t="inlineStr">
        <is>
          <t>to go a little bit further than Shanghai.</t>
        </is>
      </c>
      <c r="D10738">
        <f>HYPERLINK("https://www.youtube.com/watch?v=Dar8P3r7GYA&amp;t=1060s", "Go to time")</f>
        <v/>
      </c>
    </row>
    <row r="10739">
      <c r="A10739">
        <f>HYPERLINK("https://www.youtube.com/watch?v=Dar8P3r7GYA", "Video")</f>
        <v/>
      </c>
      <c r="B10739" t="inlineStr">
        <is>
          <t>17:56</t>
        </is>
      </c>
      <c r="C10739" t="inlineStr">
        <is>
          <t>from others we've shown, and then
there's a couple of new bits to it.</t>
        </is>
      </c>
      <c r="D10739">
        <f>HYPERLINK("https://www.youtube.com/watch?v=Dar8P3r7GYA&amp;t=1076s", "Go to time")</f>
        <v/>
      </c>
    </row>
    <row r="10740">
      <c r="A10740">
        <f>HYPERLINK("https://www.youtube.com/watch?v=Dar8P3r7GYA", "Video")</f>
        <v/>
      </c>
      <c r="B10740" t="inlineStr">
        <is>
          <t>18:11</t>
        </is>
      </c>
      <c r="C10740" t="inlineStr">
        <is>
          <t>The booster is going to drop
the spaceship off in orbit,</t>
        </is>
      </c>
      <c r="D10740">
        <f>HYPERLINK("https://www.youtube.com/watch?v=Dar8P3r7GYA&amp;t=1091s", "Go to time")</f>
        <v/>
      </c>
    </row>
    <row r="10741">
      <c r="A10741">
        <f>HYPERLINK("https://www.youtube.com/watch?v=Dar8P3r7GYA", "Video")</f>
        <v/>
      </c>
      <c r="B10741" t="inlineStr">
        <is>
          <t>18:14</t>
        </is>
      </c>
      <c r="C10741" t="inlineStr">
        <is>
          <t>low earth orbit,</t>
        </is>
      </c>
      <c r="D10741">
        <f>HYPERLINK("https://www.youtube.com/watch?v=Dar8P3r7GYA&amp;t=1094s", "Go to time")</f>
        <v/>
      </c>
    </row>
    <row r="10742">
      <c r="A10742">
        <f>HYPERLINK("https://www.youtube.com/watch?v=Dar8P3r7GYA", "Video")</f>
        <v/>
      </c>
      <c r="B10742" t="inlineStr">
        <is>
          <t>18:38</t>
        </is>
      </c>
      <c r="C10742" t="inlineStr">
        <is>
          <t>put it on that booster, get that in orbit,</t>
        </is>
      </c>
      <c r="D10742">
        <f>HYPERLINK("https://www.youtube.com/watch?v=Dar8P3r7GYA&amp;t=1118s", "Go to time")</f>
        <v/>
      </c>
    </row>
    <row r="10743">
      <c r="A10743">
        <f>HYPERLINK("https://www.youtube.com/watch?v=Dar8P3r7GYA", "Video")</f>
        <v/>
      </c>
      <c r="B10743" t="inlineStr">
        <is>
          <t>19:57</t>
        </is>
      </c>
      <c r="C10743" t="inlineStr">
        <is>
          <t>but I think we need
to expand our minds a little bit.</t>
        </is>
      </c>
      <c r="D10743">
        <f>HYPERLINK("https://www.youtube.com/watch?v=Dar8P3r7GYA&amp;t=1197s", "Go to time")</f>
        <v/>
      </c>
    </row>
    <row r="10744">
      <c r="A10744">
        <f>HYPERLINK("https://www.youtube.com/watch?v=Dar8P3r7GYA", "Video")</f>
        <v/>
      </c>
      <c r="B10744" t="inlineStr">
        <is>
          <t>21:13</t>
        </is>
      </c>
      <c r="C10744" t="inlineStr">
        <is>
          <t>There's work to do there
to make it habitable.</t>
        </is>
      </c>
      <c r="D10744">
        <f>HYPERLINK("https://www.youtube.com/watch?v=Dar8P3r7GYA&amp;t=1273s", "Go to time")</f>
        <v/>
      </c>
    </row>
    <row r="10745">
      <c r="A10745">
        <f>HYPERLINK("https://www.youtube.com/watch?v=aJgXcVkZNG8", "Video")</f>
        <v/>
      </c>
      <c r="B10745" t="inlineStr">
        <is>
          <t>3:17</t>
        </is>
      </c>
      <c r="C10745" t="inlineStr">
        <is>
          <t>a little bit of what students see.</t>
        </is>
      </c>
      <c r="D10745">
        <f>HYPERLINK("https://www.youtube.com/watch?v=aJgXcVkZNG8&amp;t=197s", "Go to time")</f>
        <v/>
      </c>
    </row>
    <row r="10746">
      <c r="A10746">
        <f>HYPERLINK("https://www.youtube.com/watch?v=o_XVt5rdpFY", "Video")</f>
        <v/>
      </c>
      <c r="B10746" t="inlineStr">
        <is>
          <t>6:43</t>
        </is>
      </c>
      <c r="C10746" t="inlineStr">
        <is>
          <t>But we can create that time
if we just plan a bit ahead.</t>
        </is>
      </c>
      <c r="D10746">
        <f>HYPERLINK("https://www.youtube.com/watch?v=o_XVt5rdpFY&amp;t=403s", "Go to time")</f>
        <v/>
      </c>
    </row>
    <row r="10747">
      <c r="A10747">
        <f>HYPERLINK("https://www.youtube.com/watch?v=o_XVt5rdpFY", "Video")</f>
        <v/>
      </c>
      <c r="B10747" t="inlineStr">
        <is>
          <t>7:33</t>
        </is>
      </c>
      <c r="C10747" t="inlineStr">
        <is>
          <t>you need also a bit of patience.</t>
        </is>
      </c>
      <c r="D10747">
        <f>HYPERLINK("https://www.youtube.com/watch?v=o_XVt5rdpFY&amp;t=453s", "Go to time")</f>
        <v/>
      </c>
    </row>
    <row r="10748">
      <c r="A10748">
        <f>HYPERLINK("https://www.youtube.com/watch?v=kCudFI4tcpg", "Video")</f>
        <v/>
      </c>
      <c r="B10748" t="inlineStr">
        <is>
          <t>1:15</t>
        </is>
      </c>
      <c r="C10748" t="inlineStr">
        <is>
          <t>And these questions
sent me down a rabbit hole.</t>
        </is>
      </c>
      <c r="D10748">
        <f>HYPERLINK("https://www.youtube.com/watch?v=kCudFI4tcpg&amp;t=75s", "Go to time")</f>
        <v/>
      </c>
    </row>
    <row r="10749">
      <c r="A10749">
        <f>HYPERLINK("https://www.youtube.com/watch?v=kCudFI4tcpg", "Video")</f>
        <v/>
      </c>
      <c r="B10749" t="inlineStr">
        <is>
          <t>6:17</t>
        </is>
      </c>
      <c r="C10749" t="inlineStr">
        <is>
          <t>The second one is a little bit hard.
Maybe it's a novel task.</t>
        </is>
      </c>
      <c r="D10749">
        <f>HYPERLINK("https://www.youtube.com/watch?v=kCudFI4tcpg&amp;t=377s", "Go to time")</f>
        <v/>
      </c>
    </row>
    <row r="10750">
      <c r="A10750">
        <f>HYPERLINK("https://www.youtube.com/watch?v=kCudFI4tcpg", "Video")</f>
        <v/>
      </c>
      <c r="B10750" t="inlineStr">
        <is>
          <t>7:38</t>
        </is>
      </c>
      <c r="C10750" t="inlineStr">
        <is>
          <t>Now to step back a little bit,</t>
        </is>
      </c>
      <c r="D10750">
        <f>HYPERLINK("https://www.youtube.com/watch?v=kCudFI4tcpg&amp;t=458s", "Go to time")</f>
        <v/>
      </c>
    </row>
    <row r="10751">
      <c r="A10751">
        <f>HYPERLINK("https://www.youtube.com/watch?v=FQfWKSdIreM", "Video")</f>
        <v/>
      </c>
      <c r="B10751" t="inlineStr">
        <is>
          <t>9:12</t>
        </is>
      </c>
      <c r="C10751" t="inlineStr">
        <is>
          <t>The typography and the shape of letters
work a bit like gestures</t>
        </is>
      </c>
      <c r="D10751">
        <f>HYPERLINK("https://www.youtube.com/watch?v=FQfWKSdIreM&amp;t=552s", "Go to time")</f>
        <v/>
      </c>
    </row>
    <row r="10752">
      <c r="A10752">
        <f>HYPERLINK("https://www.youtube.com/watch?v=oIzinzHQcWg", "Video")</f>
        <v/>
      </c>
      <c r="B10752" t="inlineStr">
        <is>
          <t>3:45</t>
        </is>
      </c>
      <c r="C10752" t="inlineStr">
        <is>
          <t>things become a little bit more abstract.</t>
        </is>
      </c>
      <c r="D10752">
        <f>HYPERLINK("https://www.youtube.com/watch?v=oIzinzHQcWg&amp;t=225s", "Go to time")</f>
        <v/>
      </c>
    </row>
    <row r="10753">
      <c r="A10753">
        <f>HYPERLINK("https://www.youtube.com/watch?v=oIzinzHQcWg", "Video")</f>
        <v/>
      </c>
      <c r="B10753" t="inlineStr">
        <is>
          <t>8:18</t>
        </is>
      </c>
      <c r="C10753" t="inlineStr">
        <is>
          <t>and that with a truly ambitious
design proposition,</t>
        </is>
      </c>
      <c r="D10753">
        <f>HYPERLINK("https://www.youtube.com/watch?v=oIzinzHQcWg&amp;t=498s", "Go to time")</f>
        <v/>
      </c>
    </row>
    <row r="10754">
      <c r="A10754">
        <f>HYPERLINK("https://www.youtube.com/watch?v=xb0nLpdWttA", "Video")</f>
        <v/>
      </c>
      <c r="B10754" t="inlineStr">
        <is>
          <t>11:21</t>
        </is>
      </c>
      <c r="C10754" t="inlineStr">
        <is>
          <t>that I find myself
thinking about quite a bit.</t>
        </is>
      </c>
      <c r="D10754">
        <f>HYPERLINK("https://www.youtube.com/watch?v=xb0nLpdWttA&amp;t=681s", "Go to time")</f>
        <v/>
      </c>
    </row>
    <row r="10755">
      <c r="A10755">
        <f>HYPERLINK("https://www.youtube.com/watch?v=oIZDtqWX6Fk", "Video")</f>
        <v/>
      </c>
      <c r="B10755" t="inlineStr">
        <is>
          <t>4:59</t>
        </is>
      </c>
      <c r="C10755" t="inlineStr">
        <is>
          <t>such a raw, bitter kind
of white identity politics.</t>
        </is>
      </c>
      <c r="D10755">
        <f>HYPERLINK("https://www.youtube.com/watch?v=oIZDtqWX6Fk&amp;t=299s", "Go to time")</f>
        <v/>
      </c>
    </row>
    <row r="10756">
      <c r="A10756">
        <f>HYPERLINK("https://www.youtube.com/watch?v=UXElAVBiXXs", "Video")</f>
        <v/>
      </c>
      <c r="B10756" t="inlineStr">
        <is>
          <t>6:39</t>
        </is>
      </c>
      <c r="C10756" t="inlineStr">
        <is>
          <t>Don't worry, it can actually take
a little bit of time</t>
        </is>
      </c>
      <c r="D10756">
        <f>HYPERLINK("https://www.youtube.com/watch?v=UXElAVBiXXs&amp;t=399s", "Go to time")</f>
        <v/>
      </c>
    </row>
    <row r="10757">
      <c r="A10757">
        <f>HYPERLINK("https://www.youtube.com/watch?v=UXElAVBiXXs", "Video")</f>
        <v/>
      </c>
      <c r="B10757" t="inlineStr">
        <is>
          <t>8:53</t>
        </is>
      </c>
      <c r="C10757" t="inlineStr">
        <is>
          <t>DB: Well, let's talk
about SPARK a little bit,</t>
        </is>
      </c>
      <c r="D10757">
        <f>HYPERLINK("https://www.youtube.com/watch?v=UXElAVBiXXs&amp;t=533s", "Go to time")</f>
        <v/>
      </c>
    </row>
    <row r="10758">
      <c r="A10758">
        <f>HYPERLINK("https://www.youtube.com/watch?v=UXElAVBiXXs", "Video")</f>
        <v/>
      </c>
      <c r="B10758" t="inlineStr">
        <is>
          <t>9:08</t>
        </is>
      </c>
      <c r="C10758" t="inlineStr">
        <is>
          <t>So tell us a little bit more
about the importance of noticing</t>
        </is>
      </c>
      <c r="D10758">
        <f>HYPERLINK("https://www.youtube.com/watch?v=UXElAVBiXXs&amp;t=548s", "Go to time")</f>
        <v/>
      </c>
    </row>
    <row r="10759">
      <c r="A10759">
        <f>HYPERLINK("https://www.youtube.com/watch?v=UXElAVBiXXs", "Video")</f>
        <v/>
      </c>
      <c r="B10759" t="inlineStr">
        <is>
          <t>11:37</t>
        </is>
      </c>
      <c r="C10759" t="inlineStr">
        <is>
          <t>It might take a bit to get over
your inertia at first, but it is worth it.</t>
        </is>
      </c>
      <c r="D10759">
        <f>HYPERLINK("https://www.youtube.com/watch?v=UXElAVBiXXs&amp;t=697s", "Go to time")</f>
        <v/>
      </c>
    </row>
    <row r="10760">
      <c r="A10760">
        <f>HYPERLINK("https://www.youtube.com/watch?v=UXElAVBiXXs", "Video")</f>
        <v/>
      </c>
      <c r="B10760" t="inlineStr">
        <is>
          <t>14:07</t>
        </is>
      </c>
      <c r="C10760" t="inlineStr">
        <is>
          <t>of breaking the rules,
just like, a little bit, you know.</t>
        </is>
      </c>
      <c r="D10760">
        <f>HYPERLINK("https://www.youtube.com/watch?v=UXElAVBiXXs&amp;t=847s", "Go to time")</f>
        <v/>
      </c>
    </row>
    <row r="10761">
      <c r="A10761">
        <f>HYPERLINK("https://www.youtube.com/watch?v=UXElAVBiXXs", "Video")</f>
        <v/>
      </c>
      <c r="B10761" t="inlineStr">
        <is>
          <t>14:51</t>
        </is>
      </c>
      <c r="C10761" t="inlineStr">
        <is>
          <t>So maybe this is a little bit separate,</t>
        </is>
      </c>
      <c r="D10761">
        <f>HYPERLINK("https://www.youtube.com/watch?v=UXElAVBiXXs&amp;t=891s", "Go to time")</f>
        <v/>
      </c>
    </row>
    <row r="10762">
      <c r="A10762">
        <f>HYPERLINK("https://www.youtube.com/watch?v=7YoLMG2qja4", "Video")</f>
        <v/>
      </c>
      <c r="B10762" t="inlineStr">
        <is>
          <t>6:21</t>
        </is>
      </c>
      <c r="C10762" t="inlineStr">
        <is>
          <t>do so with a little bit more humility,</t>
        </is>
      </c>
      <c r="D10762">
        <f>HYPERLINK("https://www.youtube.com/watch?v=7YoLMG2qja4&amp;t=381s", "Go to time")</f>
        <v/>
      </c>
    </row>
    <row r="10763">
      <c r="A10763">
        <f>HYPERLINK("https://www.youtube.com/watch?v=oDtolKlL7jE", "Video")</f>
        <v/>
      </c>
      <c r="B10763" t="inlineStr">
        <is>
          <t>0:42</t>
        </is>
      </c>
      <c r="C10763" t="inlineStr">
        <is>
          <t>may I go back a bit,</t>
        </is>
      </c>
      <c r="D10763">
        <f>HYPERLINK("https://www.youtube.com/watch?v=oDtolKlL7jE&amp;t=42s", "Go to time")</f>
        <v/>
      </c>
    </row>
    <row r="10764">
      <c r="A10764">
        <f>HYPERLINK("https://www.youtube.com/watch?v=qN8vzlcYAE8", "Video")</f>
        <v/>
      </c>
      <c r="B10764" t="inlineStr">
        <is>
          <t>11:07</t>
        </is>
      </c>
      <c r="C10764" t="inlineStr">
        <is>
          <t>and the microbial life that inhabits soil</t>
        </is>
      </c>
      <c r="D10764">
        <f>HYPERLINK("https://www.youtube.com/watch?v=qN8vzlcYAE8&amp;t=667s", "Go to time")</f>
        <v/>
      </c>
    </row>
    <row r="10765">
      <c r="A10765">
        <f>HYPERLINK("https://www.youtube.com/watch?v=kmIZeEu-3CY", "Video")</f>
        <v/>
      </c>
      <c r="B10765" t="inlineStr">
        <is>
          <t>2:56</t>
        </is>
      </c>
      <c r="C10765" t="inlineStr">
        <is>
          <t>And ecologically important habitats,</t>
        </is>
      </c>
      <c r="D10765">
        <f>HYPERLINK("https://www.youtube.com/watch?v=kmIZeEu-3CY&amp;t=176s", "Go to time")</f>
        <v/>
      </c>
    </row>
    <row r="10766">
      <c r="A10766">
        <f>HYPERLINK("https://www.youtube.com/watch?v=HFKmpyf9ucQ", "Video")</f>
        <v/>
      </c>
      <c r="B10766" t="inlineStr">
        <is>
          <t>6:44</t>
        </is>
      </c>
      <c r="C10766" t="inlineStr">
        <is>
          <t>Are you a bit detached?</t>
        </is>
      </c>
      <c r="D10766">
        <f>HYPERLINK("https://www.youtube.com/watch?v=HFKmpyf9ucQ&amp;t=404s", "Go to time")</f>
        <v/>
      </c>
    </row>
    <row r="10767">
      <c r="A10767">
        <f>HYPERLINK("https://www.youtube.com/watch?v=HFKmpyf9ucQ", "Video")</f>
        <v/>
      </c>
      <c r="B10767" t="inlineStr">
        <is>
          <t>7:32</t>
        </is>
      </c>
      <c r="C10767" t="inlineStr">
        <is>
          <t>is an understanding that it’s almost
inevitable that you’re detached a bit,</t>
        </is>
      </c>
      <c r="D10767">
        <f>HYPERLINK("https://www.youtube.com/watch?v=HFKmpyf9ucQ&amp;t=452s", "Go to time")</f>
        <v/>
      </c>
    </row>
    <row r="10768">
      <c r="A10768">
        <f>HYPERLINK("https://www.youtube.com/watch?v=E_fB_s_TC5k", "Video")</f>
        <v/>
      </c>
      <c r="B10768" t="inlineStr">
        <is>
          <t>0:34</t>
        </is>
      </c>
      <c r="C10768" t="inlineStr">
        <is>
          <t>And besides, skylines
are highly specific urban habitats</t>
        </is>
      </c>
      <c r="D10768">
        <f>HYPERLINK("https://www.youtube.com/watch?v=E_fB_s_TC5k&amp;t=34s", "Go to time")</f>
        <v/>
      </c>
    </row>
    <row r="10769">
      <c r="A10769">
        <f>HYPERLINK("https://www.youtube.com/watch?v=E_fB_s_TC5k", "Video")</f>
        <v/>
      </c>
      <c r="B10769" t="inlineStr">
        <is>
          <t>0:42</t>
        </is>
      </c>
      <c r="C10769" t="inlineStr">
        <is>
          <t>But today, urban habitats
are out of balance.</t>
        </is>
      </c>
      <c r="D10769">
        <f>HYPERLINK("https://www.youtube.com/watch?v=E_fB_s_TC5k&amp;t=42s", "Go to time")</f>
        <v/>
      </c>
    </row>
    <row r="10770">
      <c r="A10770">
        <f>HYPERLINK("https://www.youtube.com/watch?v=E_fB_s_TC5k", "Video")</f>
        <v/>
      </c>
      <c r="B10770" t="inlineStr">
        <is>
          <t>11:37</t>
        </is>
      </c>
      <c r="C10770" t="inlineStr">
        <is>
          <t>in our urban habitats.</t>
        </is>
      </c>
      <c r="D10770">
        <f>HYPERLINK("https://www.youtube.com/watch?v=E_fB_s_TC5k&amp;t=697s", "Go to time")</f>
        <v/>
      </c>
    </row>
    <row r="10771">
      <c r="A10771">
        <f>HYPERLINK("https://www.youtube.com/watch?v=p8ReF00JP5w", "Video")</f>
        <v/>
      </c>
      <c r="B10771" t="inlineStr">
        <is>
          <t>0:33</t>
        </is>
      </c>
      <c r="C10771" t="inlineStr">
        <is>
          <t>they possess enough venom
to kill 10 people in a single bite,</t>
        </is>
      </c>
      <c r="D10771">
        <f>HYPERLINK("https://www.youtube.com/watch?v=p8ReF00JP5w&amp;t=33s", "Go to time")</f>
        <v/>
      </c>
    </row>
    <row r="10772">
      <c r="A10772">
        <f>HYPERLINK("https://www.youtube.com/watch?v=p8ReF00JP5w", "Video")</f>
        <v/>
      </c>
      <c r="B10772" t="inlineStr">
        <is>
          <t>0:51</t>
        </is>
      </c>
      <c r="C10772" t="inlineStr">
        <is>
          <t>I was bitten by a king cobra
while rescuing it from a house,</t>
        </is>
      </c>
      <c r="D10772">
        <f>HYPERLINK("https://www.youtube.com/watch?v=p8ReF00JP5w&amp;t=51s", "Go to time")</f>
        <v/>
      </c>
    </row>
    <row r="10773">
      <c r="A10773">
        <f>HYPERLINK("https://www.youtube.com/watch?v=p8ReF00JP5w", "Video")</f>
        <v/>
      </c>
      <c r="B10773" t="inlineStr">
        <is>
          <t>1:03</t>
        </is>
      </c>
      <c r="C10773" t="inlineStr">
        <is>
          <t>The bite was in my hand.</t>
        </is>
      </c>
      <c r="D10773">
        <f>HYPERLINK("https://www.youtube.com/watch?v=p8ReF00JP5w&amp;t=63s", "Go to time")</f>
        <v/>
      </c>
    </row>
    <row r="10774">
      <c r="A10774">
        <f>HYPERLINK("https://www.youtube.com/watch?v=p8ReF00JP5w", "Video")</f>
        <v/>
      </c>
      <c r="B10774" t="inlineStr">
        <is>
          <t>2:19</t>
        </is>
      </c>
      <c r="C10774" t="inlineStr">
        <is>
          <t>For seven years after the bite,</t>
        </is>
      </c>
      <c r="D10774">
        <f>HYPERLINK("https://www.youtube.com/watch?v=p8ReF00JP5w&amp;t=139s", "Go to time")</f>
        <v/>
      </c>
    </row>
    <row r="10775">
      <c r="A10775">
        <f>HYPERLINK("https://www.youtube.com/watch?v=p8ReF00JP5w", "Video")</f>
        <v/>
      </c>
      <c r="B10775" t="inlineStr">
        <is>
          <t>2:21</t>
        </is>
      </c>
      <c r="C10775" t="inlineStr">
        <is>
          <t>I traveled across king cobra habitat
in South and Southeast Asia.</t>
        </is>
      </c>
      <c r="D10775">
        <f>HYPERLINK("https://www.youtube.com/watch?v=p8ReF00JP5w&amp;t=141s", "Go to time")</f>
        <v/>
      </c>
    </row>
    <row r="10776">
      <c r="A10776">
        <f>HYPERLINK("https://www.youtube.com/watch?v=p8ReF00JP5w", "Video")</f>
        <v/>
      </c>
      <c r="B10776" t="inlineStr">
        <is>
          <t>2:44</t>
        </is>
      </c>
      <c r="C10776" t="inlineStr">
        <is>
          <t>And of course, their habitats
are under severe threat,</t>
        </is>
      </c>
      <c r="D10776">
        <f>HYPERLINK("https://www.youtube.com/watch?v=p8ReF00JP5w&amp;t=164s", "Go to time")</f>
        <v/>
      </c>
    </row>
    <row r="10777">
      <c r="A10777">
        <f>HYPERLINK("https://www.youtube.com/watch?v=p8ReF00JP5w", "Video")</f>
        <v/>
      </c>
      <c r="B10777" t="inlineStr">
        <is>
          <t>3:27</t>
        </is>
      </c>
      <c r="C10777" t="inlineStr">
        <is>
          <t>inhabited by a particular
species of king cobra.</t>
        </is>
      </c>
      <c r="D10777">
        <f>HYPERLINK("https://www.youtube.com/watch?v=p8ReF00JP5w&amp;t=207s", "Go to time")</f>
        <v/>
      </c>
    </row>
    <row r="10778">
      <c r="A10778">
        <f>HYPERLINK("https://www.youtube.com/watch?v=p8ReF00JP5w", "Video")</f>
        <v/>
      </c>
      <c r="B10778" t="inlineStr">
        <is>
          <t>3:33</t>
        </is>
      </c>
      <c r="C10778" t="inlineStr">
        <is>
          <t>In other words, one habitat destruction
is the loss of an entire species</t>
        </is>
      </c>
      <c r="D10778">
        <f>HYPERLINK("https://www.youtube.com/watch?v=p8ReF00JP5w&amp;t=213s", "Go to time")</f>
        <v/>
      </c>
    </row>
    <row r="10779">
      <c r="A10779">
        <f>HYPERLINK("https://www.youtube.com/watch?v=p8ReF00JP5w", "Video")</f>
        <v/>
      </c>
      <c r="B10779" t="inlineStr">
        <is>
          <t>3:47</t>
        </is>
      </c>
      <c r="C10779" t="inlineStr">
        <is>
          <t>treatment of diseases and snakebite.</t>
        </is>
      </c>
      <c r="D10779">
        <f>HYPERLINK("https://www.youtube.com/watch?v=p8ReF00JP5w&amp;t=227s", "Go to time")</f>
        <v/>
      </c>
    </row>
    <row r="10780">
      <c r="A10780">
        <f>HYPERLINK("https://www.youtube.com/watch?v=p8ReF00JP5w", "Video")</f>
        <v/>
      </c>
      <c r="B10780" t="inlineStr">
        <is>
          <t>4:26</t>
        </is>
      </c>
      <c r="C10780" t="inlineStr">
        <is>
          <t>back into their natural habitat.</t>
        </is>
      </c>
      <c r="D10780">
        <f>HYPERLINK("https://www.youtube.com/watch?v=p8ReF00JP5w&amp;t=266s", "Go to time")</f>
        <v/>
      </c>
    </row>
    <row r="10781">
      <c r="A10781">
        <f>HYPERLINK("https://www.youtube.com/watch?v=p8ReF00JP5w", "Video")</f>
        <v/>
      </c>
      <c r="B10781" t="inlineStr">
        <is>
          <t>4:59</t>
        </is>
      </c>
      <c r="C10781" t="inlineStr">
        <is>
          <t>to my senior scientists
and the forest they inhabit.</t>
        </is>
      </c>
      <c r="D10781">
        <f>HYPERLINK("https://www.youtube.com/watch?v=p8ReF00JP5w&amp;t=299s", "Go to time")</f>
        <v/>
      </c>
    </row>
    <row r="10782">
      <c r="A10782">
        <f>HYPERLINK("https://www.youtube.com/watch?v=KoyG945wlyg", "Video")</f>
        <v/>
      </c>
      <c r="B10782" t="inlineStr">
        <is>
          <t>2:39</t>
        </is>
      </c>
      <c r="C10782" t="inlineStr">
        <is>
          <t>So, talk a bit about contact tracing,</t>
        </is>
      </c>
      <c r="D10782">
        <f>HYPERLINK("https://www.youtube.com/watch?v=KoyG945wlyg&amp;t=159s", "Go to time")</f>
        <v/>
      </c>
    </row>
    <row r="10783">
      <c r="A10783">
        <f>HYPERLINK("https://www.youtube.com/watch?v=KoyG945wlyg", "Video")</f>
        <v/>
      </c>
      <c r="B10783" t="inlineStr">
        <is>
          <t>11:00</t>
        </is>
      </c>
      <c r="C10783" t="inlineStr">
        <is>
          <t>Could you speak a little bit to that?</t>
        </is>
      </c>
      <c r="D10783">
        <f>HYPERLINK("https://www.youtube.com/watch?v=KoyG945wlyg&amp;t=660s", "Go to time")</f>
        <v/>
      </c>
    </row>
    <row r="10784">
      <c r="A10784">
        <f>HYPERLINK("https://www.youtube.com/watch?v=KoyG945wlyg", "Video")</f>
        <v/>
      </c>
      <c r="B10784" t="inlineStr">
        <is>
          <t>13:10</t>
        </is>
      </c>
      <c r="C10784" t="inlineStr">
        <is>
          <t>So, Joia, can you just talk
in a bit more detail</t>
        </is>
      </c>
      <c r="D10784">
        <f>HYPERLINK("https://www.youtube.com/watch?v=KoyG945wlyg&amp;t=790s", "Go to time")</f>
        <v/>
      </c>
    </row>
    <row r="10785">
      <c r="A10785">
        <f>HYPERLINK("https://www.youtube.com/watch?v=qZjr2CIEflc", "Video")</f>
        <v/>
      </c>
      <c r="B10785" t="inlineStr">
        <is>
          <t>1:03</t>
        </is>
      </c>
      <c r="C10785" t="inlineStr">
        <is>
          <t>my studio came into the orbit
of two inspired citizen activists</t>
        </is>
      </c>
      <c r="D10785">
        <f>HYPERLINK("https://www.youtube.com/watch?v=qZjr2CIEflc&amp;t=63s", "Go to time")</f>
        <v/>
      </c>
    </row>
    <row r="10786">
      <c r="A10786">
        <f>HYPERLINK("https://www.youtube.com/watch?v=bWA1gvA5lxU", "Video")</f>
        <v/>
      </c>
      <c r="B10786" t="inlineStr">
        <is>
          <t>4:10</t>
        </is>
      </c>
      <c r="C10786" t="inlineStr">
        <is>
          <t>And this gives us a little bit of a clue,</t>
        </is>
      </c>
      <c r="D10786">
        <f>HYPERLINK("https://www.youtube.com/watch?v=bWA1gvA5lxU&amp;t=250s", "Go to time")</f>
        <v/>
      </c>
    </row>
    <row r="10787">
      <c r="A10787">
        <f>HYPERLINK("https://www.youtube.com/watch?v=4tQee2_JgUo", "Video")</f>
        <v/>
      </c>
      <c r="B10787" t="inlineStr">
        <is>
          <t>0:49</t>
        </is>
      </c>
      <c r="C10787" t="inlineStr">
        <is>
          <t>being dragged to museums and exhibitions
over the summer holidays.</t>
        </is>
      </c>
      <c r="D10787">
        <f>HYPERLINK("https://www.youtube.com/watch?v=4tQee2_JgUo&amp;t=49s", "Go to time")</f>
        <v/>
      </c>
    </row>
    <row r="10788">
      <c r="A10788">
        <f>HYPERLINK("https://www.youtube.com/watch?v=KyVSuI6JyOs", "Video")</f>
        <v/>
      </c>
      <c r="B10788" t="inlineStr">
        <is>
          <t>2:08</t>
        </is>
      </c>
      <c r="C10788" t="inlineStr">
        <is>
          <t>so let's start with a little bit of weed</t>
        </is>
      </c>
      <c r="D10788">
        <f>HYPERLINK("https://www.youtube.com/watch?v=KyVSuI6JyOs&amp;t=128s", "Go to time")</f>
        <v/>
      </c>
    </row>
    <row r="10789">
      <c r="A10789">
        <f>HYPERLINK("https://www.youtube.com/watch?v=7Fiaew7nDmE", "Video")</f>
        <v/>
      </c>
      <c r="B10789" t="inlineStr">
        <is>
          <t>10:36</t>
        </is>
      </c>
      <c r="C10789" t="inlineStr">
        <is>
          <t>It takes a bit of practice,
but once you're rolling,</t>
        </is>
      </c>
      <c r="D10789">
        <f>HYPERLINK("https://www.youtube.com/watch?v=7Fiaew7nDmE&amp;t=636s", "Go to time")</f>
        <v/>
      </c>
    </row>
    <row r="10790">
      <c r="A10790">
        <f>HYPERLINK("https://www.youtube.com/watch?v=ON4iy8hq2hM", "Video")</f>
        <v/>
      </c>
      <c r="B10790" t="inlineStr">
        <is>
          <t>3:57</t>
        </is>
      </c>
      <c r="C10790" t="inlineStr">
        <is>
          <t>from exciting to overwhelming
and maybe a little bit suffocating.</t>
        </is>
      </c>
      <c r="D10790">
        <f>HYPERLINK("https://www.youtube.com/watch?v=ON4iy8hq2hM&amp;t=237s", "Go to time")</f>
        <v/>
      </c>
    </row>
    <row r="10791">
      <c r="A10791">
        <f>HYPERLINK("https://www.youtube.com/watch?v=ON4iy8hq2hM", "Video")</f>
        <v/>
      </c>
      <c r="B10791" t="inlineStr">
        <is>
          <t>11:46</t>
        </is>
      </c>
      <c r="C10791" t="inlineStr">
        <is>
          <t>help you avoid the rabbit hole
that leads to unhealthy love,</t>
        </is>
      </c>
      <c r="D10791">
        <f>HYPERLINK("https://www.youtube.com/watch?v=ON4iy8hq2hM&amp;t=706s", "Go to time")</f>
        <v/>
      </c>
    </row>
    <row r="10792">
      <c r="A10792">
        <f>HYPERLINK("https://www.youtube.com/watch?v=pdh3KbiREHM", "Video")</f>
        <v/>
      </c>
      <c r="B10792" t="inlineStr">
        <is>
          <t>0:29</t>
        </is>
      </c>
      <c r="C10792" t="inlineStr">
        <is>
          <t>In my culture,
we see it a bit differently.</t>
        </is>
      </c>
      <c r="D10792">
        <f>HYPERLINK("https://www.youtube.com/watch?v=pdh3KbiREHM&amp;t=29s", "Go to time")</f>
        <v/>
      </c>
    </row>
    <row r="10793">
      <c r="A10793">
        <f>HYPERLINK("https://www.youtube.com/watch?v=LhszKevcH30", "Video")</f>
        <v/>
      </c>
      <c r="B10793" t="inlineStr">
        <is>
          <t>2:02</t>
        </is>
      </c>
      <c r="C10793" t="inlineStr">
        <is>
          <t>It's a very close-knit
but competitive society, a little bit,</t>
        </is>
      </c>
      <c r="D10793">
        <f>HYPERLINK("https://www.youtube.com/watch?v=LhszKevcH30&amp;t=122s", "Go to time")</f>
        <v/>
      </c>
    </row>
    <row r="10794">
      <c r="A10794">
        <f>HYPERLINK("https://www.youtube.com/watch?v=LhszKevcH30", "Video")</f>
        <v/>
      </c>
      <c r="B10794" t="inlineStr">
        <is>
          <t>2:36</t>
        </is>
      </c>
      <c r="C10794" t="inlineStr">
        <is>
          <t>But I think we should be viewed
a little bit more like this.</t>
        </is>
      </c>
      <c r="D10794">
        <f>HYPERLINK("https://www.youtube.com/watch?v=LhszKevcH30&amp;t=156s", "Go to time")</f>
        <v/>
      </c>
    </row>
    <row r="10795">
      <c r="A10795">
        <f>HYPERLINK("https://www.youtube.com/watch?v=LhszKevcH30", "Video")</f>
        <v/>
      </c>
      <c r="B10795" t="inlineStr">
        <is>
          <t>4:25</t>
        </is>
      </c>
      <c r="C10795" t="inlineStr">
        <is>
          <t>The record received
a little bit of airplay,</t>
        </is>
      </c>
      <c r="D10795">
        <f>HYPERLINK("https://www.youtube.com/watch?v=LhszKevcH30&amp;t=265s", "Go to time")</f>
        <v/>
      </c>
    </row>
    <row r="10796">
      <c r="A10796">
        <f>HYPERLINK("https://www.youtube.com/watch?v=LhszKevcH30", "Video")</f>
        <v/>
      </c>
      <c r="B10796" t="inlineStr">
        <is>
          <t>4:28</t>
        </is>
      </c>
      <c r="C10796" t="inlineStr">
        <is>
          <t>a little bit of support
in Canada and in Haiti,</t>
        </is>
      </c>
      <c r="D10796">
        <f>HYPERLINK("https://www.youtube.com/watch?v=LhszKevcH30&amp;t=268s", "Go to time")</f>
        <v/>
      </c>
    </row>
    <row r="10797">
      <c r="A10797">
        <f>HYPERLINK("https://www.youtube.com/watch?v=zeVGax3IIwM", "Video")</f>
        <v/>
      </c>
      <c r="B10797" t="inlineStr">
        <is>
          <t>2:12</t>
        </is>
      </c>
      <c r="C10797" t="inlineStr">
        <is>
          <t>because we are damaging hearing
over just a century and a bit,</t>
        </is>
      </c>
      <c r="D10797">
        <f>HYPERLINK("https://www.youtube.com/watch?v=zeVGax3IIwM&amp;t=132s", "Go to time")</f>
        <v/>
      </c>
    </row>
    <row r="10798">
      <c r="A10798">
        <f>HYPERLINK("https://www.youtube.com/watch?v=zeVGax3IIwM", "Video")</f>
        <v/>
      </c>
      <c r="B10798" t="inlineStr">
        <is>
          <t>4:23</t>
        </is>
      </c>
      <c r="C10798" t="inlineStr">
        <is>
          <t>even though I sound a bit sibilant.</t>
        </is>
      </c>
      <c r="D10798">
        <f>HYPERLINK("https://www.youtube.com/watch?v=zeVGax3IIwM&amp;t=263s", "Go to time")</f>
        <v/>
      </c>
    </row>
    <row r="10799">
      <c r="A10799">
        <f>HYPERLINK("https://www.youtube.com/watch?v=HNMQ_w7hXTA", "Video")</f>
        <v/>
      </c>
      <c r="B10799" t="inlineStr">
        <is>
          <t>3:44</t>
        </is>
      </c>
      <c r="C10799" t="inlineStr">
        <is>
          <t>and let through a little bit for testing.</t>
        </is>
      </c>
      <c r="D10799">
        <f>HYPERLINK("https://www.youtube.com/watch?v=HNMQ_w7hXTA&amp;t=224s", "Go to time")</f>
        <v/>
      </c>
    </row>
    <row r="10800">
      <c r="A10800">
        <f>HYPERLINK("https://www.youtube.com/watch?v=HNMQ_w7hXTA", "Video")</f>
        <v/>
      </c>
      <c r="B10800" t="inlineStr">
        <is>
          <t>6:44</t>
        </is>
      </c>
      <c r="C10800" t="inlineStr">
        <is>
          <t>a bit Quasimodo-ish.</t>
        </is>
      </c>
      <c r="D10800">
        <f>HYPERLINK("https://www.youtube.com/watch?v=HNMQ_w7hXTA&amp;t=404s", "Go to time")</f>
        <v/>
      </c>
    </row>
    <row r="10801">
      <c r="A10801">
        <f>HYPERLINK("https://www.youtube.com/watch?v=HNMQ_w7hXTA", "Video")</f>
        <v/>
      </c>
      <c r="B10801" t="inlineStr">
        <is>
          <t>7:18</t>
        </is>
      </c>
      <c r="C10801" t="inlineStr">
        <is>
          <t>And soon I moved a bit further</t>
        </is>
      </c>
      <c r="D10801">
        <f>HYPERLINK("https://www.youtube.com/watch?v=HNMQ_w7hXTA&amp;t=438s", "Go to time")</f>
        <v/>
      </c>
    </row>
    <row r="10802">
      <c r="A10802">
        <f>HYPERLINK("https://www.youtube.com/watch?v=HNMQ_w7hXTA", "Video")</f>
        <v/>
      </c>
      <c r="B10802" t="inlineStr">
        <is>
          <t>7:26</t>
        </is>
      </c>
      <c r="C10802" t="inlineStr">
        <is>
          <t>that someone I knew a little bit
had killed himself.</t>
        </is>
      </c>
      <c r="D10802">
        <f>HYPERLINK("https://www.youtube.com/watch?v=HNMQ_w7hXTA&amp;t=446s", "Go to time")</f>
        <v/>
      </c>
    </row>
    <row r="10803">
      <c r="A10803">
        <f>HYPERLINK("https://www.youtube.com/watch?v=HNMQ_w7hXTA", "Video")</f>
        <v/>
      </c>
      <c r="B10803" t="inlineStr">
        <is>
          <t>8:43</t>
        </is>
      </c>
      <c r="C10803" t="inlineStr">
        <is>
          <t>And when you think about it a little bit,</t>
        </is>
      </c>
      <c r="D10803">
        <f>HYPERLINK("https://www.youtube.com/watch?v=HNMQ_w7hXTA&amp;t=523s", "Go to time")</f>
        <v/>
      </c>
    </row>
    <row r="10804">
      <c r="A10804">
        <f>HYPERLINK("https://www.youtube.com/watch?v=HNMQ_w7hXTA", "Video")</f>
        <v/>
      </c>
      <c r="B10804" t="inlineStr">
        <is>
          <t>11:55</t>
        </is>
      </c>
      <c r="C10804" t="inlineStr">
        <is>
          <t>Real cleanliness is a bit different.</t>
        </is>
      </c>
      <c r="D10804">
        <f>HYPERLINK("https://www.youtube.com/watch?v=HNMQ_w7hXTA&amp;t=715s", "Go to time")</f>
        <v/>
      </c>
    </row>
    <row r="10805">
      <c r="A10805">
        <f>HYPERLINK("https://www.youtube.com/watch?v=HNMQ_w7hXTA", "Video")</f>
        <v/>
      </c>
      <c r="B10805" t="inlineStr">
        <is>
          <t>13:33</t>
        </is>
      </c>
      <c r="C10805" t="inlineStr">
        <is>
          <t>Take it a bit further than just
cleaning our living room,</t>
        </is>
      </c>
      <c r="D10805">
        <f>HYPERLINK("https://www.youtube.com/watch?v=HNMQ_w7hXTA&amp;t=813s", "Go to time")</f>
        <v/>
      </c>
    </row>
    <row r="10806">
      <c r="A10806">
        <f>HYPERLINK("https://www.youtube.com/watch?v=anE2XRcnNk0", "Video")</f>
        <v/>
      </c>
      <c r="B10806" t="inlineStr">
        <is>
          <t>2:20</t>
        </is>
      </c>
      <c r="C10806" t="inlineStr">
        <is>
          <t>MR: Are you a bit shy?</t>
        </is>
      </c>
      <c r="D10806">
        <f>HYPERLINK("https://www.youtube.com/watch?v=anE2XRcnNk0&amp;t=140s", "Go to time")</f>
        <v/>
      </c>
    </row>
    <row r="10807">
      <c r="A10807">
        <f>HYPERLINK("https://www.youtube.com/watch?v=anE2XRcnNk0", "Video")</f>
        <v/>
      </c>
      <c r="B10807" t="inlineStr">
        <is>
          <t>2:21</t>
        </is>
      </c>
      <c r="C10807" t="inlineStr">
        <is>
          <t>VN: A bit, yes.</t>
        </is>
      </c>
      <c r="D10807">
        <f>HYPERLINK("https://www.youtube.com/watch?v=anE2XRcnNk0&amp;t=141s", "Go to time")</f>
        <v/>
      </c>
    </row>
    <row r="10808">
      <c r="A10808">
        <f>HYPERLINK("https://www.youtube.com/watch?v=I2s4msDXNgw", "Video")</f>
        <v/>
      </c>
      <c r="B10808" t="inlineStr">
        <is>
          <t>3:02</t>
        </is>
      </c>
      <c r="C10808" t="inlineStr">
        <is>
          <t>But it also hit me that my habits</t>
        </is>
      </c>
      <c r="D10808">
        <f>HYPERLINK("https://www.youtube.com/watch?v=I2s4msDXNgw&amp;t=182s", "Go to time")</f>
        <v/>
      </c>
    </row>
    <row r="10809">
      <c r="A10809">
        <f>HYPERLINK("https://www.youtube.com/watch?v=I2s4msDXNgw", "Video")</f>
        <v/>
      </c>
      <c r="B10809" t="inlineStr">
        <is>
          <t>3:07</t>
        </is>
      </c>
      <c r="C10809" t="inlineStr">
        <is>
          <t>I had to take a hard,
honest look at my habits</t>
        </is>
      </c>
      <c r="D10809">
        <f>HYPERLINK("https://www.youtube.com/watch?v=I2s4msDXNgw&amp;t=187s", "Go to time")</f>
        <v/>
      </c>
    </row>
    <row r="10810">
      <c r="A10810">
        <f>HYPERLINK("https://www.youtube.com/watch?v=1U2qMRGihGg", "Video")</f>
        <v/>
      </c>
      <c r="B10810" t="inlineStr">
        <is>
          <t>2:59</t>
        </is>
      </c>
      <c r="C10810" t="inlineStr">
        <is>
          <t>it inhibits our ability to learn</t>
        </is>
      </c>
      <c r="D10810">
        <f>HYPERLINK("https://www.youtube.com/watch?v=1U2qMRGihGg&amp;t=179s", "Go to time")</f>
        <v/>
      </c>
    </row>
    <row r="10811">
      <c r="A10811">
        <f>HYPERLINK("https://www.youtube.com/watch?v=1U2qMRGihGg", "Video")</f>
        <v/>
      </c>
      <c r="B10811" t="inlineStr">
        <is>
          <t>6:14</t>
        </is>
      </c>
      <c r="C10811" t="inlineStr">
        <is>
          <t>the right sound environment
and sleep habitat</t>
        </is>
      </c>
      <c r="D10811">
        <f>HYPERLINK("https://www.youtube.com/watch?v=1U2qMRGihGg&amp;t=374s", "Go to time")</f>
        <v/>
      </c>
    </row>
    <row r="10812">
      <c r="A10812">
        <f>HYPERLINK("https://www.youtube.com/watch?v=XY6aAPhs0tE", "Video")</f>
        <v/>
      </c>
      <c r="B10812" t="inlineStr">
        <is>
          <t>2:23</t>
        </is>
      </c>
      <c r="C10812" t="inlineStr">
        <is>
          <t>because what you can do
is you can modify it a little bit</t>
        </is>
      </c>
      <c r="D10812">
        <f>HYPERLINK("https://www.youtube.com/watch?v=XY6aAPhs0tE&amp;t=143s", "Go to time")</f>
        <v/>
      </c>
    </row>
    <row r="10813">
      <c r="A10813">
        <f>HYPERLINK("https://www.youtube.com/watch?v=XY6aAPhs0tE", "Video")</f>
        <v/>
      </c>
      <c r="B10813" t="inlineStr">
        <is>
          <t>3:54</t>
        </is>
      </c>
      <c r="C10813" t="inlineStr">
        <is>
          <t>of a planet orbiting
another star in this data."</t>
        </is>
      </c>
      <c r="D10813">
        <f>HYPERLINK("https://www.youtube.com/watch?v=XY6aAPhs0tE&amp;t=234s", "Go to time")</f>
        <v/>
      </c>
    </row>
    <row r="10814">
      <c r="A10814">
        <f>HYPERLINK("https://www.youtube.com/watch?v=XY6aAPhs0tE", "Video")</f>
        <v/>
      </c>
      <c r="B10814" t="inlineStr">
        <is>
          <t>3:58</t>
        </is>
      </c>
      <c r="C10814" t="inlineStr">
        <is>
          <t>We had not had any pictures taken
of planets orbiting other stars yet,</t>
        </is>
      </c>
      <c r="D10814">
        <f>HYPERLINK("https://www.youtube.com/watch?v=XY6aAPhs0tE&amp;t=238s", "Go to time")</f>
        <v/>
      </c>
    </row>
    <row r="10815">
      <c r="A10815">
        <f>HYPERLINK("https://www.youtube.com/watch?v=XY6aAPhs0tE", "Video")</f>
        <v/>
      </c>
      <c r="B10815" t="inlineStr">
        <is>
          <t>7:06</t>
        </is>
      </c>
      <c r="C10815" t="inlineStr">
        <is>
          <t>They had found a planet
orbiting another star.</t>
        </is>
      </c>
      <c r="D10815">
        <f>HYPERLINK("https://www.youtube.com/watch?v=XY6aAPhs0tE&amp;t=426s", "Go to time")</f>
        <v/>
      </c>
    </row>
    <row r="10816">
      <c r="A10816">
        <f>HYPERLINK("https://www.youtube.com/watch?v=XY6aAPhs0tE", "Video")</f>
        <v/>
      </c>
      <c r="B10816" t="inlineStr">
        <is>
          <t>7:25</t>
        </is>
      </c>
      <c r="C10816" t="inlineStr">
        <is>
          <t>and they detected the gravitational tug
of this planet as it orbited the pulsar.</t>
        </is>
      </c>
      <c r="D10816">
        <f>HYPERLINK("https://www.youtube.com/watch?v=XY6aAPhs0tE&amp;t=445s", "Go to time")</f>
        <v/>
      </c>
    </row>
    <row r="10817">
      <c r="A10817">
        <f>HYPERLINK("https://www.youtube.com/watch?v=XY6aAPhs0tE", "Video")</f>
        <v/>
      </c>
      <c r="B10817" t="inlineStr">
        <is>
          <t>7:32</t>
        </is>
      </c>
      <c r="C10817" t="inlineStr">
        <is>
          <t>The first planet orbiting
another star had been found ...</t>
        </is>
      </c>
      <c r="D10817">
        <f>HYPERLINK("https://www.youtube.com/watch?v=XY6aAPhs0tE&amp;t=452s", "Go to time")</f>
        <v/>
      </c>
    </row>
    <row r="10818">
      <c r="A10818">
        <f>HYPERLINK("https://www.youtube.com/watch?v=XY6aAPhs0tE", "Video")</f>
        <v/>
      </c>
      <c r="B10818" t="inlineStr">
        <is>
          <t>8:57</t>
        </is>
      </c>
      <c r="C10818" t="inlineStr">
        <is>
          <t>but two planets
orbiting a different pulsar.</t>
        </is>
      </c>
      <c r="D10818">
        <f>HYPERLINK("https://www.youtube.com/watch?v=XY6aAPhs0tE&amp;t=537s", "Go to time")</f>
        <v/>
      </c>
    </row>
    <row r="10819">
      <c r="A10819">
        <f>HYPERLINK("https://www.youtube.com/watch?v=XY6aAPhs0tE", "Video")</f>
        <v/>
      </c>
      <c r="B10819" t="inlineStr">
        <is>
          <t>9:10</t>
        </is>
      </c>
      <c r="C10819" t="inlineStr">
        <is>
          <t>they found a third planet
orbiting this pulsar</t>
        </is>
      </c>
      <c r="D10819">
        <f>HYPERLINK("https://www.youtube.com/watch?v=XY6aAPhs0tE&amp;t=550s", "Go to time")</f>
        <v/>
      </c>
    </row>
    <row r="10820">
      <c r="A10820">
        <f>HYPERLINK("https://www.youtube.com/watch?v=XY6aAPhs0tE", "Video")</f>
        <v/>
      </c>
      <c r="B10820" t="inlineStr">
        <is>
          <t>9:34</t>
        </is>
      </c>
      <c r="C10820" t="inlineStr">
        <is>
          <t>This is an image of an actual planet
orbiting an actual star.</t>
        </is>
      </c>
      <c r="D10820">
        <f>HYPERLINK("https://www.youtube.com/watch?v=XY6aAPhs0tE&amp;t=574s", "Go to time")</f>
        <v/>
      </c>
    </row>
    <row r="10821">
      <c r="A10821">
        <f>HYPERLINK("https://www.youtube.com/watch?v=XY6aAPhs0tE", "Video")</f>
        <v/>
      </c>
      <c r="B10821" t="inlineStr">
        <is>
          <t>9:52</t>
        </is>
      </c>
      <c r="C10821" t="inlineStr">
        <is>
          <t>That is actual data, animated, showing
four planets orbiting another star.</t>
        </is>
      </c>
      <c r="D10821">
        <f>HYPERLINK("https://www.youtube.com/watch?v=XY6aAPhs0tE&amp;t=592s", "Go to time")</f>
        <v/>
      </c>
    </row>
    <row r="10822">
      <c r="A10822">
        <f>HYPERLINK("https://www.youtube.com/watch?v=-T3k6s7bev8", "Video")</f>
        <v/>
      </c>
      <c r="B10822" t="inlineStr">
        <is>
          <t>3:01</t>
        </is>
      </c>
      <c r="C10822" t="inlineStr">
        <is>
          <t>So we're hearing about life
in these little bits and pieces.</t>
        </is>
      </c>
      <c r="D10822">
        <f>HYPERLINK("https://www.youtube.com/watch?v=-T3k6s7bev8&amp;t=181s", "Go to time")</f>
        <v/>
      </c>
    </row>
    <row r="10823">
      <c r="A10823">
        <f>HYPERLINK("https://www.youtube.com/watch?v=EAU5D8hqIUI", "Video")</f>
        <v/>
      </c>
      <c r="B10823" t="inlineStr">
        <is>
          <t>13:39</t>
        </is>
      </c>
      <c r="C10823" t="inlineStr">
        <is>
          <t>because of it making it a bit easier
to build fossil fuels as well.</t>
        </is>
      </c>
      <c r="D10823">
        <f>HYPERLINK("https://www.youtube.com/watch?v=EAU5D8hqIUI&amp;t=819s", "Go to time")</f>
        <v/>
      </c>
    </row>
    <row r="10824">
      <c r="A10824">
        <f>HYPERLINK("https://www.youtube.com/watch?v=EAU5D8hqIUI", "Video")</f>
        <v/>
      </c>
      <c r="B10824" t="inlineStr">
        <is>
          <t>14:39</t>
        </is>
      </c>
      <c r="C10824" t="inlineStr">
        <is>
          <t>we need to make it a bit easier
to build some fossil infrastructure,</t>
        </is>
      </c>
      <c r="D10824">
        <f>HYPERLINK("https://www.youtube.com/watch?v=EAU5D8hqIUI&amp;t=879s", "Go to time")</f>
        <v/>
      </c>
    </row>
    <row r="10825">
      <c r="A10825">
        <f>HYPERLINK("https://www.youtube.com/watch?v=cUdl-Cp-LWw", "Video")</f>
        <v/>
      </c>
      <c r="B10825" t="inlineStr">
        <is>
          <t>1:33</t>
        </is>
      </c>
      <c r="C10825" t="inlineStr">
        <is>
          <t>So the ability to grasp arbitrary objects
is a grand challenge for my field.</t>
        </is>
      </c>
      <c r="D10825">
        <f>HYPERLINK("https://www.youtube.com/watch?v=cUdl-Cp-LWw&amp;t=93s", "Go to time")</f>
        <v/>
      </c>
    </row>
    <row r="10826">
      <c r="A10826">
        <f>HYPERLINK("https://www.youtube.com/watch?v=cUdl-Cp-LWw", "Video")</f>
        <v/>
      </c>
      <c r="B10826" t="inlineStr">
        <is>
          <t>8:33</t>
        </is>
      </c>
      <c r="C10826" t="inlineStr">
        <is>
          <t>So I want to give you
a little bit of an idea</t>
        </is>
      </c>
      <c r="D10826">
        <f>HYPERLINK("https://www.youtube.com/watch?v=cUdl-Cp-LWw&amp;t=513s", "Go to time")</f>
        <v/>
      </c>
    </row>
    <row r="10827">
      <c r="A10827">
        <f>HYPERLINK("https://www.youtube.com/watch?v=cUdl-Cp-LWw", "Video")</f>
        <v/>
      </c>
      <c r="B10827" t="inlineStr">
        <is>
          <t>10:16</t>
        </is>
      </c>
      <c r="C10827" t="inlineStr">
        <is>
          <t>and it's a little bit longer,
but that's real time,</t>
        </is>
      </c>
      <c r="D10827">
        <f>HYPERLINK("https://www.youtube.com/watch?v=cUdl-Cp-LWw&amp;t=616s", "Go to time")</f>
        <v/>
      </c>
    </row>
    <row r="10828">
      <c r="A10828">
        <f>HYPERLINK("https://www.youtube.com/watch?v=do27uAjfKbg", "Video")</f>
        <v/>
      </c>
      <c r="B10828" t="inlineStr">
        <is>
          <t>1:32</t>
        </is>
      </c>
      <c r="C10828" t="inlineStr">
        <is>
          <t>It's time for us to face reality,
and it's a bitter pill.</t>
        </is>
      </c>
      <c r="D10828">
        <f>HYPERLINK("https://www.youtube.com/watch?v=do27uAjfKbg&amp;t=92s", "Go to time")</f>
        <v/>
      </c>
    </row>
    <row r="10829">
      <c r="A10829">
        <f>HYPERLINK("https://www.youtube.com/watch?v=do27uAjfKbg", "Video")</f>
        <v/>
      </c>
      <c r="B10829" t="inlineStr">
        <is>
          <t>2:20</t>
        </is>
      </c>
      <c r="C10829" t="inlineStr">
        <is>
          <t>as areas become uninhabitable,</t>
        </is>
      </c>
      <c r="D10829">
        <f>HYPERLINK("https://www.youtube.com/watch?v=do27uAjfKbg&amp;t=140s", "Go to time")</f>
        <v/>
      </c>
    </row>
    <row r="10830">
      <c r="A10830">
        <f>HYPERLINK("https://www.youtube.com/watch?v=r2_VWdjxchY", "Video")</f>
        <v/>
      </c>
      <c r="B10830" t="inlineStr">
        <is>
          <t>0:06</t>
        </is>
      </c>
      <c r="C10830" t="inlineStr">
        <is>
          <t>How many of you are wearing
a Fitbit or an Apple Watch</t>
        </is>
      </c>
      <c r="D10830">
        <f>HYPERLINK("https://www.youtube.com/watch?v=r2_VWdjxchY&amp;t=6s", "Go to time")</f>
        <v/>
      </c>
    </row>
    <row r="10831">
      <c r="A10831">
        <f>HYPERLINK("https://www.youtube.com/watch?v=r2_VWdjxchY", "Video")</f>
        <v/>
      </c>
      <c r="B10831" t="inlineStr">
        <is>
          <t>0:39</t>
        </is>
      </c>
      <c r="C10831" t="inlineStr">
        <is>
          <t>our habits and more.</t>
        </is>
      </c>
      <c r="D10831">
        <f>HYPERLINK("https://www.youtube.com/watch?v=r2_VWdjxchY&amp;t=39s", "Go to time")</f>
        <v/>
      </c>
    </row>
    <row r="10832">
      <c r="A10832">
        <f>HYPERLINK("https://www.youtube.com/watch?v=r2_VWdjxchY", "Video")</f>
        <v/>
      </c>
      <c r="B10832" t="inlineStr">
        <is>
          <t>3:48</t>
        </is>
      </c>
      <c r="C10832" t="inlineStr">
        <is>
          <t>And again, just like the Fitbit
and the smartphone example,</t>
        </is>
      </c>
      <c r="D10832">
        <f>HYPERLINK("https://www.youtube.com/watch?v=r2_VWdjxchY&amp;t=228s", "Go to time")</f>
        <v/>
      </c>
    </row>
    <row r="10833">
      <c r="A10833">
        <f>HYPERLINK("https://www.youtube.com/watch?v=LbZC0DjnhGs", "Video")</f>
        <v/>
      </c>
      <c r="B10833" t="inlineStr">
        <is>
          <t>1:26</t>
        </is>
      </c>
      <c r="C10833" t="inlineStr">
        <is>
          <t>that supported
my wasteful shopping habits.</t>
        </is>
      </c>
      <c r="D10833">
        <f>HYPERLINK("https://www.youtube.com/watch?v=LbZC0DjnhGs&amp;t=86s", "Go to time")</f>
        <v/>
      </c>
    </row>
    <row r="10834">
      <c r="A10834">
        <f>HYPERLINK("https://www.youtube.com/watch?v=0Mi0miIN6tA", "Video")</f>
        <v/>
      </c>
      <c r="B10834" t="inlineStr">
        <is>
          <t>10:02</t>
        </is>
      </c>
      <c r="C10834" t="inlineStr">
        <is>
          <t>I think our muscles have atrophied a bit,
but it's never too late.</t>
        </is>
      </c>
      <c r="D10834">
        <f>HYPERLINK("https://www.youtube.com/watch?v=0Mi0miIN6tA&amp;t=602s", "Go to time")</f>
        <v/>
      </c>
    </row>
    <row r="10835">
      <c r="A10835">
        <f>HYPERLINK("https://www.youtube.com/watch?v=_0J10j46-qQ", "Video")</f>
        <v/>
      </c>
      <c r="B10835" t="inlineStr">
        <is>
          <t>7:55</t>
        </is>
      </c>
      <c r="C10835" t="inlineStr">
        <is>
          <t>and we mine every bit of it.</t>
        </is>
      </c>
      <c r="D10835">
        <f>HYPERLINK("https://www.youtube.com/watch?v=_0J10j46-qQ&amp;t=475s", "Go to time")</f>
        <v/>
      </c>
    </row>
    <row r="10836">
      <c r="A10836">
        <f>HYPERLINK("https://www.youtube.com/watch?v=Is1YUQVYkvY", "Video")</f>
        <v/>
      </c>
      <c r="B10836" t="inlineStr">
        <is>
          <t>0:40</t>
        </is>
      </c>
      <c r="C10836" t="inlineStr">
        <is>
          <t>like: Bitcoin or Etherium?</t>
        </is>
      </c>
      <c r="D10836">
        <f>HYPERLINK("https://www.youtube.com/watch?v=Is1YUQVYkvY&amp;t=40s", "Go to time")</f>
        <v/>
      </c>
    </row>
    <row r="10837">
      <c r="A10837">
        <f>HYPERLINK("https://www.youtube.com/watch?v=kxGOuqsoteA", "Video")</f>
        <v/>
      </c>
      <c r="B10837" t="inlineStr">
        <is>
          <t>13:17</t>
        </is>
      </c>
      <c r="C10837" t="inlineStr">
        <is>
          <t>bit about your own story well my story</t>
        </is>
      </c>
      <c r="D10837">
        <f>HYPERLINK("https://www.youtube.com/watch?v=kxGOuqsoteA&amp;t=797s", "Go to time")</f>
        <v/>
      </c>
    </row>
    <row r="10838">
      <c r="A10838">
        <f>HYPERLINK("https://www.youtube.com/watch?v=yQqthbvYE8M", "Video")</f>
        <v/>
      </c>
      <c r="B10838" t="inlineStr">
        <is>
          <t>10:29</t>
        </is>
      </c>
      <c r="C10838" t="inlineStr">
        <is>
          <t>BG: We're going to talk a bit
about that again later but, you know,</t>
        </is>
      </c>
      <c r="D10838">
        <f>HYPERLINK("https://www.youtube.com/watch?v=yQqthbvYE8M&amp;t=629s", "Go to time")</f>
        <v/>
      </c>
    </row>
    <row r="10839">
      <c r="A10839">
        <f>HYPERLINK("https://www.youtube.com/watch?v=yQqthbvYE8M", "Video")</f>
        <v/>
      </c>
      <c r="B10839" t="inlineStr">
        <is>
          <t>40:22</t>
        </is>
      </c>
      <c r="C10839" t="inlineStr">
        <is>
          <t>a bit like the pandemic,
accelerate climate action,</t>
        </is>
      </c>
      <c r="D10839">
        <f>HYPERLINK("https://www.youtube.com/watch?v=yQqthbvYE8M&amp;t=2422s", "Go to time")</f>
        <v/>
      </c>
    </row>
    <row r="10840">
      <c r="A10840">
        <f>HYPERLINK("https://www.youtube.com/watch?v=JlbwchclCBo", "Video")</f>
        <v/>
      </c>
      <c r="B10840" t="inlineStr">
        <is>
          <t>0:43</t>
        </is>
      </c>
      <c r="C10840" t="inlineStr">
        <is>
          <t>in the obituaries.</t>
        </is>
      </c>
      <c r="D10840">
        <f>HYPERLINK("https://www.youtube.com/watch?v=JlbwchclCBo&amp;t=43s", "Go to time")</f>
        <v/>
      </c>
    </row>
    <row r="10841">
      <c r="A10841">
        <f>HYPERLINK("https://www.youtube.com/watch?v=JlbwchclCBo", "Video")</f>
        <v/>
      </c>
      <c r="B10841" t="inlineStr">
        <is>
          <t>0:53</t>
        </is>
      </c>
      <c r="C10841" t="inlineStr">
        <is>
          <t>I read the obituaries almost every day.</t>
        </is>
      </c>
      <c r="D10841">
        <f>HYPERLINK("https://www.youtube.com/watch?v=JlbwchclCBo&amp;t=53s", "Go to time")</f>
        <v/>
      </c>
    </row>
    <row r="10842">
      <c r="A10842">
        <f>HYPERLINK("https://www.youtube.com/watch?v=JlbwchclCBo", "Video")</f>
        <v/>
      </c>
      <c r="B10842" t="inlineStr">
        <is>
          <t>1:15</t>
        </is>
      </c>
      <c r="C10842" t="inlineStr">
        <is>
          <t>is at the end of the paper,
in the obituaries.</t>
        </is>
      </c>
      <c r="D10842">
        <f>HYPERLINK("https://www.youtube.com/watch?v=JlbwchclCBo&amp;t=75s", "Go to time")</f>
        <v/>
      </c>
    </row>
    <row r="10843">
      <c r="A10843">
        <f>HYPERLINK("https://www.youtube.com/watch?v=JlbwchclCBo", "Video")</f>
        <v/>
      </c>
      <c r="B10843" t="inlineStr">
        <is>
          <t>1:30</t>
        </is>
      </c>
      <c r="C10843" t="inlineStr">
        <is>
          <t>What if we held a rearview mirror
to obituaries from the New York Times?</t>
        </is>
      </c>
      <c r="D10843">
        <f>HYPERLINK("https://www.youtube.com/watch?v=JlbwchclCBo&amp;t=90s", "Go to time")</f>
        <v/>
      </c>
    </row>
    <row r="10844">
      <c r="A10844">
        <f>HYPERLINK("https://www.youtube.com/watch?v=JlbwchclCBo", "Video")</f>
        <v/>
      </c>
      <c r="B10844" t="inlineStr">
        <is>
          <t>1:36</t>
        </is>
      </c>
      <c r="C10844" t="inlineStr">
        <is>
          <t>Were there lessons on how you could get
your obituary featured --</t>
        </is>
      </c>
      <c r="D10844">
        <f>HYPERLINK("https://www.youtube.com/watch?v=JlbwchclCBo&amp;t=96s", "Go to time")</f>
        <v/>
      </c>
    </row>
    <row r="10845">
      <c r="A10845">
        <f>HYPERLINK("https://www.youtube.com/watch?v=JlbwchclCBo", "Video")</f>
        <v/>
      </c>
      <c r="B10845" t="inlineStr">
        <is>
          <t>1:51</t>
        </is>
      </c>
      <c r="C10845" t="inlineStr">
        <is>
          <t>2,000 editorial, non-paid obituaries</t>
        </is>
      </c>
      <c r="D10845">
        <f>HYPERLINK("https://www.youtube.com/watch?v=JlbwchclCBo&amp;t=111s", "Go to time")</f>
        <v/>
      </c>
    </row>
    <row r="10846">
      <c r="A10846">
        <f>HYPERLINK("https://www.youtube.com/watch?v=JlbwchclCBo", "Video")</f>
        <v/>
      </c>
      <c r="B10846" t="inlineStr">
        <is>
          <t>2:06</t>
        </is>
      </c>
      <c r="C10846" t="inlineStr">
        <is>
          <t>This here is an obituary headline.</t>
        </is>
      </c>
      <c r="D10846">
        <f>HYPERLINK("https://www.youtube.com/watch?v=JlbwchclCBo&amp;t=126s", "Go to time")</f>
        <v/>
      </c>
    </row>
    <row r="10847">
      <c r="A10847">
        <f>HYPERLINK("https://www.youtube.com/watch?v=JlbwchclCBo", "Video")</f>
        <v/>
      </c>
      <c r="B10847" t="inlineStr">
        <is>
          <t>4:18</t>
        </is>
      </c>
      <c r="C10847" t="inlineStr">
        <is>
          <t>So, we ingested the entire
first paragraph of all 2,000 obituaries,</t>
        </is>
      </c>
      <c r="D10847">
        <f>HYPERLINK("https://www.youtube.com/watch?v=JlbwchclCBo&amp;t=258s", "Go to time")</f>
        <v/>
      </c>
    </row>
    <row r="10848">
      <c r="A10848">
        <f>HYPERLINK("https://www.youtube.com/watch?v=JlbwchclCBo", "Video")</f>
        <v/>
      </c>
      <c r="B10848" t="inlineStr">
        <is>
          <t>5:08</t>
        </is>
      </c>
      <c r="C10848" t="inlineStr">
        <is>
          <t>and remind your kids to cut out
your obituary when you're gone.</t>
        </is>
      </c>
      <c r="D10848">
        <f>HYPERLINK("https://www.youtube.com/watch?v=JlbwchclCBo&amp;t=308s", "Go to time")</f>
        <v/>
      </c>
    </row>
    <row r="10849">
      <c r="A10849">
        <f>HYPERLINK("https://www.youtube.com/watch?v=JlbwchclCBo", "Video")</f>
        <v/>
      </c>
      <c r="B10849" t="inlineStr">
        <is>
          <t>5:32</t>
        </is>
      </c>
      <c r="C10849" t="inlineStr">
        <is>
          <t>was the fact that the overwhelming
majority of obituaries</t>
        </is>
      </c>
      <c r="D10849">
        <f>HYPERLINK("https://www.youtube.com/watch?v=JlbwchclCBo&amp;t=332s", "Go to time")</f>
        <v/>
      </c>
    </row>
    <row r="10850">
      <c r="A10850">
        <f>HYPERLINK("https://www.youtube.com/watch?v=EkIpeO1r0NI", "Video")</f>
        <v/>
      </c>
      <c r="B10850" t="inlineStr">
        <is>
          <t>4:36</t>
        </is>
      </c>
      <c r="C10850" t="inlineStr">
        <is>
          <t>to the point where many of their homes
become uninhabitable;</t>
        </is>
      </c>
      <c r="D10850">
        <f>HYPERLINK("https://www.youtube.com/watch?v=EkIpeO1r0NI&amp;t=276s", "Go to time")</f>
        <v/>
      </c>
    </row>
    <row r="10851">
      <c r="A10851">
        <f>HYPERLINK("https://www.youtube.com/watch?v=8Dv2Hdf5TRg", "Video")</f>
        <v/>
      </c>
      <c r="B10851" t="inlineStr">
        <is>
          <t>6:21</t>
        </is>
      </c>
      <c r="C10851" t="inlineStr">
        <is>
          <t>ones who had ambition for their future,</t>
        </is>
      </c>
      <c r="D10851">
        <f>HYPERLINK("https://www.youtube.com/watch?v=8Dv2Hdf5TRg&amp;t=381s", "Go to time")</f>
        <v/>
      </c>
    </row>
    <row r="10852">
      <c r="A10852">
        <f>HYPERLINK("https://www.youtube.com/watch?v=8Dv2Hdf5TRg", "Video")</f>
        <v/>
      </c>
      <c r="B10852" t="inlineStr">
        <is>
          <t>11:25</t>
        </is>
      </c>
      <c r="C10852" t="inlineStr">
        <is>
          <t>It's a bit embarrassing.</t>
        </is>
      </c>
      <c r="D10852">
        <f>HYPERLINK("https://www.youtube.com/watch?v=8Dv2Hdf5TRg&amp;t=685s", "Go to time")</f>
        <v/>
      </c>
    </row>
    <row r="10853">
      <c r="A10853">
        <f>HYPERLINK("https://www.youtube.com/watch?v=8Dv2Hdf5TRg", "Video")</f>
        <v/>
      </c>
      <c r="B10853" t="inlineStr">
        <is>
          <t>11:55</t>
        </is>
      </c>
      <c r="C10853" t="inlineStr">
        <is>
          <t>I tell them I'm ambitious
for their future,</t>
        </is>
      </c>
      <c r="D10853">
        <f>HYPERLINK("https://www.youtube.com/watch?v=8Dv2Hdf5TRg&amp;t=715s", "Go to time")</f>
        <v/>
      </c>
    </row>
    <row r="10854">
      <c r="A10854">
        <f>HYPERLINK("https://www.youtube.com/watch?v=6k8YBJ5sgko", "Video")</f>
        <v/>
      </c>
      <c r="B10854" t="inlineStr">
        <is>
          <t>0:58</t>
        </is>
      </c>
      <c r="C10854" t="inlineStr">
        <is>
          <t>I was bullied quite a bit.</t>
        </is>
      </c>
      <c r="D10854">
        <f>HYPERLINK("https://www.youtube.com/watch?v=6k8YBJ5sgko&amp;t=58s", "Go to time")</f>
        <v/>
      </c>
    </row>
    <row r="10855">
      <c r="A10855">
        <f>HYPERLINK("https://www.youtube.com/watch?v=6k8YBJ5sgko", "Video")</f>
        <v/>
      </c>
      <c r="B10855" t="inlineStr">
        <is>
          <t>6:54</t>
        </is>
      </c>
      <c r="C10855" t="inlineStr">
        <is>
          <t>which they are prohibited
from participating in.</t>
        </is>
      </c>
      <c r="D10855">
        <f>HYPERLINK("https://www.youtube.com/watch?v=6k8YBJ5sgko&amp;t=414s", "Go to time")</f>
        <v/>
      </c>
    </row>
    <row r="10856">
      <c r="A10856">
        <f>HYPERLINK("https://www.youtube.com/watch?v=60e6u_1TEIs", "Video")</f>
        <v/>
      </c>
      <c r="B10856" t="inlineStr">
        <is>
          <t>7:33</t>
        </is>
      </c>
      <c r="C10856" t="inlineStr">
        <is>
          <t>And I love this bit --</t>
        </is>
      </c>
      <c r="D10856">
        <f>HYPERLINK("https://www.youtube.com/watch?v=60e6u_1TEIs&amp;t=453s", "Go to time")</f>
        <v/>
      </c>
    </row>
    <row r="10857">
      <c r="A10857">
        <f>HYPERLINK("https://www.youtube.com/watch?v=60e6u_1TEIs", "Video")</f>
        <v/>
      </c>
      <c r="B10857" t="inlineStr">
        <is>
          <t>7:59</t>
        </is>
      </c>
      <c r="C10857" t="inlineStr">
        <is>
          <t>This is still a little bit futuristic.</t>
        </is>
      </c>
      <c r="D10857">
        <f>HYPERLINK("https://www.youtube.com/watch?v=60e6u_1TEIs&amp;t=479s", "Go to time")</f>
        <v/>
      </c>
    </row>
    <row r="10858">
      <c r="A10858">
        <f>HYPERLINK("https://www.youtube.com/watch?v=tbicAmaXYtM", "Video")</f>
        <v/>
      </c>
      <c r="B10858" t="inlineStr">
        <is>
          <t>2:36</t>
        </is>
      </c>
      <c r="C10858" t="inlineStr">
        <is>
          <t>and its inhabitants are black people.</t>
        </is>
      </c>
      <c r="D10858">
        <f>HYPERLINK("https://www.youtube.com/watch?v=tbicAmaXYtM&amp;t=156s", "Go to time")</f>
        <v/>
      </c>
    </row>
    <row r="10859">
      <c r="A10859">
        <f>HYPERLINK("https://www.youtube.com/watch?v=Kl3VVrggKz4", "Video")</f>
        <v/>
      </c>
      <c r="B10859" t="inlineStr">
        <is>
          <t>3:42</t>
        </is>
      </c>
      <c r="C10859" t="inlineStr">
        <is>
          <t>means we now use half
of the world's habitable land for farming.</t>
        </is>
      </c>
      <c r="D10859">
        <f>HYPERLINK("https://www.youtube.com/watch?v=Kl3VVrggKz4&amp;t=222s", "Go to time")</f>
        <v/>
      </c>
    </row>
    <row r="10860">
      <c r="A10860">
        <f>HYPERLINK("https://www.youtube.com/watch?v=Kl3VVrggKz4", "Video")</f>
        <v/>
      </c>
      <c r="B10860" t="inlineStr">
        <is>
          <t>4:36</t>
        </is>
      </c>
      <c r="C10860" t="inlineStr">
        <is>
          <t>There's a bit of truth to this --</t>
        </is>
      </c>
      <c r="D10860">
        <f>HYPERLINK("https://www.youtube.com/watch?v=Kl3VVrggKz4&amp;t=276s", "Go to time")</f>
        <v/>
      </c>
    </row>
    <row r="10861">
      <c r="A10861">
        <f>HYPERLINK("https://www.youtube.com/watch?v=Kl3VVrggKz4", "Video")</f>
        <v/>
      </c>
      <c r="B10861" t="inlineStr">
        <is>
          <t>4:45</t>
        </is>
      </c>
      <c r="C10861" t="inlineStr">
        <is>
          <t>Offshoring is a bit of the story,
but it's not the entire story.</t>
        </is>
      </c>
      <c r="D10861">
        <f>HYPERLINK("https://www.youtube.com/watch?v=Kl3VVrggKz4&amp;t=285s", "Go to time")</f>
        <v/>
      </c>
    </row>
    <row r="10862">
      <c r="A10862">
        <f>HYPERLINK("https://www.youtube.com/watch?v=DYpmewVFACM", "Video")</f>
        <v/>
      </c>
      <c r="B10862" t="inlineStr">
        <is>
          <t>2:16</t>
        </is>
      </c>
      <c r="C10862" t="inlineStr">
        <is>
          <t>So we're not going to go
down a rabbit hole,</t>
        </is>
      </c>
      <c r="D10862">
        <f>HYPERLINK("https://www.youtube.com/watch?v=DYpmewVFACM&amp;t=136s", "Go to time")</f>
        <v/>
      </c>
    </row>
    <row r="10863">
      <c r="A10863">
        <f>HYPERLINK("https://www.youtube.com/watch?v=j-Mys_05D78", "Video")</f>
        <v/>
      </c>
      <c r="B10863" t="inlineStr">
        <is>
          <t>2:08</t>
        </is>
      </c>
      <c r="C10863" t="inlineStr">
        <is>
          <t>and you won't be tempted
to hold back a bit</t>
        </is>
      </c>
      <c r="D10863">
        <f>HYPERLINK("https://www.youtube.com/watch?v=j-Mys_05D78&amp;t=128s", "Go to time")</f>
        <v/>
      </c>
    </row>
    <row r="10864">
      <c r="A10864">
        <f>HYPERLINK("https://www.youtube.com/watch?v=JoUZ929qoLk", "Video")</f>
        <v/>
      </c>
      <c r="B10864" t="inlineStr">
        <is>
          <t>2:09</t>
        </is>
      </c>
      <c r="C10864" t="inlineStr">
        <is>
          <t>where all the men are getting
a little bit uncomfortable.</t>
        </is>
      </c>
      <c r="D10864">
        <f>HYPERLINK("https://www.youtube.com/watch?v=JoUZ929qoLk&amp;t=129s", "Go to time")</f>
        <v/>
      </c>
    </row>
    <row r="10865">
      <c r="A10865">
        <f>HYPERLINK("https://www.youtube.com/watch?v=IQkj4CF_ha4", "Video")</f>
        <v/>
      </c>
      <c r="B10865" t="inlineStr">
        <is>
          <t>1:25</t>
        </is>
      </c>
      <c r="C10865" t="inlineStr">
        <is>
          <t>And we now have
over 200 satellites in orbit,</t>
        </is>
      </c>
      <c r="D10865">
        <f>HYPERLINK("https://www.youtube.com/watch?v=IQkj4CF_ha4&amp;t=85s", "Go to time")</f>
        <v/>
      </c>
    </row>
    <row r="10866">
      <c r="A10866">
        <f>HYPERLINK("https://www.youtube.com/watch?v=IQkj4CF_ha4", "Video")</f>
        <v/>
      </c>
      <c r="B10866" t="inlineStr">
        <is>
          <t>2:34</t>
        </is>
      </c>
      <c r="C10866" t="inlineStr">
        <is>
          <t>It's a bit like Google Earth,
except it's up-to-date imagery,</t>
        </is>
      </c>
      <c r="D10866">
        <f>HYPERLINK("https://www.youtube.com/watch?v=IQkj4CF_ha4&amp;t=154s", "Go to time")</f>
        <v/>
      </c>
    </row>
    <row r="10867">
      <c r="A10867">
        <f>HYPERLINK("https://www.youtube.com/watch?v=0ITuQcoLXeE", "Video")</f>
        <v/>
      </c>
      <c r="B10867" t="inlineStr">
        <is>
          <t>0:12</t>
        </is>
      </c>
      <c r="C10867" t="inlineStr">
        <is>
          <t>I've observed endangered species
and habitats around the world,</t>
        </is>
      </c>
      <c r="D10867">
        <f>HYPERLINK("https://www.youtube.com/watch?v=0ITuQcoLXeE&amp;t=12s", "Go to time")</f>
        <v/>
      </c>
    </row>
    <row r="10868">
      <c r="A10868">
        <f>HYPERLINK("https://www.youtube.com/watch?v=0ITuQcoLXeE", "Video")</f>
        <v/>
      </c>
      <c r="B10868" t="inlineStr">
        <is>
          <t>0:26</t>
        </is>
      </c>
      <c r="C10868" t="inlineStr">
        <is>
          <t>the fleeting moments
between wildlife and the natural habitat</t>
        </is>
      </c>
      <c r="D10868">
        <f>HYPERLINK("https://www.youtube.com/watch?v=0ITuQcoLXeE&amp;t=26s", "Go to time")</f>
        <v/>
      </c>
    </row>
    <row r="10869">
      <c r="A10869">
        <f>HYPERLINK("https://www.youtube.com/watch?v=reUZRyXxUs4", "Video")</f>
        <v/>
      </c>
      <c r="B10869" t="inlineStr">
        <is>
          <t>9:58</t>
        </is>
      </c>
      <c r="C10869" t="inlineStr">
        <is>
          <t>with just a bit of training.</t>
        </is>
      </c>
      <c r="D10869">
        <f>HYPERLINK("https://www.youtube.com/watch?v=reUZRyXxUs4&amp;t=598s", "Go to time")</f>
        <v/>
      </c>
    </row>
    <row r="10870">
      <c r="A10870">
        <f>HYPERLINK("https://www.youtube.com/watch?v=ieSV8-isy3M", "Video")</f>
        <v/>
      </c>
      <c r="B10870" t="inlineStr">
        <is>
          <t>1:34</t>
        </is>
      </c>
      <c r="C10870" t="inlineStr">
        <is>
          <t>and then to inhabit
that world through play</t>
        </is>
      </c>
      <c r="D10870">
        <f>HYPERLINK("https://www.youtube.com/watch?v=ieSV8-isy3M&amp;t=94s", "Go to time")</f>
        <v/>
      </c>
    </row>
    <row r="10871">
      <c r="A10871">
        <f>HYPERLINK("https://www.youtube.com/watch?v=ieSV8-isy3M", "Video")</f>
        <v/>
      </c>
      <c r="B10871" t="inlineStr">
        <is>
          <t>1:36</t>
        </is>
      </c>
      <c r="C10871" t="inlineStr">
        <is>
          <t>and to invite her friends to join her
in cohabiting and cocreating that world.</t>
        </is>
      </c>
      <c r="D10871">
        <f>HYPERLINK("https://www.youtube.com/watch?v=ieSV8-isy3M&amp;t=96s", "Go to time")</f>
        <v/>
      </c>
    </row>
    <row r="10872">
      <c r="A10872">
        <f>HYPERLINK("https://www.youtube.com/watch?v=ieSV8-isy3M", "Video")</f>
        <v/>
      </c>
      <c r="B10872" t="inlineStr">
        <is>
          <t>3:41</t>
        </is>
      </c>
      <c r="C10872" t="inlineStr">
        <is>
          <t>and allows people to sort of journey
through the exhibitions</t>
        </is>
      </c>
      <c r="D10872">
        <f>HYPERLINK("https://www.youtube.com/watch?v=ieSV8-isy3M&amp;t=221s", "Go to time")</f>
        <v/>
      </c>
    </row>
    <row r="10873">
      <c r="A10873">
        <f>HYPERLINK("https://www.youtube.com/watch?v=ieSV8-isy3M", "Video")</f>
        <v/>
      </c>
      <c r="B10873" t="inlineStr">
        <is>
          <t>12:50</t>
        </is>
      </c>
      <c r="C10873" t="inlineStr">
        <is>
          <t>we're using biorock to create new reefs
to regenerate habitat.</t>
        </is>
      </c>
      <c r="D10873">
        <f>HYPERLINK("https://www.youtube.com/watch?v=ieSV8-isy3M&amp;t=770s", "Go to time")</f>
        <v/>
      </c>
    </row>
    <row r="10874">
      <c r="A10874">
        <f>HYPERLINK("https://www.youtube.com/watch?v=ieSV8-isy3M", "Video")</f>
        <v/>
      </c>
      <c r="B10874" t="inlineStr">
        <is>
          <t>14:47</t>
        </is>
      </c>
      <c r="C10874" t="inlineStr">
        <is>
          <t>unless we also develop alternate forms
of floating human habitats.</t>
        </is>
      </c>
      <c r="D10874">
        <f>HYPERLINK("https://www.youtube.com/watch?v=ieSV8-isy3M&amp;t=887s", "Go to time")</f>
        <v/>
      </c>
    </row>
    <row r="10875">
      <c r="A10875">
        <f>HYPERLINK("https://www.youtube.com/watch?v=wybp16nlroo", "Video")</f>
        <v/>
      </c>
      <c r="B10875" t="inlineStr">
        <is>
          <t>0:39</t>
        </is>
      </c>
      <c r="C10875" t="inlineStr">
        <is>
          <t>They also create satellites
that orbit the Earth</t>
        </is>
      </c>
      <c r="D10875">
        <f>HYPERLINK("https://www.youtube.com/watch?v=wybp16nlroo&amp;t=39s", "Go to time")</f>
        <v/>
      </c>
    </row>
    <row r="10876">
      <c r="A10876">
        <f>HYPERLINK("https://www.youtube.com/watch?v=wybp16nlroo", "Video")</f>
        <v/>
      </c>
      <c r="B10876" t="inlineStr">
        <is>
          <t>0:45</t>
        </is>
      </c>
      <c r="C10876" t="inlineStr">
        <is>
          <t>But today, I'm going to talk about
something a little bit closer to home.</t>
        </is>
      </c>
      <c r="D10876">
        <f>HYPERLINK("https://www.youtube.com/watch?v=wybp16nlroo&amp;t=45s", "Go to time")</f>
        <v/>
      </c>
    </row>
    <row r="10877">
      <c r="A10877">
        <f>HYPERLINK("https://www.youtube.com/watch?v=BIvezCVcsYs", "Video")</f>
        <v/>
      </c>
      <c r="B10877" t="inlineStr">
        <is>
          <t>2:02</t>
        </is>
      </c>
      <c r="C10877" t="inlineStr">
        <is>
          <t>These stars seem to orbit
an invisible object.</t>
        </is>
      </c>
      <c r="D10877">
        <f>HYPERLINK("https://www.youtube.com/watch?v=BIvezCVcsYs&amp;t=122s", "Go to time")</f>
        <v/>
      </c>
    </row>
    <row r="10878">
      <c r="A10878">
        <f>HYPERLINK("https://www.youtube.com/watch?v=BIvezCVcsYs", "Video")</f>
        <v/>
      </c>
      <c r="B10878" t="inlineStr">
        <is>
          <t>5:26</t>
        </is>
      </c>
      <c r="C10878" t="inlineStr">
        <is>
          <t>This would be a little bit
like turning the Earth</t>
        </is>
      </c>
      <c r="D10878">
        <f>HYPERLINK("https://www.youtube.com/watch?v=BIvezCVcsYs&amp;t=326s", "Go to time")</f>
        <v/>
      </c>
    </row>
    <row r="10879">
      <c r="A10879">
        <f>HYPERLINK("https://www.youtube.com/watch?v=BIvezCVcsYs", "Video")</f>
        <v/>
      </c>
      <c r="B10879" t="inlineStr">
        <is>
          <t>9:37</t>
        </is>
      </c>
      <c r="C10879" t="inlineStr">
        <is>
          <t>This is a little bit like
giving the same description</t>
        </is>
      </c>
      <c r="D10879">
        <f>HYPERLINK("https://www.youtube.com/watch?v=BIvezCVcsYs&amp;t=577s", "Go to time")</f>
        <v/>
      </c>
    </row>
    <row r="10880">
      <c r="A10880">
        <f>HYPERLINK("https://www.youtube.com/watch?v=BIvezCVcsYs", "Video")</f>
        <v/>
      </c>
      <c r="B10880" t="inlineStr">
        <is>
          <t>10:03</t>
        </is>
      </c>
      <c r="C10880" t="inlineStr">
        <is>
          <t>We then can treat each image patch
a little bit like pieces of a puzzle.</t>
        </is>
      </c>
      <c r="D10880">
        <f>HYPERLINK("https://www.youtube.com/watch?v=BIvezCVcsYs&amp;t=603s", "Go to time")</f>
        <v/>
      </c>
    </row>
    <row r="10881">
      <c r="A10881">
        <f>HYPERLINK("https://www.youtube.com/watch?v=jx4q82a6jHc", "Video")</f>
        <v/>
      </c>
      <c r="B10881" t="inlineStr">
        <is>
          <t>2:51</t>
        </is>
      </c>
      <c r="C10881" t="inlineStr">
        <is>
          <t>That is a little bit of something
that's not actually in my script.</t>
        </is>
      </c>
      <c r="D10881">
        <f>HYPERLINK("https://www.youtube.com/watch?v=jx4q82a6jHc&amp;t=171s", "Go to time")</f>
        <v/>
      </c>
    </row>
    <row r="10882">
      <c r="A10882">
        <f>HYPERLINK("https://www.youtube.com/watch?v=jx4q82a6jHc", "Video")</f>
        <v/>
      </c>
      <c r="B10882" t="inlineStr">
        <is>
          <t>4:48</t>
        </is>
      </c>
      <c r="C10882" t="inlineStr">
        <is>
          <t>They're a little bit unusual
as mammals go,</t>
        </is>
      </c>
      <c r="D10882">
        <f>HYPERLINK("https://www.youtube.com/watch?v=jx4q82a6jHc&amp;t=288s", "Go to time")</f>
        <v/>
      </c>
    </row>
    <row r="10883">
      <c r="A10883">
        <f>HYPERLINK("https://www.youtube.com/watch?v=jx4q82a6jHc", "Video")</f>
        <v/>
      </c>
      <c r="B10883" t="inlineStr">
        <is>
          <t>9:41</t>
        </is>
      </c>
      <c r="C10883" t="inlineStr">
        <is>
          <t>it's a little bit surreal</t>
        </is>
      </c>
      <c r="D10883">
        <f>HYPERLINK("https://www.youtube.com/watch?v=jx4q82a6jHc&amp;t=581s", "Go to time")</f>
        <v/>
      </c>
    </row>
    <row r="10884">
      <c r="A10884">
        <f>HYPERLINK("https://www.youtube.com/watch?v=id4YRO7G0wE", "Video")</f>
        <v/>
      </c>
      <c r="B10884" t="inlineStr">
        <is>
          <t>14:36</t>
        </is>
      </c>
      <c r="C10884" t="inlineStr">
        <is>
          <t>BS: Let me push on this a little bit.</t>
        </is>
      </c>
      <c r="D10884">
        <f>HYPERLINK("https://www.youtube.com/watch?v=id4YRO7G0wE&amp;t=876s", "Go to time")</f>
        <v/>
      </c>
    </row>
    <row r="10885">
      <c r="A10885">
        <f>HYPERLINK("https://www.youtube.com/watch?v=id4YRO7G0wE", "Video")</f>
        <v/>
      </c>
      <c r="B10885" t="inlineStr">
        <is>
          <t>22:37</t>
        </is>
      </c>
      <c r="C10885" t="inlineStr">
        <is>
          <t>who will be bitching that we want
more stuff from the younger people.</t>
        </is>
      </c>
      <c r="D10885">
        <f>HYPERLINK("https://www.youtube.com/watch?v=id4YRO7G0wE&amp;t=1357s", "Go to time")</f>
        <v/>
      </c>
    </row>
    <row r="10886">
      <c r="A10886">
        <f>HYPERLINK("https://www.youtube.com/watch?v=H_rsxmtfKr0", "Video")</f>
        <v/>
      </c>
      <c r="B10886" t="inlineStr">
        <is>
          <t>2:38</t>
        </is>
      </c>
      <c r="C10886" t="inlineStr">
        <is>
          <t>WPR: Could you talk a little bit
about your work now</t>
        </is>
      </c>
      <c r="D10886">
        <f>HYPERLINK("https://www.youtube.com/watch?v=H_rsxmtfKr0&amp;t=158s", "Go to time")</f>
        <v/>
      </c>
    </row>
    <row r="10887">
      <c r="A10887">
        <f>HYPERLINK("https://www.youtube.com/watch?v=H_rsxmtfKr0", "Video")</f>
        <v/>
      </c>
      <c r="B10887" t="inlineStr">
        <is>
          <t>8:02</t>
        </is>
      </c>
      <c r="C10887" t="inlineStr">
        <is>
          <t>Tell us a little bit
about how OneTen came about.</t>
        </is>
      </c>
      <c r="D10887">
        <f>HYPERLINK("https://www.youtube.com/watch?v=H_rsxmtfKr0&amp;t=482s", "Go to time")</f>
        <v/>
      </c>
    </row>
    <row r="10888">
      <c r="A10888">
        <f>HYPERLINK("https://www.youtube.com/watch?v=9C7jAAxWnqA", "Video")</f>
        <v/>
      </c>
      <c r="B10888" t="inlineStr">
        <is>
          <t>9:39</t>
        </is>
      </c>
      <c r="C10888" t="inlineStr">
        <is>
          <t>And so, there was so much in the book
that I maybe knew a little bit of,</t>
        </is>
      </c>
      <c r="D10888">
        <f>HYPERLINK("https://www.youtube.com/watch?v=9C7jAAxWnqA&amp;t=579s", "Go to time")</f>
        <v/>
      </c>
    </row>
    <row r="10889">
      <c r="A10889">
        <f>HYPERLINK("https://www.youtube.com/watch?v=9C7jAAxWnqA", "Video")</f>
        <v/>
      </c>
      <c r="B10889" t="inlineStr">
        <is>
          <t>14:17</t>
        </is>
      </c>
      <c r="C10889" t="inlineStr">
        <is>
          <t>And I'd love you to talk about it a bit,</t>
        </is>
      </c>
      <c r="D10889">
        <f>HYPERLINK("https://www.youtube.com/watch?v=9C7jAAxWnqA&amp;t=857s", "Go to time")</f>
        <v/>
      </c>
    </row>
    <row r="10890">
      <c r="A10890">
        <f>HYPERLINK("https://www.youtube.com/watch?v=9C7jAAxWnqA", "Video")</f>
        <v/>
      </c>
      <c r="B10890" t="inlineStr">
        <is>
          <t>16:44</t>
        </is>
      </c>
      <c r="C10890" t="inlineStr">
        <is>
          <t>AD: And it is a bit of a mantra.</t>
        </is>
      </c>
      <c r="D10890">
        <f>HYPERLINK("https://www.youtube.com/watch?v=9C7jAAxWnqA&amp;t=1004s", "Go to time")</f>
        <v/>
      </c>
    </row>
    <row r="10891">
      <c r="A10891">
        <f>HYPERLINK("https://www.youtube.com/watch?v=Vn6elsrKz70", "Video")</f>
        <v/>
      </c>
      <c r="B10891" t="inlineStr">
        <is>
          <t>3:20</t>
        </is>
      </c>
      <c r="C10891" t="inlineStr">
        <is>
          <t>So, let me start by talking a little bit
about my friends on the right,</t>
        </is>
      </c>
      <c r="D10891">
        <f>HYPERLINK("https://www.youtube.com/watch?v=Vn6elsrKz70&amp;t=200s", "Go to time")</f>
        <v/>
      </c>
    </row>
    <row r="10892">
      <c r="A10892">
        <f>HYPERLINK("https://www.youtube.com/watch?v=Vn6elsrKz70", "Video")</f>
        <v/>
      </c>
      <c r="B10892" t="inlineStr">
        <is>
          <t>10:17</t>
        </is>
      </c>
      <c r="C10892" t="inlineStr">
        <is>
          <t>Now, this is not a word that I knew before
and I did quite a bit of research.</t>
        </is>
      </c>
      <c r="D10892">
        <f>HYPERLINK("https://www.youtube.com/watch?v=Vn6elsrKz70&amp;t=617s", "Go to time")</f>
        <v/>
      </c>
    </row>
    <row r="10893">
      <c r="A10893">
        <f>HYPERLINK("https://www.youtube.com/watch?v=OjuYFNR1aWo", "Video")</f>
        <v/>
      </c>
      <c r="B10893" t="inlineStr">
        <is>
          <t>0:09</t>
        </is>
      </c>
      <c r="C10893" t="inlineStr">
        <is>
          <t>my nation suffered a little bit
of a democracy heart attack.</t>
        </is>
      </c>
      <c r="D10893">
        <f>HYPERLINK("https://www.youtube.com/watch?v=OjuYFNR1aWo&amp;t=9s", "Go to time")</f>
        <v/>
      </c>
    </row>
    <row r="10894">
      <c r="A10894">
        <f>HYPERLINK("https://www.youtube.com/watch?v=OjuYFNR1aWo", "Video")</f>
        <v/>
      </c>
      <c r="B10894" t="inlineStr">
        <is>
          <t>3:10</t>
        </is>
      </c>
      <c r="C10894" t="inlineStr">
        <is>
          <t>I'm going to talk a little bit about AI,
but I'm not going to slag on AI.</t>
        </is>
      </c>
      <c r="D10894">
        <f>HYPERLINK("https://www.youtube.com/watch?v=OjuYFNR1aWo&amp;t=190s", "Go to time")</f>
        <v/>
      </c>
    </row>
    <row r="10895">
      <c r="A10895">
        <f>HYPERLINK("https://www.youtube.com/watch?v=OjuYFNR1aWo", "Video")</f>
        <v/>
      </c>
      <c r="B10895" t="inlineStr">
        <is>
          <t>3:38</t>
        </is>
      </c>
      <c r="C10895" t="inlineStr">
        <is>
          <t>I want to instead put AI
in a little bit of a perspective,</t>
        </is>
      </c>
      <c r="D10895">
        <f>HYPERLINK("https://www.youtube.com/watch?v=OjuYFNR1aWo&amp;t=218s", "Go to time")</f>
        <v/>
      </c>
    </row>
    <row r="10896">
      <c r="A10896">
        <f>HYPERLINK("https://www.youtube.com/watch?v=OjuYFNR1aWo", "Video")</f>
        <v/>
      </c>
      <c r="B10896" t="inlineStr">
        <is>
          <t>6:25</t>
        </is>
      </c>
      <c r="C10896" t="inlineStr">
        <is>
          <t>Think about it a little bit like this.</t>
        </is>
      </c>
      <c r="D10896">
        <f>HYPERLINK("https://www.youtube.com/watch?v=OjuYFNR1aWo&amp;t=385s", "Go to time")</f>
        <v/>
      </c>
    </row>
    <row r="10897">
      <c r="A10897">
        <f>HYPERLINK("https://www.youtube.com/watch?v=OjuYFNR1aWo", "Video")</f>
        <v/>
      </c>
      <c r="B10897" t="inlineStr">
        <is>
          <t>6:47</t>
        </is>
      </c>
      <c r="C10897" t="inlineStr">
        <is>
          <t>And then we built democracy
to do that a little bit better,</t>
        </is>
      </c>
      <c r="D10897">
        <f>HYPERLINK("https://www.youtube.com/watch?v=OjuYFNR1aWo&amp;t=407s", "Go to time")</f>
        <v/>
      </c>
    </row>
    <row r="10898">
      <c r="A10898">
        <f>HYPERLINK("https://www.youtube.com/watch?v=OjuYFNR1aWo", "Video")</f>
        <v/>
      </c>
      <c r="B10898" t="inlineStr">
        <is>
          <t>7:29</t>
        </is>
      </c>
      <c r="C10898" t="inlineStr">
        <is>
          <t>But the reality of control is,
of course, a little bit different.</t>
        </is>
      </c>
      <c r="D10898">
        <f>HYPERLINK("https://www.youtube.com/watch?v=OjuYFNR1aWo&amp;t=449s", "Go to time")</f>
        <v/>
      </c>
    </row>
    <row r="10899">
      <c r="A10899">
        <f>HYPERLINK("https://www.youtube.com/watch?v=OjuYFNR1aWo", "Video")</f>
        <v/>
      </c>
      <c r="B10899" t="inlineStr">
        <is>
          <t>17:46</t>
        </is>
      </c>
      <c r="C10899" t="inlineStr">
        <is>
          <t>a tweak to just make it
a little bit more democratic.</t>
        </is>
      </c>
      <c r="D10899">
        <f>HYPERLINK("https://www.youtube.com/watch?v=OjuYFNR1aWo&amp;t=1066s", "Go to time")</f>
        <v/>
      </c>
    </row>
    <row r="10900">
      <c r="A10900">
        <f>HYPERLINK("https://www.youtube.com/watch?v=RD_SLJG7oi8", "Video")</f>
        <v/>
      </c>
      <c r="B10900" t="inlineStr">
        <is>
          <t>1:30</t>
        </is>
      </c>
      <c r="C10900" t="inlineStr">
        <is>
          <t>Design inhibits my autonomy
and my independence.</t>
        </is>
      </c>
      <c r="D10900">
        <f>HYPERLINK("https://www.youtube.com/watch?v=RD_SLJG7oi8&amp;t=90s", "Go to time")</f>
        <v/>
      </c>
    </row>
    <row r="10901">
      <c r="A10901">
        <f>HYPERLINK("https://www.youtube.com/watch?v=YP-iH-7WRLI", "Video")</f>
        <v/>
      </c>
      <c r="B10901" t="inlineStr">
        <is>
          <t>12:01</t>
        </is>
      </c>
      <c r="C10901" t="inlineStr">
        <is>
          <t>Using new technologies like Bitcoin</t>
        </is>
      </c>
      <c r="D10901">
        <f>HYPERLINK("https://www.youtube.com/watch?v=YP-iH-7WRLI&amp;t=721s", "Go to time")</f>
        <v/>
      </c>
    </row>
    <row r="10902">
      <c r="A10902">
        <f>HYPERLINK("https://www.youtube.com/watch?v=YP-iH-7WRLI", "Video")</f>
        <v/>
      </c>
      <c r="B10902" t="inlineStr">
        <is>
          <t>12:15</t>
        </is>
      </c>
      <c r="C10902" t="inlineStr">
        <is>
          <t>using Stablecoins and Bitcoins</t>
        </is>
      </c>
      <c r="D10902">
        <f>HYPERLINK("https://www.youtube.com/watch?v=YP-iH-7WRLI&amp;t=735s", "Go to time")</f>
        <v/>
      </c>
    </row>
    <row r="10903">
      <c r="A10903">
        <f>HYPERLINK("https://www.youtube.com/watch?v=T6WSy0FdBdU", "Video")</f>
        <v/>
      </c>
      <c r="B10903" t="inlineStr">
        <is>
          <t>1:09</t>
        </is>
      </c>
      <c r="C10903" t="inlineStr">
        <is>
          <t>they are designed to extract a bit more
than 10 tons of carbon dioxide</t>
        </is>
      </c>
      <c r="D10903">
        <f>HYPERLINK("https://www.youtube.com/watch?v=T6WSy0FdBdU&amp;t=69s", "Go to time")</f>
        <v/>
      </c>
    </row>
    <row r="10904">
      <c r="A10904">
        <f>HYPERLINK("https://www.youtube.com/watch?v=iKBPrJ-AKRs", "Video")</f>
        <v/>
      </c>
      <c r="B10904" t="inlineStr">
        <is>
          <t>1:58</t>
        </is>
      </c>
      <c r="C10904" t="inlineStr">
        <is>
          <t>Now we're going to fly this robot
around for you for a little bit.</t>
        </is>
      </c>
      <c r="D10904">
        <f>HYPERLINK("https://www.youtube.com/watch?v=iKBPrJ-AKRs&amp;t=118s", "Go to time")</f>
        <v/>
      </c>
    </row>
    <row r="10905">
      <c r="A10905">
        <f>HYPERLINK("https://www.youtube.com/watch?v=iKBPrJ-AKRs", "Video")</f>
        <v/>
      </c>
      <c r="B10905" t="inlineStr">
        <is>
          <t>7:20</t>
        </is>
      </c>
      <c r="C10905" t="inlineStr">
        <is>
          <t>Let's talk about a little bit
where we want to go next.</t>
        </is>
      </c>
      <c r="D10905">
        <f>HYPERLINK("https://www.youtube.com/watch?v=iKBPrJ-AKRs&amp;t=440s", "Go to time")</f>
        <v/>
      </c>
    </row>
    <row r="10906">
      <c r="A10906">
        <f>HYPERLINK("https://www.youtube.com/watch?v=9alL95G293s", "Video")</f>
        <v/>
      </c>
      <c r="B10906" t="inlineStr">
        <is>
          <t>1:20</t>
        </is>
      </c>
      <c r="C10906" t="inlineStr">
        <is>
          <t>Now that was a bit of a heavy start,
with lots of really important statistics,</t>
        </is>
      </c>
      <c r="D10906">
        <f>HYPERLINK("https://www.youtube.com/watch?v=9alL95G293s&amp;t=80s", "Go to time")</f>
        <v/>
      </c>
    </row>
    <row r="10907">
      <c r="A10907">
        <f>HYPERLINK("https://www.youtube.com/watch?v=9alL95G293s", "Video")</f>
        <v/>
      </c>
      <c r="B10907" t="inlineStr">
        <is>
          <t>1:24</t>
        </is>
      </c>
      <c r="C10907" t="inlineStr">
        <is>
          <t>so I want us all
to just relax a little bit</t>
        </is>
      </c>
      <c r="D10907">
        <f>HYPERLINK("https://www.youtube.com/watch?v=9alL95G293s&amp;t=84s", "Go to time")</f>
        <v/>
      </c>
    </row>
    <row r="10908">
      <c r="A10908">
        <f>HYPERLINK("https://www.youtube.com/watch?v=9alL95G293s", "Video")</f>
        <v/>
      </c>
      <c r="B10908" t="inlineStr">
        <is>
          <t>1:26</t>
        </is>
      </c>
      <c r="C10908" t="inlineStr">
        <is>
          <t>and that'll help me to relax
a little bit as well.</t>
        </is>
      </c>
      <c r="D10908">
        <f>HYPERLINK("https://www.youtube.com/watch?v=9alL95G293s&amp;t=86s", "Go to time")</f>
        <v/>
      </c>
    </row>
    <row r="10909">
      <c r="A10909">
        <f>HYPERLINK("https://www.youtube.com/watch?v=9alL95G293s", "Video")</f>
        <v/>
      </c>
      <c r="B10909" t="inlineStr">
        <is>
          <t>2:15</t>
        </is>
      </c>
      <c r="C10909" t="inlineStr">
        <is>
          <t>But some of us might have smelled
something a little bit less pleasant,</t>
        </is>
      </c>
      <c r="D10909">
        <f>HYPERLINK("https://www.youtube.com/watch?v=9alL95G293s&amp;t=135s", "Go to time")</f>
        <v/>
      </c>
    </row>
    <row r="10910">
      <c r="A10910">
        <f>HYPERLINK("https://www.youtube.com/watch?v=9alL95G293s", "Video")</f>
        <v/>
      </c>
      <c r="B10910" t="inlineStr">
        <is>
          <t>2:47</t>
        </is>
      </c>
      <c r="C10910" t="inlineStr">
        <is>
          <t>but it starts to get a little bit worse.</t>
        </is>
      </c>
      <c r="D10910">
        <f>HYPERLINK("https://www.youtube.com/watch?v=9alL95G293s&amp;t=167s", "Go to time")</f>
        <v/>
      </c>
    </row>
    <row r="10911">
      <c r="A10911">
        <f>HYPERLINK("https://www.youtube.com/watch?v=9alL95G293s", "Video")</f>
        <v/>
      </c>
      <c r="B10911" t="inlineStr">
        <is>
          <t>3:08</t>
        </is>
      </c>
      <c r="C10911" t="inlineStr">
        <is>
          <t>that smell and body odor
gets a bit of bad reputation.</t>
        </is>
      </c>
      <c r="D10911">
        <f>HYPERLINK("https://www.youtube.com/watch?v=9alL95G293s&amp;t=188s", "Go to time")</f>
        <v/>
      </c>
    </row>
    <row r="10912">
      <c r="A10912">
        <f>HYPERLINK("https://www.youtube.com/watch?v=9alL95G293s", "Video")</f>
        <v/>
      </c>
      <c r="B10912" t="inlineStr">
        <is>
          <t>4:41</t>
        </is>
      </c>
      <c r="C10912" t="inlineStr">
        <is>
          <t>Come on, hands up, who always
gets bitten by mosquitoes?</t>
        </is>
      </c>
      <c r="D10912">
        <f>HYPERLINK("https://www.youtube.com/watch?v=9alL95G293s&amp;t=281s", "Go to time")</f>
        <v/>
      </c>
    </row>
    <row r="10913">
      <c r="A10913">
        <f>HYPERLINK("https://www.youtube.com/watch?v=9alL95G293s", "Video")</f>
        <v/>
      </c>
      <c r="B10913" t="inlineStr">
        <is>
          <t>4:44</t>
        </is>
      </c>
      <c r="C10913" t="inlineStr">
        <is>
          <t>And who never gets bitten?</t>
        </is>
      </c>
      <c r="D10913">
        <f>HYPERLINK("https://www.youtube.com/watch?v=9alL95G293s&amp;t=284s", "Go to time")</f>
        <v/>
      </c>
    </row>
    <row r="10914">
      <c r="A10914">
        <f>HYPERLINK("https://www.youtube.com/watch?v=9alL95G293s", "Video")</f>
        <v/>
      </c>
      <c r="B10914" t="inlineStr">
        <is>
          <t>4:45</t>
        </is>
      </c>
      <c r="C10914" t="inlineStr">
        <is>
          <t>There's always one or two really
annoying people that never get bitten.</t>
        </is>
      </c>
      <c r="D10914">
        <f>HYPERLINK("https://www.youtube.com/watch?v=9alL95G293s&amp;t=285s", "Go to time")</f>
        <v/>
      </c>
    </row>
    <row r="10915">
      <c r="A10915">
        <f>HYPERLINK("https://www.youtube.com/watch?v=9alL95G293s", "Video")</f>
        <v/>
      </c>
      <c r="B10915" t="inlineStr">
        <is>
          <t>5:19</t>
        </is>
      </c>
      <c r="C10915" t="inlineStr">
        <is>
          <t>to find you, that individual,
and bite you as a blood meal.</t>
        </is>
      </c>
      <c r="D10915">
        <f>HYPERLINK("https://www.youtube.com/watch?v=9alL95G293s&amp;t=319s", "Go to time")</f>
        <v/>
      </c>
    </row>
    <row r="10916">
      <c r="A10916">
        <f>HYPERLINK("https://www.youtube.com/watch?v=9alL95G293s", "Video")</f>
        <v/>
      </c>
      <c r="B10916" t="inlineStr">
        <is>
          <t>5:33</t>
        </is>
      </c>
      <c r="C10916" t="inlineStr">
        <is>
          <t>but basically, what happens is a mosquito
has to bite somebody to become infected.</t>
        </is>
      </c>
      <c r="D10916">
        <f>HYPERLINK("https://www.youtube.com/watch?v=9alL95G293s&amp;t=333s", "Go to time")</f>
        <v/>
      </c>
    </row>
    <row r="10917">
      <c r="A10917">
        <f>HYPERLINK("https://www.youtube.com/watch?v=9alL95G293s", "Video")</f>
        <v/>
      </c>
      <c r="B10917" t="inlineStr">
        <is>
          <t>5:37</t>
        </is>
      </c>
      <c r="C10917" t="inlineStr">
        <is>
          <t>Once it bites an infected person,</t>
        </is>
      </c>
      <c r="D10917">
        <f>HYPERLINK("https://www.youtube.com/watch?v=9alL95G293s&amp;t=337s", "Go to time")</f>
        <v/>
      </c>
    </row>
    <row r="10918">
      <c r="A10918">
        <f>HYPERLINK("https://www.youtube.com/watch?v=9alL95G293s", "Video")</f>
        <v/>
      </c>
      <c r="B10918" t="inlineStr">
        <is>
          <t>5:54</t>
        </is>
      </c>
      <c r="C10918" t="inlineStr">
        <is>
          <t>when the mosquito bites,
because it injects saliva as it bites.</t>
        </is>
      </c>
      <c r="D10918">
        <f>HYPERLINK("https://www.youtube.com/watch?v=9alL95G293s&amp;t=354s", "Go to time")</f>
        <v/>
      </c>
    </row>
    <row r="10919">
      <c r="A10919">
        <f>HYPERLINK("https://www.youtube.com/watch?v=9alL95G293s", "Video")</f>
        <v/>
      </c>
      <c r="B10919" t="inlineStr">
        <is>
          <t>10:11</t>
        </is>
      </c>
      <c r="C10919" t="inlineStr">
        <is>
          <t>and it will go a bit crazy,
sort of blow a raspberry,</t>
        </is>
      </c>
      <c r="D10919">
        <f>HYPERLINK("https://www.youtube.com/watch?v=9alL95G293s&amp;t=611s", "Go to time")</f>
        <v/>
      </c>
    </row>
    <row r="10920">
      <c r="A10920">
        <f>HYPERLINK("https://www.youtube.com/watch?v=9alL95G293s", "Video")</f>
        <v/>
      </c>
      <c r="B10920" t="inlineStr">
        <is>
          <t>12:31</t>
        </is>
      </c>
      <c r="C10920" t="inlineStr">
        <is>
          <t>but that'd be a bit dull, wouldn't it.</t>
        </is>
      </c>
      <c r="D10920">
        <f>HYPERLINK("https://www.youtube.com/watch?v=9alL95G293s&amp;t=751s", "Go to time")</f>
        <v/>
      </c>
    </row>
    <row r="10921">
      <c r="A10921">
        <f>HYPERLINK("https://www.youtube.com/watch?v=9alL95G293s", "Video")</f>
        <v/>
      </c>
      <c r="B10921" t="inlineStr">
        <is>
          <t>13:00</t>
        </is>
      </c>
      <c r="C10921" t="inlineStr">
        <is>
          <t>OK, so now what I'm going to ask is
if you can all just be a little bit quiet,</t>
        </is>
      </c>
      <c r="D10921">
        <f>HYPERLINK("https://www.youtube.com/watch?v=9alL95G293s&amp;t=780s", "Go to time")</f>
        <v/>
      </c>
    </row>
    <row r="10922">
      <c r="A10922">
        <f>HYPERLINK("https://www.youtube.com/watch?v=9alL95G293s", "Video")</f>
        <v/>
      </c>
      <c r="B10922" t="inlineStr">
        <is>
          <t>14:28</t>
        </is>
      </c>
      <c r="C10922" t="inlineStr">
        <is>
          <t>Now Sarah is going to actually change
the pots around a little bit,</t>
        </is>
      </c>
      <c r="D10922">
        <f>HYPERLINK("https://www.youtube.com/watch?v=9alL95G293s&amp;t=868s", "Go to time")</f>
        <v/>
      </c>
    </row>
    <row r="10923">
      <c r="A10923">
        <f>HYPERLINK("https://www.youtube.com/watch?v=9alL95G293s", "Video")</f>
        <v/>
      </c>
      <c r="B10923" t="inlineStr">
        <is>
          <t>14:53</t>
        </is>
      </c>
      <c r="C10923" t="inlineStr">
        <is>
          <t>and this is a tiny bit of a sock as well.</t>
        </is>
      </c>
      <c r="D10923">
        <f>HYPERLINK("https://www.youtube.com/watch?v=9alL95G293s&amp;t=893s", "Go to time")</f>
        <v/>
      </c>
    </row>
    <row r="10924">
      <c r="A10924">
        <f>HYPERLINK("https://www.youtube.com/watch?v=UGHzKaAOOcA", "Video")</f>
        <v/>
      </c>
      <c r="B10924" t="inlineStr">
        <is>
          <t>8:42</t>
        </is>
      </c>
      <c r="C10924" t="inlineStr">
        <is>
          <t>you might want to expand
that just a little bit.</t>
        </is>
      </c>
      <c r="D10924">
        <f>HYPERLINK("https://www.youtube.com/watch?v=UGHzKaAOOcA&amp;t=522s", "Go to time")</f>
        <v/>
      </c>
    </row>
    <row r="10925">
      <c r="A10925">
        <f>HYPERLINK("https://www.youtube.com/watch?v=UGHzKaAOOcA", "Video")</f>
        <v/>
      </c>
      <c r="B10925" t="inlineStr">
        <is>
          <t>11:50</t>
        </is>
      </c>
      <c r="C10925" t="inlineStr">
        <is>
          <t>And to dwell just a little bit
with the conflict.</t>
        </is>
      </c>
      <c r="D10925">
        <f>HYPERLINK("https://www.youtube.com/watch?v=UGHzKaAOOcA&amp;t=710s", "Go to time")</f>
        <v/>
      </c>
    </row>
    <row r="10926">
      <c r="A10926">
        <f>HYPERLINK("https://www.youtube.com/watch?v=3itrpciAF4I", "Video")</f>
        <v/>
      </c>
      <c r="B10926" t="inlineStr">
        <is>
          <t>1:46</t>
        </is>
      </c>
      <c r="C10926" t="inlineStr">
        <is>
          <t>If we zoom out a little bit,</t>
        </is>
      </c>
      <c r="D10926">
        <f>HYPERLINK("https://www.youtube.com/watch?v=3itrpciAF4I&amp;t=106s", "Go to time")</f>
        <v/>
      </c>
    </row>
    <row r="10927">
      <c r="A10927">
        <f>HYPERLINK("https://www.youtube.com/watch?v=pyFcr2WcOyo", "Video")</f>
        <v/>
      </c>
      <c r="B10927" t="inlineStr">
        <is>
          <t>5:00</t>
        </is>
      </c>
      <c r="C10927" t="inlineStr">
        <is>
          <t>into something that's a little bit
better for the plant.</t>
        </is>
      </c>
      <c r="D10927">
        <f>HYPERLINK("https://www.youtube.com/watch?v=pyFcr2WcOyo&amp;t=300s", "Go to time")</f>
        <v/>
      </c>
    </row>
    <row r="10928">
      <c r="A10928">
        <f>HYPERLINK("https://www.youtube.com/watch?v=KKNCiRWd_j0", "Video")</f>
        <v/>
      </c>
      <c r="B10928" t="inlineStr">
        <is>
          <t>3:25</t>
        </is>
      </c>
      <c r="C10928" t="inlineStr">
        <is>
          <t>a little bit defensive.</t>
        </is>
      </c>
      <c r="D10928">
        <f>HYPERLINK("https://www.youtube.com/watch?v=KKNCiRWd_j0&amp;t=205s", "Go to time")</f>
        <v/>
      </c>
    </row>
    <row r="10929">
      <c r="A10929">
        <f>HYPERLINK("https://www.youtube.com/watch?v=PbgB2TaYhio", "Video")</f>
        <v/>
      </c>
      <c r="B10929" t="inlineStr">
        <is>
          <t>0:44</t>
        </is>
      </c>
      <c r="C10929" t="inlineStr">
        <is>
          <t>is because it would get you
a little bit closer</t>
        </is>
      </c>
      <c r="D10929">
        <f>HYPERLINK("https://www.youtube.com/watch?v=PbgB2TaYhio&amp;t=44s", "Go to time")</f>
        <v/>
      </c>
    </row>
    <row r="10930">
      <c r="A10930">
        <f>HYPERLINK("https://www.youtube.com/watch?v=PbgB2TaYhio", "Video")</f>
        <v/>
      </c>
      <c r="B10930" t="inlineStr">
        <is>
          <t>10:37</t>
        </is>
      </c>
      <c r="C10930" t="inlineStr">
        <is>
          <t>These seem like really
arbitrarily short limits</t>
        </is>
      </c>
      <c r="D10930">
        <f>HYPERLINK("https://www.youtube.com/watch?v=PbgB2TaYhio&amp;t=637s", "Go to time")</f>
        <v/>
      </c>
    </row>
    <row r="10931">
      <c r="A10931">
        <f>HYPERLINK("https://www.youtube.com/watch?v=PbgB2TaYhio", "Video")</f>
        <v/>
      </c>
      <c r="B10931" t="inlineStr">
        <is>
          <t>10:43</t>
        </is>
      </c>
      <c r="C10931" t="inlineStr">
        <is>
          <t>But these are not arbitrary limits.</t>
        </is>
      </c>
      <c r="D10931">
        <f>HYPERLINK("https://www.youtube.com/watch?v=PbgB2TaYhio&amp;t=643s", "Go to time")</f>
        <v/>
      </c>
    </row>
    <row r="10932">
      <c r="A10932">
        <f>HYPERLINK("https://www.youtube.com/watch?v=Xj-ncWb4N-I", "Video")</f>
        <v/>
      </c>
      <c r="B10932" t="inlineStr">
        <is>
          <t>1:41</t>
        </is>
      </c>
      <c r="C10932" t="inlineStr">
        <is>
          <t>watching an expert for a bit,</t>
        </is>
      </c>
      <c r="D10932">
        <f>HYPERLINK("https://www.youtube.com/watch?v=Xj-ncWb4N-I&amp;t=101s", "Go to time")</f>
        <v/>
      </c>
    </row>
    <row r="10933">
      <c r="A10933">
        <f>HYPERLINK("https://www.youtube.com/watch?v=XZfKdlIRqYk", "Video")</f>
        <v/>
      </c>
      <c r="B10933" t="inlineStr">
        <is>
          <t>5:18</t>
        </is>
      </c>
      <c r="C10933" t="inlineStr">
        <is>
          <t>a little bit,</t>
        </is>
      </c>
      <c r="D10933">
        <f>HYPERLINK("https://www.youtube.com/watch?v=XZfKdlIRqYk&amp;t=318s", "Go to time")</f>
        <v/>
      </c>
    </row>
    <row r="10934">
      <c r="A10934">
        <f>HYPERLINK("https://www.youtube.com/watch?v=XZfKdlIRqYk", "Video")</f>
        <v/>
      </c>
      <c r="B10934" t="inlineStr">
        <is>
          <t>13:46</t>
        </is>
      </c>
      <c r="C10934" t="inlineStr">
        <is>
          <t>But it's a little bit uncomfortable.</t>
        </is>
      </c>
      <c r="D10934">
        <f>HYPERLINK("https://www.youtube.com/watch?v=XZfKdlIRqYk&amp;t=826s", "Go to time")</f>
        <v/>
      </c>
    </row>
    <row r="10935">
      <c r="A10935">
        <f>HYPERLINK("https://www.youtube.com/watch?v=XZfKdlIRqYk", "Video")</f>
        <v/>
      </c>
      <c r="B10935" t="inlineStr">
        <is>
          <t>13:57</t>
        </is>
      </c>
      <c r="C10935" t="inlineStr">
        <is>
          <t>but you're also a little bit uncomfortable
about me standing up here</t>
        </is>
      </c>
      <c r="D10935">
        <f>HYPERLINK("https://www.youtube.com/watch?v=XZfKdlIRqYk&amp;t=837s", "Go to time")</f>
        <v/>
      </c>
    </row>
    <row r="10936">
      <c r="A10936">
        <f>HYPERLINK("https://www.youtube.com/watch?v=_vBggxCNNno", "Video")</f>
        <v/>
      </c>
      <c r="B10936" t="inlineStr">
        <is>
          <t>1:24</t>
        </is>
      </c>
      <c r="C10936" t="inlineStr">
        <is>
          <t>But let me first elaborate,
just a little bit, on a basic principle</t>
        </is>
      </c>
      <c r="D10936">
        <f>HYPERLINK("https://www.youtube.com/watch?v=_vBggxCNNno&amp;t=84s", "Go to time")</f>
        <v/>
      </c>
    </row>
    <row r="10937">
      <c r="A10937">
        <f>HYPERLINK("https://www.youtube.com/watch?v=_vBggxCNNno", "Video")</f>
        <v/>
      </c>
      <c r="B10937" t="inlineStr">
        <is>
          <t>1:58</t>
        </is>
      </c>
      <c r="C10937" t="inlineStr">
        <is>
          <t>But if you complicate your question
just a little bit and ask something like,</t>
        </is>
      </c>
      <c r="D10937">
        <f>HYPERLINK("https://www.youtube.com/watch?v=_vBggxCNNno&amp;t=118s", "Go to time")</f>
        <v/>
      </c>
    </row>
    <row r="10938">
      <c r="A10938">
        <f>HYPERLINK("https://www.youtube.com/watch?v=kSnvSXDN3Dk", "Video")</f>
        <v/>
      </c>
      <c r="B10938" t="inlineStr">
        <is>
          <t>4:03</t>
        </is>
      </c>
      <c r="C10938" t="inlineStr">
        <is>
          <t>has specific needs
for a habitat to thrive.</t>
        </is>
      </c>
      <c r="D10938">
        <f>HYPERLINK("https://www.youtube.com/watch?v=kSnvSXDN3Dk&amp;t=243s", "Go to time")</f>
        <v/>
      </c>
    </row>
    <row r="10939">
      <c r="A10939">
        <f>HYPERLINK("https://www.youtube.com/watch?v=kSnvSXDN3Dk", "Video")</f>
        <v/>
      </c>
      <c r="B10939" t="inlineStr">
        <is>
          <t>4:10</t>
        </is>
      </c>
      <c r="C10939" t="inlineStr">
        <is>
          <t>to ascertain whether
a particular habitat is healthy or not.</t>
        </is>
      </c>
      <c r="D10939">
        <f>HYPERLINK("https://www.youtube.com/watch?v=kSnvSXDN3Dk&amp;t=250s", "Go to time")</f>
        <v/>
      </c>
    </row>
    <row r="10940">
      <c r="A10940">
        <f>HYPERLINK("https://www.youtube.com/watch?v=kSnvSXDN3Dk", "Video")</f>
        <v/>
      </c>
      <c r="B10940" t="inlineStr">
        <is>
          <t>4:41</t>
        </is>
      </c>
      <c r="C10940" t="inlineStr">
        <is>
          <t>In terrestrial habitats,</t>
        </is>
      </c>
      <c r="D10940">
        <f>HYPERLINK("https://www.youtube.com/watch?v=kSnvSXDN3Dk&amp;t=281s", "Go to time")</f>
        <v/>
      </c>
    </row>
    <row r="10941">
      <c r="A10941">
        <f>HYPERLINK("https://www.youtube.com/watch?v=kSnvSXDN3Dk", "Video")</f>
        <v/>
      </c>
      <c r="B10941" t="inlineStr">
        <is>
          <t>5:10</t>
        </is>
      </c>
      <c r="C10941" t="inlineStr">
        <is>
          <t>you can bet other species
that live in the same habitat</t>
        </is>
      </c>
      <c r="D10941">
        <f>HYPERLINK("https://www.youtube.com/watch?v=kSnvSXDN3Dk&amp;t=310s", "Go to time")</f>
        <v/>
      </c>
    </row>
    <row r="10942">
      <c r="A10942">
        <f>HYPERLINK("https://www.youtube.com/watch?v=kSnvSXDN3Dk", "Video")</f>
        <v/>
      </c>
      <c r="B10942" t="inlineStr">
        <is>
          <t>8:41</t>
        </is>
      </c>
      <c r="C10942" t="inlineStr">
        <is>
          <t>We coordinated the first night survey
to the habitat of this unknown firefly,</t>
        </is>
      </c>
      <c r="D10942">
        <f>HYPERLINK("https://www.youtube.com/watch?v=kSnvSXDN3Dk&amp;t=521s", "Go to time")</f>
        <v/>
      </c>
    </row>
    <row r="10943">
      <c r="A10943">
        <f>HYPERLINK("https://www.youtube.com/watch?v=kSnvSXDN3Dk", "Video")</f>
        <v/>
      </c>
      <c r="B10943" t="inlineStr">
        <is>
          <t>11:28</t>
        </is>
      </c>
      <c r="C10943" t="inlineStr">
        <is>
          <t>The problem is that firefly habitats
are disappearing fast.</t>
        </is>
      </c>
      <c r="D10943">
        <f>HYPERLINK("https://www.youtube.com/watch?v=kSnvSXDN3Dk&amp;t=688s", "Go to time")</f>
        <v/>
      </c>
    </row>
    <row r="10944">
      <c r="A10944">
        <f>HYPERLINK("https://www.youtube.com/watch?v=Z0sHRaEhiAQ", "Video")</f>
        <v/>
      </c>
      <c r="B10944" t="inlineStr">
        <is>
          <t>8:15</t>
        </is>
      </c>
      <c r="C10944" t="inlineStr">
        <is>
          <t>She's doing her bit
in protecting her community.</t>
        </is>
      </c>
      <c r="D10944">
        <f>HYPERLINK("https://www.youtube.com/watch?v=Z0sHRaEhiAQ&amp;t=495s", "Go to time")</f>
        <v/>
      </c>
    </row>
    <row r="10945">
      <c r="A10945">
        <f>HYPERLINK("https://www.youtube.com/watch?v=QMcwDmHiUZ8", "Video")</f>
        <v/>
      </c>
      <c r="B10945" t="inlineStr">
        <is>
          <t>7:21</t>
        </is>
      </c>
      <c r="C10945" t="inlineStr">
        <is>
          <t>giving us the space to be creative,
ambitious and take risk.</t>
        </is>
      </c>
      <c r="D10945">
        <f>HYPERLINK("https://www.youtube.com/watch?v=QMcwDmHiUZ8&amp;t=441s", "Go to time")</f>
        <v/>
      </c>
    </row>
    <row r="10946">
      <c r="A10946">
        <f>HYPERLINK("https://www.youtube.com/watch?v=QMcwDmHiUZ8", "Video")</f>
        <v/>
      </c>
      <c r="B10946" t="inlineStr">
        <is>
          <t>7:34</t>
        </is>
      </c>
      <c r="C10946" t="inlineStr">
        <is>
          <t>By taking a long-term, ambitious view</t>
        </is>
      </c>
      <c r="D10946">
        <f>HYPERLINK("https://www.youtube.com/watch?v=QMcwDmHiUZ8&amp;t=454s", "Go to time")</f>
        <v/>
      </c>
    </row>
    <row r="10947">
      <c r="A10947">
        <f>HYPERLINK("https://www.youtube.com/watch?v=QMcwDmHiUZ8", "Video")</f>
        <v/>
      </c>
      <c r="B10947" t="inlineStr">
        <is>
          <t>7:46</t>
        </is>
      </c>
      <c r="C10947" t="inlineStr">
        <is>
          <t>Surely, we need the same level of ambition</t>
        </is>
      </c>
      <c r="D10947">
        <f>HYPERLINK("https://www.youtube.com/watch?v=QMcwDmHiUZ8&amp;t=466s", "Go to time")</f>
        <v/>
      </c>
    </row>
    <row r="10948">
      <c r="A10948">
        <f>HYPERLINK("https://www.youtube.com/watch?v=VdqnAhNrqPU", "Video")</f>
        <v/>
      </c>
      <c r="B10948" t="inlineStr">
        <is>
          <t>21:14</t>
        </is>
      </c>
      <c r="C10948" t="inlineStr">
        <is>
          <t>without inhibiting the whole
immune system,</t>
        </is>
      </c>
      <c r="D10948">
        <f>HYPERLINK("https://www.youtube.com/watch?v=VdqnAhNrqPU&amp;t=1274s", "Go to time")</f>
        <v/>
      </c>
    </row>
    <row r="10949">
      <c r="A10949">
        <f>HYPERLINK("https://www.youtube.com/watch?v=BiuCP0QFg5k", "Video")</f>
        <v/>
      </c>
      <c r="B10949" t="inlineStr">
        <is>
          <t>5:36</t>
        </is>
      </c>
      <c r="C10949" t="inlineStr">
        <is>
          <t>were not born out of bitterness
or hatred, or fueled by self-interest.</t>
        </is>
      </c>
      <c r="D10949">
        <f>HYPERLINK("https://www.youtube.com/watch?v=BiuCP0QFg5k&amp;t=336s", "Go to time")</f>
        <v/>
      </c>
    </row>
    <row r="10950">
      <c r="A10950">
        <f>HYPERLINK("https://www.youtube.com/watch?v=okSG9QaqY1o", "Video")</f>
        <v/>
      </c>
      <c r="B10950" t="inlineStr">
        <is>
          <t>2:45</t>
        </is>
      </c>
      <c r="C10950" t="inlineStr">
        <is>
          <t>Fast-forwarding a little bit,
the computer age arrives.</t>
        </is>
      </c>
      <c r="D10950">
        <f>HYPERLINK("https://www.youtube.com/watch?v=okSG9QaqY1o&amp;t=165s", "Go to time")</f>
        <v/>
      </c>
    </row>
    <row r="10951">
      <c r="A10951">
        <f>HYPERLINK("https://www.youtube.com/watch?v=ZwmUdFtYbzE", "Video")</f>
        <v/>
      </c>
      <c r="B10951" t="inlineStr">
        <is>
          <t>3:20</t>
        </is>
      </c>
      <c r="C10951" t="inlineStr">
        <is>
          <t>about societies through the spaces
that they inhabit,</t>
        </is>
      </c>
      <c r="D10951">
        <f>HYPERLINK("https://www.youtube.com/watch?v=ZwmUdFtYbzE&amp;t=200s", "Go to time")</f>
        <v/>
      </c>
    </row>
    <row r="10952">
      <c r="A10952">
        <f>HYPERLINK("https://www.youtube.com/watch?v=6diqpGKOvic", "Video")</f>
        <v/>
      </c>
      <c r="B10952" t="inlineStr">
        <is>
          <t>8:49</t>
        </is>
      </c>
      <c r="C10952" t="inlineStr">
        <is>
          <t>and maybe a little bit of liar's delight.</t>
        </is>
      </c>
      <c r="D10952">
        <f>HYPERLINK("https://www.youtube.com/watch?v=6diqpGKOvic&amp;t=529s", "Go to time")</f>
        <v/>
      </c>
    </row>
    <row r="10953">
      <c r="A10953">
        <f>HYPERLINK("https://www.youtube.com/watch?v=dIYmzf21d1g", "Video")</f>
        <v/>
      </c>
      <c r="B10953" t="inlineStr">
        <is>
          <t>2:43</t>
        </is>
      </c>
      <c r="C10953" t="inlineStr">
        <is>
          <t>I discovered three powerful habits
that elevate the performance of others.</t>
        </is>
      </c>
      <c r="D10953">
        <f>HYPERLINK("https://www.youtube.com/watch?v=dIYmzf21d1g&amp;t=163s", "Go to time")</f>
        <v/>
      </c>
    </row>
    <row r="10954">
      <c r="A10954">
        <f>HYPERLINK("https://www.youtube.com/watch?v=dIYmzf21d1g", "Video")</f>
        <v/>
      </c>
      <c r="B10954" t="inlineStr">
        <is>
          <t>2:49</t>
        </is>
      </c>
      <c r="C10954" t="inlineStr">
        <is>
          <t>I call it the three habits
of personal accountability.</t>
        </is>
      </c>
      <c r="D10954">
        <f>HYPERLINK("https://www.youtube.com/watch?v=dIYmzf21d1g&amp;t=169s", "Go to time")</f>
        <v/>
      </c>
    </row>
    <row r="10955">
      <c r="A10955">
        <f>HYPERLINK("https://www.youtube.com/watch?v=dIYmzf21d1g", "Video")</f>
        <v/>
      </c>
      <c r="B10955" t="inlineStr">
        <is>
          <t>2:55</t>
        </is>
      </c>
      <c r="C10955" t="inlineStr">
        <is>
          <t>Habit one: Don't blame.</t>
        </is>
      </c>
      <c r="D10955">
        <f>HYPERLINK("https://www.youtube.com/watch?v=dIYmzf21d1g&amp;t=175s", "Go to time")</f>
        <v/>
      </c>
    </row>
    <row r="10956">
      <c r="A10956">
        <f>HYPERLINK("https://www.youtube.com/watch?v=dIYmzf21d1g", "Video")</f>
        <v/>
      </c>
      <c r="B10956" t="inlineStr">
        <is>
          <t>3:00</t>
        </is>
      </c>
      <c r="C10956" t="inlineStr">
        <is>
          <t>Habit two: Look in the mirror.</t>
        </is>
      </c>
      <c r="D10956">
        <f>HYPERLINK("https://www.youtube.com/watch?v=dIYmzf21d1g&amp;t=180s", "Go to time")</f>
        <v/>
      </c>
    </row>
    <row r="10957">
      <c r="A10957">
        <f>HYPERLINK("https://www.youtube.com/watch?v=dIYmzf21d1g", "Video")</f>
        <v/>
      </c>
      <c r="B10957" t="inlineStr">
        <is>
          <t>3:04</t>
        </is>
      </c>
      <c r="C10957" t="inlineStr">
        <is>
          <t>Habit three: Engineer the solution.</t>
        </is>
      </c>
      <c r="D10957">
        <f>HYPERLINK("https://www.youtube.com/watch?v=dIYmzf21d1g&amp;t=184s", "Go to time")</f>
        <v/>
      </c>
    </row>
    <row r="10958">
      <c r="A10958">
        <f>HYPERLINK("https://www.youtube.com/watch?v=dIYmzf21d1g", "Video")</f>
        <v/>
      </c>
      <c r="B10958" t="inlineStr">
        <is>
          <t>3:09</t>
        </is>
      </c>
      <c r="C10958" t="inlineStr">
        <is>
          <t>This sequence of habits has an almost
magical effect on other people's behavior.</t>
        </is>
      </c>
      <c r="D10958">
        <f>HYPERLINK("https://www.youtube.com/watch?v=dIYmzf21d1g&amp;t=189s", "Go to time")</f>
        <v/>
      </c>
    </row>
    <row r="10959">
      <c r="A10959">
        <f>HYPERLINK("https://www.youtube.com/watch?v=dIYmzf21d1g", "Video")</f>
        <v/>
      </c>
      <c r="B10959" t="inlineStr">
        <is>
          <t>3:27</t>
        </is>
      </c>
      <c r="C10959" t="inlineStr">
        <is>
          <t>Here's why these habits work.</t>
        </is>
      </c>
      <c r="D10959">
        <f>HYPERLINK("https://www.youtube.com/watch?v=dIYmzf21d1g&amp;t=207s", "Go to time")</f>
        <v/>
      </c>
    </row>
    <row r="10960">
      <c r="A10960">
        <f>HYPERLINK("https://www.youtube.com/watch?v=dIYmzf21d1g", "Video")</f>
        <v/>
      </c>
      <c r="B10960" t="inlineStr">
        <is>
          <t>3:30</t>
        </is>
      </c>
      <c r="C10960" t="inlineStr">
        <is>
          <t>Habit one: Don't blame.</t>
        </is>
      </c>
      <c r="D10960">
        <f>HYPERLINK("https://www.youtube.com/watch?v=dIYmzf21d1g&amp;t=210s", "Go to time")</f>
        <v/>
      </c>
    </row>
    <row r="10961">
      <c r="A10961">
        <f>HYPERLINK("https://www.youtube.com/watch?v=dIYmzf21d1g", "Video")</f>
        <v/>
      </c>
      <c r="B10961" t="inlineStr">
        <is>
          <t>5:08</t>
        </is>
      </c>
      <c r="C10961" t="inlineStr">
        <is>
          <t>Habit two: Look in the mirror.</t>
        </is>
      </c>
      <c r="D10961">
        <f>HYPERLINK("https://www.youtube.com/watch?v=dIYmzf21d1g&amp;t=308s", "Go to time")</f>
        <v/>
      </c>
    </row>
    <row r="10962">
      <c r="A10962">
        <f>HYPERLINK("https://www.youtube.com/watch?v=dIYmzf21d1g", "Video")</f>
        <v/>
      </c>
      <c r="B10962" t="inlineStr">
        <is>
          <t>8:27</t>
        </is>
      </c>
      <c r="C10962" t="inlineStr">
        <is>
          <t>Habit three: Engineer the solution.</t>
        </is>
      </c>
      <c r="D10962">
        <f>HYPERLINK("https://www.youtube.com/watch?v=dIYmzf21d1g&amp;t=507s", "Go to time")</f>
        <v/>
      </c>
    </row>
    <row r="10963">
      <c r="A10963">
        <f>HYPERLINK("https://www.youtube.com/watch?v=dIYmzf21d1g", "Video")</f>
        <v/>
      </c>
      <c r="B10963" t="inlineStr">
        <is>
          <t>10:39</t>
        </is>
      </c>
      <c r="C10963" t="inlineStr">
        <is>
          <t>test this sequence of habits
and watch it change your outcomes.</t>
        </is>
      </c>
      <c r="D10963">
        <f>HYPERLINK("https://www.youtube.com/watch?v=dIYmzf21d1g&amp;t=639s", "Go to time")</f>
        <v/>
      </c>
    </row>
    <row r="10964">
      <c r="A10964">
        <f>HYPERLINK("https://www.youtube.com/watch?v=bB33OBc-U6A", "Video")</f>
        <v/>
      </c>
      <c r="B10964" t="inlineStr">
        <is>
          <t>5:54</t>
        </is>
      </c>
      <c r="C10964" t="inlineStr">
        <is>
          <t>Well, it's a little bit of a trick,
because technically,</t>
        </is>
      </c>
      <c r="D10964">
        <f>HYPERLINK("https://www.youtube.com/watch?v=bB33OBc-U6A&amp;t=354s", "Go to time")</f>
        <v/>
      </c>
    </row>
    <row r="10965">
      <c r="A10965">
        <f>HYPERLINK("https://www.youtube.com/watch?v=bB33OBc-U6A", "Video")</f>
        <v/>
      </c>
      <c r="B10965" t="inlineStr">
        <is>
          <t>8:49</t>
        </is>
      </c>
      <c r="C10965" t="inlineStr">
        <is>
          <t>Well, I know our price point
might be a little bit higher</t>
        </is>
      </c>
      <c r="D10965">
        <f>HYPERLINK("https://www.youtube.com/watch?v=bB33OBc-U6A&amp;t=529s", "Go to time")</f>
        <v/>
      </c>
    </row>
    <row r="10966">
      <c r="A10966">
        <f>HYPERLINK("https://www.youtube.com/watch?v=J-FzHIQ7SOs", "Video")</f>
        <v/>
      </c>
      <c r="B10966" t="inlineStr">
        <is>
          <t>1:58</t>
        </is>
      </c>
      <c r="C10966" t="inlineStr">
        <is>
          <t>First, a bit of a history lesson.</t>
        </is>
      </c>
      <c r="D10966">
        <f>HYPERLINK("https://www.youtube.com/watch?v=J-FzHIQ7SOs&amp;t=118s", "Go to time")</f>
        <v/>
      </c>
    </row>
    <row r="10967">
      <c r="A10967">
        <f>HYPERLINK("https://www.youtube.com/watch?v=J-FzHIQ7SOs", "Video")</f>
        <v/>
      </c>
      <c r="B10967" t="inlineStr">
        <is>
          <t>10:42</t>
        </is>
      </c>
      <c r="C10967" t="inlineStr">
        <is>
          <t>where we call upon the relevant
bits as we need them.</t>
        </is>
      </c>
      <c r="D10967">
        <f>HYPERLINK("https://www.youtube.com/watch?v=J-FzHIQ7SOs&amp;t=642s", "Go to time")</f>
        <v/>
      </c>
    </row>
    <row r="10968">
      <c r="A10968">
        <f>HYPERLINK("https://www.youtube.com/watch?v=J-FzHIQ7SOs", "Video")</f>
        <v/>
      </c>
      <c r="B10968" t="inlineStr">
        <is>
          <t>11:03</t>
        </is>
      </c>
      <c r="C10968" t="inlineStr">
        <is>
          <t>and call upon the relevant
bits of the model</t>
        </is>
      </c>
      <c r="D10968">
        <f>HYPERLINK("https://www.youtube.com/watch?v=J-FzHIQ7SOs&amp;t=663s", "Go to time")</f>
        <v/>
      </c>
    </row>
    <row r="10969">
      <c r="A10969">
        <f>HYPERLINK("https://www.youtube.com/watch?v=J-FzHIQ7SOs", "Video")</f>
        <v/>
      </c>
      <c r="B10969" t="inlineStr">
        <is>
          <t>13:54</t>
        </is>
      </c>
      <c r="C10969" t="inlineStr">
        <is>
          <t>and with a bit of machine learning,</t>
        </is>
      </c>
      <c r="D10969">
        <f>HYPERLINK("https://www.youtube.com/watch?v=J-FzHIQ7SOs&amp;t=834s", "Go to time")</f>
        <v/>
      </c>
    </row>
    <row r="10970">
      <c r="A10970">
        <f>HYPERLINK("https://www.youtube.com/watch?v=J-FzHIQ7SOs", "Video")</f>
        <v/>
      </c>
      <c r="B10970" t="inlineStr">
        <is>
          <t>16:43</t>
        </is>
      </c>
      <c r="C10970" t="inlineStr">
        <is>
          <t>and adapt the data bit of the scene</t>
        </is>
      </c>
      <c r="D10970">
        <f>HYPERLINK("https://www.youtube.com/watch?v=J-FzHIQ7SOs&amp;t=1003s", "Go to time")</f>
        <v/>
      </c>
    </row>
    <row r="10971">
      <c r="A10971">
        <f>HYPERLINK("https://www.youtube.com/watch?v=zY0U0O6VsOA", "Video")</f>
        <v/>
      </c>
      <c r="B10971" t="inlineStr">
        <is>
          <t>4:34</t>
        </is>
      </c>
      <c r="C10971" t="inlineStr">
        <is>
          <t>And the internet is a bit like this.</t>
        </is>
      </c>
      <c r="D10971">
        <f>HYPERLINK("https://www.youtube.com/watch?v=zY0U0O6VsOA&amp;t=274s", "Go to time")</f>
        <v/>
      </c>
    </row>
    <row r="10972">
      <c r="A10972">
        <f>HYPERLINK("https://www.youtube.com/watch?v=HEkmWdapz4c", "Video")</f>
        <v/>
      </c>
      <c r="B10972" t="inlineStr">
        <is>
          <t>0:23</t>
        </is>
      </c>
      <c r="C10972" t="inlineStr">
        <is>
          <t>are making it increasingly
more uninhabitable on this planet.</t>
        </is>
      </c>
      <c r="D10972">
        <f>HYPERLINK("https://www.youtube.com/watch?v=HEkmWdapz4c&amp;t=23s", "Go to time")</f>
        <v/>
      </c>
    </row>
    <row r="10973">
      <c r="A10973">
        <f>HYPERLINK("https://www.youtube.com/watch?v=Ogce5D2XMZ0", "Video")</f>
        <v/>
      </c>
      <c r="B10973" t="inlineStr">
        <is>
          <t>6:31</t>
        </is>
      </c>
      <c r="C10973" t="inlineStr">
        <is>
          <t>every bit as meaningful,</t>
        </is>
      </c>
      <c r="D10973">
        <f>HYPERLINK("https://www.youtube.com/watch?v=Ogce5D2XMZ0&amp;t=391s", "Go to time")</f>
        <v/>
      </c>
    </row>
    <row r="10974">
      <c r="A10974">
        <f>HYPERLINK("https://www.youtube.com/watch?v=Ogce5D2XMZ0", "Video")</f>
        <v/>
      </c>
      <c r="B10974" t="inlineStr">
        <is>
          <t>6:33</t>
        </is>
      </c>
      <c r="C10974" t="inlineStr">
        <is>
          <t>every bit as newsworthy,</t>
        </is>
      </c>
      <c r="D10974">
        <f>HYPERLINK("https://www.youtube.com/watch?v=Ogce5D2XMZ0&amp;t=393s", "Go to time")</f>
        <v/>
      </c>
    </row>
    <row r="10975">
      <c r="A10975">
        <f>HYPERLINK("https://www.youtube.com/watch?v=oQ7vlPpUHN8", "Video")</f>
        <v/>
      </c>
      <c r="B10975" t="inlineStr">
        <is>
          <t>2:03</t>
        </is>
      </c>
      <c r="C10975" t="inlineStr">
        <is>
          <t>I want to play a little bit for mom
and your moms as well, actually.</t>
        </is>
      </c>
      <c r="D10975">
        <f>HYPERLINK("https://www.youtube.com/watch?v=oQ7vlPpUHN8&amp;t=123s", "Go to time")</f>
        <v/>
      </c>
    </row>
    <row r="10976">
      <c r="A10976">
        <f>HYPERLINK("https://www.youtube.com/watch?v=u6m2rwNfkrU", "Video")</f>
        <v/>
      </c>
      <c r="B10976" t="inlineStr">
        <is>
          <t>0:22</t>
        </is>
      </c>
      <c r="C10976" t="inlineStr">
        <is>
          <t>into a museum exhibition that would</t>
        </is>
      </c>
      <c r="D10976">
        <f>HYPERLINK("https://www.youtube.com/watch?v=u6m2rwNfkrU&amp;t=22s", "Go to time")</f>
        <v/>
      </c>
    </row>
    <row r="10977">
      <c r="A10977">
        <f>HYPERLINK("https://www.youtube.com/watch?v=u6m2rwNfkrU", "Video")</f>
        <v/>
      </c>
      <c r="B10977" t="inlineStr">
        <is>
          <t>0:29</t>
        </is>
      </c>
      <c r="C10977" t="inlineStr">
        <is>
          <t>alike we'd never designed an exhibition</t>
        </is>
      </c>
      <c r="D10977">
        <f>HYPERLINK("https://www.youtube.com/watch?v=u6m2rwNfkrU&amp;t=29s", "Go to time")</f>
        <v/>
      </c>
    </row>
    <row r="10978">
      <c r="A10978">
        <f>HYPERLINK("https://www.youtube.com/watch?v=u6m2rwNfkrU", "Video")</f>
        <v/>
      </c>
      <c r="B10978" t="inlineStr">
        <is>
          <t>2:48</t>
        </is>
      </c>
      <c r="C10978" t="inlineStr">
        <is>
          <t>of ideas now the exhibition was a kind</t>
        </is>
      </c>
      <c r="D10978">
        <f>HYPERLINK("https://www.youtube.com/watch?v=u6m2rwNfkrU&amp;t=168s", "Go to time")</f>
        <v/>
      </c>
    </row>
    <row r="10979">
      <c r="A10979">
        <f>HYPERLINK("https://www.youtube.com/watch?v=u6m2rwNfkrU", "Video")</f>
        <v/>
      </c>
      <c r="B10979" t="inlineStr">
        <is>
          <t>7:42</t>
        </is>
      </c>
      <c r="C10979" t="inlineStr">
        <is>
          <t>discussing part exhibition part theater</t>
        </is>
      </c>
      <c r="D10979">
        <f>HYPERLINK("https://www.youtube.com/watch?v=u6m2rwNfkrU&amp;t=462s", "Go to time")</f>
        <v/>
      </c>
    </row>
    <row r="10980">
      <c r="A10980">
        <f>HYPERLINK("https://www.youtube.com/watch?v=-H1tUMRJoeo", "Video")</f>
        <v/>
      </c>
      <c r="B10980" t="inlineStr">
        <is>
          <t>3:27</t>
        </is>
      </c>
      <c r="C10980" t="inlineStr">
        <is>
          <t>so let me tell you a little bit more</t>
        </is>
      </c>
      <c r="D10980">
        <f>HYPERLINK("https://www.youtube.com/watch?v=-H1tUMRJoeo&amp;t=207s", "Go to time")</f>
        <v/>
      </c>
    </row>
    <row r="10981">
      <c r="A10981">
        <f>HYPERLINK("https://www.youtube.com/watch?v=IyuiVTsIctg", "Video")</f>
        <v/>
      </c>
      <c r="B10981" t="inlineStr">
        <is>
          <t>20:16</t>
        </is>
      </c>
      <c r="C10981" t="inlineStr">
        <is>
          <t>said we're getting bit of noise from the</t>
        </is>
      </c>
      <c r="D10981">
        <f>HYPERLINK("https://www.youtube.com/watch?v=IyuiVTsIctg&amp;t=1216s", "Go to time")</f>
        <v/>
      </c>
    </row>
    <row r="10982">
      <c r="A10982">
        <f>HYPERLINK("https://www.youtube.com/watch?v=IyuiVTsIctg", "Video")</f>
        <v/>
      </c>
      <c r="B10982" t="inlineStr">
        <is>
          <t>37:22</t>
        </is>
      </c>
      <c r="C10982" t="inlineStr">
        <is>
          <t>you can handle this close bit of</t>
        </is>
      </c>
      <c r="D10982">
        <f>HYPERLINK("https://www.youtube.com/watch?v=IyuiVTsIctg&amp;t=2242s", "Go to time")</f>
        <v/>
      </c>
    </row>
    <row r="10983">
      <c r="A10983">
        <f>HYPERLINK("https://www.youtube.com/watch?v=b5ZESpOAolU", "Video")</f>
        <v/>
      </c>
      <c r="B10983" t="inlineStr">
        <is>
          <t>2:45</t>
        </is>
      </c>
      <c r="C10983" t="inlineStr">
        <is>
          <t>helps bring about our
most ambitious dreams into reality.</t>
        </is>
      </c>
      <c r="D10983">
        <f>HYPERLINK("https://www.youtube.com/watch?v=b5ZESpOAolU&amp;t=165s", "Go to time")</f>
        <v/>
      </c>
    </row>
    <row r="10984">
      <c r="A10984">
        <f>HYPERLINK("https://www.youtube.com/watch?v=fhCY_8avhWM", "Video")</f>
        <v/>
      </c>
      <c r="B10984" t="inlineStr">
        <is>
          <t>2:43</t>
        </is>
      </c>
      <c r="C10984" t="inlineStr">
        <is>
          <t>It was all a bit disheartening.</t>
        </is>
      </c>
      <c r="D10984">
        <f>HYPERLINK("https://www.youtube.com/watch?v=fhCY_8avhWM&amp;t=163s", "Go to time")</f>
        <v/>
      </c>
    </row>
    <row r="10985">
      <c r="A10985">
        <f>HYPERLINK("https://www.youtube.com/watch?v=TVNHd8ZODio", "Video")</f>
        <v/>
      </c>
      <c r="B10985" t="inlineStr">
        <is>
          <t>1:20</t>
        </is>
      </c>
      <c r="C10985" t="inlineStr">
        <is>
          <t>You and your habits are not to blame.</t>
        </is>
      </c>
      <c r="D10985">
        <f>HYPERLINK("https://www.youtube.com/watch?v=TVNHd8ZODio&amp;t=80s", "Go to time")</f>
        <v/>
      </c>
    </row>
    <row r="10986">
      <c r="A10986">
        <f>HYPERLINK("https://www.youtube.com/watch?v=TVNHd8ZODio", "Video")</f>
        <v/>
      </c>
      <c r="B10986" t="inlineStr">
        <is>
          <t>4:26</t>
        </is>
      </c>
      <c r="C10986" t="inlineStr">
        <is>
          <t>family history, purchasing habits,
social media comments.</t>
        </is>
      </c>
      <c r="D10986">
        <f>HYPERLINK("https://www.youtube.com/watch?v=TVNHd8ZODio&amp;t=266s", "Go to time")</f>
        <v/>
      </c>
    </row>
    <row r="10987">
      <c r="A10987">
        <f>HYPERLINK("https://www.youtube.com/watch?v=a6Qvzp516gY", "Video")</f>
        <v/>
      </c>
      <c r="B10987" t="inlineStr">
        <is>
          <t>4:55</t>
        </is>
      </c>
      <c r="C10987" t="inlineStr">
        <is>
          <t>sparking him back to life a little bit.</t>
        </is>
      </c>
      <c r="D10987">
        <f>HYPERLINK("https://www.youtube.com/watch?v=a6Qvzp516gY&amp;t=295s", "Go to time")</f>
        <v/>
      </c>
    </row>
    <row r="10988">
      <c r="A10988">
        <f>HYPERLINK("https://www.youtube.com/watch?v=sUv353ua7E8", "Video")</f>
        <v/>
      </c>
      <c r="B10988" t="inlineStr">
        <is>
          <t>2:39</t>
        </is>
      </c>
      <c r="C10988" t="inlineStr">
        <is>
          <t>uninhibited, creative thinking.</t>
        </is>
      </c>
      <c r="D10988">
        <f>HYPERLINK("https://www.youtube.com/watch?v=sUv353ua7E8&amp;t=159s", "Go to time")</f>
        <v/>
      </c>
    </row>
    <row r="10989">
      <c r="A10989">
        <f>HYPERLINK("https://www.youtube.com/watch?v=sUv353ua7E8", "Video")</f>
        <v/>
      </c>
      <c r="B10989" t="inlineStr">
        <is>
          <t>4:12</t>
        </is>
      </c>
      <c r="C10989" t="inlineStr">
        <is>
          <t>And if you have a little bit of courage
to allow yourself to be laughed at</t>
        </is>
      </c>
      <c r="D10989">
        <f>HYPERLINK("https://www.youtube.com/watch?v=sUv353ua7E8&amp;t=252s", "Go to time")</f>
        <v/>
      </c>
    </row>
    <row r="10990">
      <c r="A10990">
        <f>HYPERLINK("https://www.youtube.com/watch?v=JoGCaI1HzYo", "Video")</f>
        <v/>
      </c>
      <c r="B10990" t="inlineStr">
        <is>
          <t>7:40</t>
        </is>
      </c>
      <c r="C10990" t="inlineStr">
        <is>
          <t>a little bit longer,</t>
        </is>
      </c>
      <c r="D10990">
        <f>HYPERLINK("https://www.youtube.com/watch?v=JoGCaI1HzYo&amp;t=460s", "Go to time")</f>
        <v/>
      </c>
    </row>
    <row r="10991">
      <c r="A10991">
        <f>HYPERLINK("https://www.youtube.com/watch?v=QPC5_P2_Fu8", "Video")</f>
        <v/>
      </c>
      <c r="B10991" t="inlineStr">
        <is>
          <t>5:56</t>
        </is>
      </c>
      <c r="C10991" t="inlineStr">
        <is>
          <t>We need ambition without arrogance.</t>
        </is>
      </c>
      <c r="D10991">
        <f>HYPERLINK("https://www.youtube.com/watch?v=QPC5_P2_Fu8&amp;t=356s", "Go to time")</f>
        <v/>
      </c>
    </row>
    <row r="10992">
      <c r="A10992">
        <f>HYPERLINK("https://www.youtube.com/watch?v=QPC5_P2_Fu8", "Video")</f>
        <v/>
      </c>
      <c r="B10992" t="inlineStr">
        <is>
          <t>5:59</t>
        </is>
      </c>
      <c r="C10992" t="inlineStr">
        <is>
          <t>We need the ambition
to restore the atmosphere,</t>
        </is>
      </c>
      <c r="D10992">
        <f>HYPERLINK("https://www.youtube.com/watch?v=QPC5_P2_Fu8&amp;t=359s", "Go to time")</f>
        <v/>
      </c>
    </row>
    <row r="10993">
      <c r="A10993">
        <f>HYPERLINK("https://www.youtube.com/watch?v=QPC5_P2_Fu8", "Video")</f>
        <v/>
      </c>
      <c r="B10993" t="inlineStr">
        <is>
          <t>6:57</t>
        </is>
      </c>
      <c r="C10993" t="inlineStr">
        <is>
          <t>Tell us a bit more about this idea
of putting lime in the ocean.</t>
        </is>
      </c>
      <c r="D10993">
        <f>HYPERLINK("https://www.youtube.com/watch?v=QPC5_P2_Fu8&amp;t=417s", "Go to time")</f>
        <v/>
      </c>
    </row>
    <row r="10994">
      <c r="A10994">
        <f>HYPERLINK("https://www.youtube.com/watch?v=KzIp4IzDPG0", "Video")</f>
        <v/>
      </c>
      <c r="B10994" t="inlineStr">
        <is>
          <t>7:34</t>
        </is>
      </c>
      <c r="C10994" t="inlineStr">
        <is>
          <t>prohibits you from engaging
in opportunities</t>
        </is>
      </c>
      <c r="D10994">
        <f>HYPERLINK("https://www.youtube.com/watch?v=KzIp4IzDPG0&amp;t=454s", "Go to time")</f>
        <v/>
      </c>
    </row>
    <row r="10995">
      <c r="A10995">
        <f>HYPERLINK("https://www.youtube.com/watch?v=gdJwW-NhObU", "Video")</f>
        <v/>
      </c>
      <c r="B10995" t="inlineStr">
        <is>
          <t>2:52</t>
        </is>
      </c>
      <c r="C10995" t="inlineStr">
        <is>
          <t>Some were a little bit more benign.</t>
        </is>
      </c>
      <c r="D10995">
        <f>HYPERLINK("https://www.youtube.com/watch?v=gdJwW-NhObU&amp;t=172s", "Go to time")</f>
        <v/>
      </c>
    </row>
    <row r="10996">
      <c r="A10996">
        <f>HYPERLINK("https://www.youtube.com/watch?v=gdJwW-NhObU", "Video")</f>
        <v/>
      </c>
      <c r="B10996" t="inlineStr">
        <is>
          <t>3:52</t>
        </is>
      </c>
      <c r="C10996" t="inlineStr">
        <is>
          <t>There was an illustrious art exhibition
in New York City in 1917, and they said,</t>
        </is>
      </c>
      <c r="D10996">
        <f>HYPERLINK("https://www.youtube.com/watch?v=gdJwW-NhObU&amp;t=232s", "Go to time")</f>
        <v/>
      </c>
    </row>
    <row r="10997">
      <c r="A10997">
        <f>HYPERLINK("https://www.youtube.com/watch?v=gdJwW-NhObU", "Video")</f>
        <v/>
      </c>
      <c r="B10997" t="inlineStr">
        <is>
          <t>6:54</t>
        </is>
      </c>
      <c r="C10997" t="inlineStr">
        <is>
          <t>bit into them and sometimes consumed them.</t>
        </is>
      </c>
      <c r="D10997">
        <f>HYPERLINK("https://www.youtube.com/watch?v=gdJwW-NhObU&amp;t=414s", "Go to time")</f>
        <v/>
      </c>
    </row>
    <row r="10998">
      <c r="A10998">
        <f>HYPERLINK("https://www.youtube.com/watch?v=gdJwW-NhObU", "Video")</f>
        <v/>
      </c>
      <c r="B10998" t="inlineStr">
        <is>
          <t>9:15</t>
        </is>
      </c>
      <c r="C10998" t="inlineStr">
        <is>
          <t>wants to watch the world burn
at least a little bit.</t>
        </is>
      </c>
      <c r="D10998">
        <f>HYPERLINK("https://www.youtube.com/watch?v=gdJwW-NhObU&amp;t=555s", "Go to time")</f>
        <v/>
      </c>
    </row>
    <row r="10999">
      <c r="A10999">
        <f>HYPERLINK("https://www.youtube.com/watch?v=gdJwW-NhObU", "Video")</f>
        <v/>
      </c>
      <c r="B10999" t="inlineStr">
        <is>
          <t>10:03</t>
        </is>
      </c>
      <c r="C10999" t="inlineStr">
        <is>
          <t>But I think we've seen a little bit
that perversity could be funny.</t>
        </is>
      </c>
      <c r="D10999">
        <f>HYPERLINK("https://www.youtube.com/watch?v=gdJwW-NhObU&amp;t=603s", "Go to time")</f>
        <v/>
      </c>
    </row>
    <row r="11000">
      <c r="A11000">
        <f>HYPERLINK("https://www.youtube.com/watch?v=gdJwW-NhObU", "Video")</f>
        <v/>
      </c>
      <c r="B11000" t="inlineStr">
        <is>
          <t>10:15</t>
        </is>
      </c>
      <c r="C11000" t="inlineStr">
        <is>
          <t>that a life with a little bit
of perversity in it,</t>
        </is>
      </c>
      <c r="D11000">
        <f>HYPERLINK("https://www.youtube.com/watch?v=gdJwW-NhObU&amp;t=615s", "Go to time")</f>
        <v/>
      </c>
    </row>
    <row r="11001">
      <c r="A11001">
        <f>HYPERLINK("https://www.youtube.com/watch?v=5RAJvzV9j-o", "Video")</f>
        <v/>
      </c>
      <c r="B11001" t="inlineStr">
        <is>
          <t>7:28</t>
        </is>
      </c>
      <c r="C11001" t="inlineStr">
        <is>
          <t>In space, we have an orbiting laboratory
on the International Space Station.</t>
        </is>
      </c>
      <c r="D11001">
        <f>HYPERLINK("https://www.youtube.com/watch?v=5RAJvzV9j-o&amp;t=448s", "Go to time")</f>
        <v/>
      </c>
    </row>
    <row r="11002">
      <c r="A11002">
        <f>HYPERLINK("https://www.youtube.com/watch?v=1mLQFm3wEfw", "Video")</f>
        <v/>
      </c>
      <c r="B11002" t="inlineStr">
        <is>
          <t>1:43</t>
        </is>
      </c>
      <c r="C11002" t="inlineStr">
        <is>
          <t>I get to see how applying
a little bit of computer science</t>
        </is>
      </c>
      <c r="D11002">
        <f>HYPERLINK("https://www.youtube.com/watch?v=1mLQFm3wEfw&amp;t=103s", "Go to time")</f>
        <v/>
      </c>
    </row>
    <row r="11003">
      <c r="A11003">
        <f>HYPERLINK("https://www.youtube.com/watch?v=Zwwanld4T1w", "Video")</f>
        <v/>
      </c>
      <c r="B11003" t="inlineStr">
        <is>
          <t>0:15</t>
        </is>
      </c>
      <c r="C11003" t="inlineStr">
        <is>
          <t>If that makes you immediately feel
a little bit wary, that's OK,</t>
        </is>
      </c>
      <c r="D11003">
        <f>HYPERLINK("https://www.youtube.com/watch?v=Zwwanld4T1w&amp;t=15s", "Go to time")</f>
        <v/>
      </c>
    </row>
    <row r="11004">
      <c r="A11004">
        <f>HYPERLINK("https://www.youtube.com/watch?v=N3SQlrmV1cE", "Video")</f>
        <v/>
      </c>
      <c r="B11004" t="inlineStr">
        <is>
          <t>5:30</t>
        </is>
      </c>
      <c r="C11004" t="inlineStr">
        <is>
          <t>Then Brazil -- might've expected
Brazil to do a bit better.</t>
        </is>
      </c>
      <c r="D11004">
        <f>HYPERLINK("https://www.youtube.com/watch?v=N3SQlrmV1cE&amp;t=330s", "Go to time")</f>
        <v/>
      </c>
    </row>
    <row r="11005">
      <c r="A11005">
        <f>HYPERLINK("https://www.youtube.com/watch?v=N3SQlrmV1cE", "Video")</f>
        <v/>
      </c>
      <c r="B11005" t="inlineStr">
        <is>
          <t>7:05</t>
        </is>
      </c>
      <c r="C11005" t="inlineStr">
        <is>
          <t>The second thing we can do
is look a bit further into the data</t>
        </is>
      </c>
      <c r="D11005">
        <f>HYPERLINK("https://www.youtube.com/watch?v=N3SQlrmV1cE&amp;t=425s", "Go to time")</f>
        <v/>
      </c>
    </row>
    <row r="11006">
      <c r="A11006">
        <f>HYPERLINK("https://www.youtube.com/watch?v=1H0tQZSd-vU", "Video")</f>
        <v/>
      </c>
      <c r="B11006" t="inlineStr">
        <is>
          <t>0:49</t>
        </is>
      </c>
      <c r="C11006" t="inlineStr">
        <is>
          <t>I shared a little bit about myself</t>
        </is>
      </c>
      <c r="D11006">
        <f>HYPERLINK("https://www.youtube.com/watch?v=1H0tQZSd-vU&amp;t=49s", "Go to time")</f>
        <v/>
      </c>
    </row>
    <row r="11007">
      <c r="A11007">
        <f>HYPERLINK("https://www.youtube.com/watch?v=1H0tQZSd-vU", "Video")</f>
        <v/>
      </c>
      <c r="B11007" t="inlineStr">
        <is>
          <t>1:59</t>
        </is>
      </c>
      <c r="C11007" t="inlineStr">
        <is>
          <t>And so, this is where
I had to get a bit vulnerable.</t>
        </is>
      </c>
      <c r="D11007">
        <f>HYPERLINK("https://www.youtube.com/watch?v=1H0tQZSd-vU&amp;t=119s", "Go to time")</f>
        <v/>
      </c>
    </row>
    <row r="11008">
      <c r="A11008">
        <f>HYPERLINK("https://www.youtube.com/watch?v=x9Ezzxy0frA", "Video")</f>
        <v/>
      </c>
      <c r="B11008" t="inlineStr">
        <is>
          <t>3:04</t>
        </is>
      </c>
      <c r="C11008" t="inlineStr">
        <is>
          <t>Now I'm going to give you
a little bit of background about myself.</t>
        </is>
      </c>
      <c r="D11008">
        <f>HYPERLINK("https://www.youtube.com/watch?v=x9Ezzxy0frA&amp;t=184s", "Go to time")</f>
        <v/>
      </c>
    </row>
    <row r="11009">
      <c r="A11009">
        <f>HYPERLINK("https://www.youtube.com/watch?v=x9Ezzxy0frA", "Video")</f>
        <v/>
      </c>
      <c r="B11009" t="inlineStr">
        <is>
          <t>3:18</t>
        </is>
      </c>
      <c r="C11009" t="inlineStr">
        <is>
          <t>I haven't always been this good looking,
it takes a little bit of time.</t>
        </is>
      </c>
      <c r="D11009">
        <f>HYPERLINK("https://www.youtube.com/watch?v=x9Ezzxy0frA&amp;t=198s", "Go to time")</f>
        <v/>
      </c>
    </row>
    <row r="11010">
      <c r="A11010">
        <f>HYPERLINK("https://www.youtube.com/watch?v=x9Ezzxy0frA", "Video")</f>
        <v/>
      </c>
      <c r="B11010" t="inlineStr">
        <is>
          <t>8:20</t>
        </is>
      </c>
      <c r="C11010" t="inlineStr">
        <is>
          <t>Your habits are based on your habitat.</t>
        </is>
      </c>
      <c r="D11010">
        <f>HYPERLINK("https://www.youtube.com/watch?v=x9Ezzxy0frA&amp;t=500s", "Go to time")</f>
        <v/>
      </c>
    </row>
    <row r="11011">
      <c r="A11011">
        <f>HYPERLINK("https://www.youtube.com/watch?v=x9Ezzxy0frA", "Video")</f>
        <v/>
      </c>
      <c r="B11011" t="inlineStr">
        <is>
          <t>8:24</t>
        </is>
      </c>
      <c r="C11011" t="inlineStr">
        <is>
          <t>And the main product of your habitat
are the people in your life.</t>
        </is>
      </c>
      <c r="D11011">
        <f>HYPERLINK("https://www.youtube.com/watch?v=x9Ezzxy0frA&amp;t=504s", "Go to time")</f>
        <v/>
      </c>
    </row>
    <row r="11012">
      <c r="A11012">
        <f>HYPERLINK("https://www.youtube.com/watch?v=1S9RVl1d-l4", "Video")</f>
        <v/>
      </c>
      <c r="B11012" t="inlineStr">
        <is>
          <t>6:57</t>
        </is>
      </c>
      <c r="C11012" t="inlineStr">
        <is>
          <t>and you start to press
a little bit on the brain,</t>
        </is>
      </c>
      <c r="D11012">
        <f>HYPERLINK("https://www.youtube.com/watch?v=1S9RVl1d-l4&amp;t=417s", "Go to time")</f>
        <v/>
      </c>
    </row>
    <row r="11013">
      <c r="A11013">
        <f>HYPERLINK("https://www.youtube.com/watch?v=1S9RVl1d-l4", "Video")</f>
        <v/>
      </c>
      <c r="B11013" t="inlineStr">
        <is>
          <t>7:02</t>
        </is>
      </c>
      <c r="C11013" t="inlineStr">
        <is>
          <t>and so you go in and go
a little bit like this and say,</t>
        </is>
      </c>
      <c r="D11013">
        <f>HYPERLINK("https://www.youtube.com/watch?v=1S9RVl1d-l4&amp;t=422s", "Go to time")</f>
        <v/>
      </c>
    </row>
    <row r="11014">
      <c r="A11014">
        <f>HYPERLINK("https://www.youtube.com/watch?v=uarlIjkHlAs", "Video")</f>
        <v/>
      </c>
      <c r="B11014" t="inlineStr">
        <is>
          <t>0:17</t>
        </is>
      </c>
      <c r="C11014" t="inlineStr">
        <is>
          <t>I'm going to be talking a little bit about</t>
        </is>
      </c>
      <c r="D11014">
        <f>HYPERLINK("https://www.youtube.com/watch?v=uarlIjkHlAs&amp;t=17s", "Go to time")</f>
        <v/>
      </c>
    </row>
    <row r="11015">
      <c r="A11015">
        <f>HYPERLINK("https://www.youtube.com/watch?v=uarlIjkHlAs", "Video")</f>
        <v/>
      </c>
      <c r="B11015" t="inlineStr">
        <is>
          <t>0:37</t>
        </is>
      </c>
      <c r="C11015" t="inlineStr">
        <is>
          <t>but before we do, I want to talk a little bit about</t>
        </is>
      </c>
      <c r="D11015">
        <f>HYPERLINK("https://www.youtube.com/watch?v=uarlIjkHlAs&amp;t=37s", "Go to time")</f>
        <v/>
      </c>
    </row>
    <row r="11016">
      <c r="A11016">
        <f>HYPERLINK("https://www.youtube.com/watch?v=uarlIjkHlAs", "Video")</f>
        <v/>
      </c>
      <c r="B11016" t="inlineStr">
        <is>
          <t>4:50</t>
        </is>
      </c>
      <c r="C11016" t="inlineStr">
        <is>
          <t>humidity and temperature and a little bit of dust,</t>
        </is>
      </c>
      <c r="D11016">
        <f>HYPERLINK("https://www.youtube.com/watch?v=uarlIjkHlAs&amp;t=290s", "Go to time")</f>
        <v/>
      </c>
    </row>
    <row r="11017">
      <c r="A11017">
        <f>HYPERLINK("https://www.youtube.com/watch?v=Klta3uf4uzw", "Video")</f>
        <v/>
      </c>
      <c r="B11017" t="inlineStr">
        <is>
          <t>10:02</t>
        </is>
      </c>
      <c r="C11017" t="inlineStr">
        <is>
          <t>that may be a little bit easier,
a little closer to home.</t>
        </is>
      </c>
      <c r="D11017">
        <f>HYPERLINK("https://www.youtube.com/watch?v=Klta3uf4uzw&amp;t=602s", "Go to time")</f>
        <v/>
      </c>
    </row>
    <row r="11018">
      <c r="A11018">
        <f>HYPERLINK("https://www.youtube.com/watch?v=7SfhKi24z-M", "Video")</f>
        <v/>
      </c>
      <c r="B11018" t="inlineStr">
        <is>
          <t>5:30</t>
        </is>
      </c>
      <c r="C11018" t="inlineStr">
        <is>
          <t>and he said, "Bitch,
I'll blow your brains out!"</t>
        </is>
      </c>
      <c r="D11018">
        <f>HYPERLINK("https://www.youtube.com/watch?v=7SfhKi24z-M&amp;t=330s", "Go to time")</f>
        <v/>
      </c>
    </row>
    <row r="11019">
      <c r="A11019">
        <f>HYPERLINK("https://www.youtube.com/watch?v=F0ofeD8VKMA", "Video")</f>
        <v/>
      </c>
      <c r="B11019" t="inlineStr">
        <is>
          <t>17:42</t>
        </is>
      </c>
      <c r="C11019" t="inlineStr">
        <is>
          <t>is making a habitat, an ecosystem,</t>
        </is>
      </c>
      <c r="D11019">
        <f>HYPERLINK("https://www.youtube.com/watch?v=F0ofeD8VKMA&amp;t=1062s", "Go to time")</f>
        <v/>
      </c>
    </row>
    <row r="11020">
      <c r="A11020">
        <f>HYPERLINK("https://www.youtube.com/watch?v=F0ofeD8VKMA", "Video")</f>
        <v/>
      </c>
      <c r="B11020" t="inlineStr">
        <is>
          <t>23:42</t>
        </is>
      </c>
      <c r="C11020" t="inlineStr">
        <is>
          <t>"But, uh, maybe we should
be a little bit careful</t>
        </is>
      </c>
      <c r="D11020">
        <f>HYPERLINK("https://www.youtube.com/watch?v=F0ofeD8VKMA&amp;t=1422s", "Go to time")</f>
        <v/>
      </c>
    </row>
    <row r="11021">
      <c r="A11021">
        <f>HYPERLINK("https://www.youtube.com/watch?v=F0ofeD8VKMA", "Video")</f>
        <v/>
      </c>
      <c r="B11021" t="inlineStr">
        <is>
          <t>23:50</t>
        </is>
      </c>
      <c r="C11021" t="inlineStr">
        <is>
          <t>CA: It's also the recipe for being
a little bit schizophrenic.</t>
        </is>
      </c>
      <c r="D11021">
        <f>HYPERLINK("https://www.youtube.com/watch?v=F0ofeD8VKMA&amp;t=1430s", "Go to time")</f>
        <v/>
      </c>
    </row>
    <row r="11022">
      <c r="A11022">
        <f>HYPERLINK("https://www.youtube.com/watch?v=F0ofeD8VKMA", "Video")</f>
        <v/>
      </c>
      <c r="B11022" t="inlineStr">
        <is>
          <t>28:37</t>
        </is>
      </c>
      <c r="C11022" t="inlineStr">
        <is>
          <t>This is: try a little bit here,</t>
        </is>
      </c>
      <c r="D11022">
        <f>HYPERLINK("https://www.youtube.com/watch?v=F0ofeD8VKMA&amp;t=1717s", "Go to time")</f>
        <v/>
      </c>
    </row>
    <row r="11023">
      <c r="A11023">
        <f>HYPERLINK("https://www.youtube.com/watch?v=hv-tFIuhD8E", "Video")</f>
        <v/>
      </c>
      <c r="B11023" t="inlineStr">
        <is>
          <t>0:20</t>
        </is>
      </c>
      <c r="C11023" t="inlineStr">
        <is>
          <t>its first three orbits around the moon.</t>
        </is>
      </c>
      <c r="D11023">
        <f>HYPERLINK("https://www.youtube.com/watch?v=hv-tFIuhD8E&amp;t=20s", "Go to time")</f>
        <v/>
      </c>
    </row>
    <row r="11024">
      <c r="A11024">
        <f>HYPERLINK("https://www.youtube.com/watch?v=hv-tFIuhD8E", "Video")</f>
        <v/>
      </c>
      <c r="B11024" t="inlineStr">
        <is>
          <t>0:29</t>
        </is>
      </c>
      <c r="C11024" t="inlineStr">
        <is>
          <t>that humans have ever traveled
beyond low Earth orbit.</t>
        </is>
      </c>
      <c r="D11024">
        <f>HYPERLINK("https://www.youtube.com/watch?v=hv-tFIuhD8E&amp;t=29s", "Go to time")</f>
        <v/>
      </c>
    </row>
    <row r="11025">
      <c r="A11025">
        <f>HYPERLINK("https://www.youtube.com/watch?v=hv-tFIuhD8E", "Video")</f>
        <v/>
      </c>
      <c r="B11025" t="inlineStr">
        <is>
          <t>3:29</t>
        </is>
      </c>
      <c r="C11025" t="inlineStr">
        <is>
          <t>as they orbit at
28,000 kilometers per hour.</t>
        </is>
      </c>
      <c r="D11025">
        <f>HYPERLINK("https://www.youtube.com/watch?v=hv-tFIuhD8E&amp;t=209s", "Go to time")</f>
        <v/>
      </c>
    </row>
    <row r="11026">
      <c r="A11026">
        <f>HYPERLINK("https://www.youtube.com/watch?v=yrxYhv2O3wU", "Video")</f>
        <v/>
      </c>
      <c r="B11026" t="inlineStr">
        <is>
          <t>8:44</t>
        </is>
      </c>
      <c r="C11026" t="inlineStr">
        <is>
          <t>and I want to definitely
get to that a little bit later on,</t>
        </is>
      </c>
      <c r="D11026">
        <f>HYPERLINK("https://www.youtube.com/watch?v=yrxYhv2O3wU&amp;t=524s", "Go to time")</f>
        <v/>
      </c>
    </row>
    <row r="11027">
      <c r="A11027">
        <f>HYPERLINK("https://www.youtube.com/watch?v=yrxYhv2O3wU", "Video")</f>
        <v/>
      </c>
      <c r="B11027" t="inlineStr">
        <is>
          <t>27:51</t>
        </is>
      </c>
      <c r="C11027" t="inlineStr">
        <is>
          <t>You should think
a little bit unconventionally.</t>
        </is>
      </c>
      <c r="D11027">
        <f>HYPERLINK("https://www.youtube.com/watch?v=yrxYhv2O3wU&amp;t=1671s", "Go to time")</f>
        <v/>
      </c>
    </row>
    <row r="11028">
      <c r="A11028">
        <f>HYPERLINK("https://www.youtube.com/watch?v=yrxYhv2O3wU", "Video")</f>
        <v/>
      </c>
      <c r="B11028" t="inlineStr">
        <is>
          <t>27:54</t>
        </is>
      </c>
      <c r="C11028" t="inlineStr">
        <is>
          <t>Do you have a little bit of gold?</t>
        </is>
      </c>
      <c r="D11028">
        <f>HYPERLINK("https://www.youtube.com/watch?v=yrxYhv2O3wU&amp;t=1674s", "Go to time")</f>
        <v/>
      </c>
    </row>
    <row r="11029">
      <c r="A11029">
        <f>HYPERLINK("https://www.youtube.com/watch?v=yrxYhv2O3wU", "Video")</f>
        <v/>
      </c>
      <c r="B11029" t="inlineStr">
        <is>
          <t>27:56</t>
        </is>
      </c>
      <c r="C11029" t="inlineStr">
        <is>
          <t>Do you have a little bit of,</t>
        </is>
      </c>
      <c r="D11029">
        <f>HYPERLINK("https://www.youtube.com/watch?v=yrxYhv2O3wU&amp;t=1676s", "Go to time")</f>
        <v/>
      </c>
    </row>
    <row r="11030">
      <c r="A11030">
        <f>HYPERLINK("https://www.youtube.com/watch?v=yrxYhv2O3wU", "Video")</f>
        <v/>
      </c>
      <c r="B11030" t="inlineStr">
        <is>
          <t>28:02</t>
        </is>
      </c>
      <c r="C11030" t="inlineStr">
        <is>
          <t>do you have a little bit of that?</t>
        </is>
      </c>
      <c r="D11030">
        <f>HYPERLINK("https://www.youtube.com/watch?v=yrxYhv2O3wU&amp;t=1682s", "Go to time")</f>
        <v/>
      </c>
    </row>
    <row r="11031">
      <c r="A11031">
        <f>HYPERLINK("https://www.youtube.com/watch?v=TlapbFzl_ZU", "Video")</f>
        <v/>
      </c>
      <c r="B11031" t="inlineStr">
        <is>
          <t>11:10</t>
        </is>
      </c>
      <c r="C11031" t="inlineStr">
        <is>
          <t>all the way through to Aaron Burr,
ambitious as ever.</t>
        </is>
      </c>
      <c r="D11031">
        <f>HYPERLINK("https://www.youtube.com/watch?v=TlapbFzl_ZU&amp;t=670s", "Go to time")</f>
        <v/>
      </c>
    </row>
    <row r="11032">
      <c r="A11032">
        <f>HYPERLINK("https://www.youtube.com/watch?v=0gks6ceq4eQ", "Video")</f>
        <v/>
      </c>
      <c r="B11032" t="inlineStr">
        <is>
          <t>10:11</t>
        </is>
      </c>
      <c r="C11032" t="inlineStr">
        <is>
          <t>And our brains might cause
our stomachs to churn a little bit,</t>
        </is>
      </c>
      <c r="D11032">
        <f>HYPERLINK("https://www.youtube.com/watch?v=0gks6ceq4eQ&amp;t=611s", "Go to time")</f>
        <v/>
      </c>
    </row>
    <row r="11033">
      <c r="A11033">
        <f>HYPERLINK("https://www.youtube.com/watch?v=6DRMrFMNXCc", "Video")</f>
        <v/>
      </c>
      <c r="B11033" t="inlineStr">
        <is>
          <t>2:36</t>
        </is>
      </c>
      <c r="C11033" t="inlineStr">
        <is>
          <t>To put all of this into a context
that's a little bit closer to home,</t>
        </is>
      </c>
      <c r="D11033">
        <f>HYPERLINK("https://www.youtube.com/watch?v=6DRMrFMNXCc&amp;t=156s", "Go to time")</f>
        <v/>
      </c>
    </row>
    <row r="11034">
      <c r="A11034">
        <f>HYPERLINK("https://www.youtube.com/watch?v=6DRMrFMNXCc", "Video")</f>
        <v/>
      </c>
      <c r="B11034" t="inlineStr">
        <is>
          <t>10:48</t>
        </is>
      </c>
      <c r="C11034" t="inlineStr">
        <is>
          <t>we have set ourselves
an enormous ambition.</t>
        </is>
      </c>
      <c r="D11034">
        <f>HYPERLINK("https://www.youtube.com/watch?v=6DRMrFMNXCc&amp;t=648s", "Go to time")</f>
        <v/>
      </c>
    </row>
    <row r="11035">
      <c r="A11035">
        <f>HYPERLINK("https://www.youtube.com/watch?v=jZSsvUFlCag", "Video")</f>
        <v/>
      </c>
      <c r="B11035" t="inlineStr">
        <is>
          <t>4:10</t>
        </is>
      </c>
      <c r="C11035" t="inlineStr">
        <is>
          <t>What I saw was a bit different.</t>
        </is>
      </c>
      <c r="D11035">
        <f>HYPERLINK("https://www.youtube.com/watch?v=jZSsvUFlCag&amp;t=250s", "Go to time")</f>
        <v/>
      </c>
    </row>
    <row r="11036">
      <c r="A11036">
        <f>HYPERLINK("https://www.youtube.com/watch?v=Wgt8QUHQjw8", "Video")</f>
        <v/>
      </c>
      <c r="B11036" t="inlineStr">
        <is>
          <t>8:56</t>
        </is>
      </c>
      <c r="C11036" t="inlineStr">
        <is>
          <t>can be arbitrary for the individual,</t>
        </is>
      </c>
      <c r="D11036">
        <f>HYPERLINK("https://www.youtube.com/watch?v=Wgt8QUHQjw8&amp;t=536s", "Go to time")</f>
        <v/>
      </c>
    </row>
    <row r="11037">
      <c r="A11037">
        <f>HYPERLINK("https://www.youtube.com/watch?v=Wgt8QUHQjw8", "Video")</f>
        <v/>
      </c>
      <c r="B11037" t="inlineStr">
        <is>
          <t>9:55</t>
        </is>
      </c>
      <c r="C11037" t="inlineStr">
        <is>
          <t>the orbitofrontal cortex</t>
        </is>
      </c>
      <c r="D11037">
        <f>HYPERLINK("https://www.youtube.com/watch?v=Wgt8QUHQjw8&amp;t=595s", "Go to time")</f>
        <v/>
      </c>
    </row>
    <row r="11038">
      <c r="A11038">
        <f>HYPERLINK("https://www.youtube.com/watch?v=Wgt8QUHQjw8", "Video")</f>
        <v/>
      </c>
      <c r="B11038" t="inlineStr">
        <is>
          <t>11:29</t>
        </is>
      </c>
      <c r="C11038" t="inlineStr">
        <is>
          <t>Within the orbitofrontal cortex,</t>
        </is>
      </c>
      <c r="D11038">
        <f>HYPERLINK("https://www.youtube.com/watch?v=Wgt8QUHQjw8&amp;t=689s", "Go to time")</f>
        <v/>
      </c>
    </row>
    <row r="11039">
      <c r="A11039">
        <f>HYPERLINK("https://www.youtube.com/watch?v=z7_LwuuPsAE", "Video")</f>
        <v/>
      </c>
      <c r="B11039" t="inlineStr">
        <is>
          <t>6:32</t>
        </is>
      </c>
      <c r="C11039" t="inlineStr">
        <is>
          <t>Our perceptual experiences
are not arbitrary.</t>
        </is>
      </c>
      <c r="D11039">
        <f>HYPERLINK("https://www.youtube.com/watch?v=z7_LwuuPsAE&amp;t=392s", "Go to time")</f>
        <v/>
      </c>
    </row>
    <row r="11040">
      <c r="A11040">
        <f>HYPERLINK("https://www.youtube.com/watch?v=z7_LwuuPsAE", "Video")</f>
        <v/>
      </c>
      <c r="B11040" t="inlineStr">
        <is>
          <t>7:02</t>
        </is>
      </c>
      <c r="C11040" t="inlineStr">
        <is>
          <t>we will each inhabit our own distinctive,
personalized inner universe.</t>
        </is>
      </c>
      <c r="D11040">
        <f>HYPERLINK("https://www.youtube.com/watch?v=z7_LwuuPsAE&amp;t=422s", "Go to time")</f>
        <v/>
      </c>
    </row>
    <row r="11041">
      <c r="A11041">
        <f>HYPERLINK("https://www.youtube.com/watch?v=z7_LwuuPsAE", "Video")</f>
        <v/>
      </c>
      <c r="B11041" t="inlineStr">
        <is>
          <t>15:47</t>
        </is>
      </c>
      <c r="C11041" t="inlineStr">
        <is>
          <t>Like many thought experiments,
it pushes things a little bit too far.</t>
        </is>
      </c>
      <c r="D11041">
        <f>HYPERLINK("https://www.youtube.com/watch?v=z7_LwuuPsAE&amp;t=947s", "Go to time")</f>
        <v/>
      </c>
    </row>
    <row r="11042">
      <c r="A11042">
        <f>HYPERLINK("https://www.youtube.com/watch?v=CzGu9bP07i0", "Video")</f>
        <v/>
      </c>
      <c r="B11042" t="inlineStr">
        <is>
          <t>13:38</t>
        </is>
      </c>
      <c r="C11042" t="inlineStr">
        <is>
          <t>for scaling the latest and most ambitious
of climate technologies.</t>
        </is>
      </c>
      <c r="D11042">
        <f>HYPERLINK("https://www.youtube.com/watch?v=CzGu9bP07i0&amp;t=818s", "Go to time")</f>
        <v/>
      </c>
    </row>
    <row r="11043">
      <c r="A11043">
        <f>HYPERLINK("https://www.youtube.com/watch?v=xAXUq-Qc8DI", "Video")</f>
        <v/>
      </c>
      <c r="B11043" t="inlineStr">
        <is>
          <t>10:07</t>
        </is>
      </c>
      <c r="C11043" t="inlineStr">
        <is>
          <t>and putting a 120-ton
spaceship into orbit.</t>
        </is>
      </c>
      <c r="D11043">
        <f>HYPERLINK("https://www.youtube.com/watch?v=xAXUq-Qc8DI&amp;t=607s", "Go to time")</f>
        <v/>
      </c>
    </row>
    <row r="11044">
      <c r="A11044">
        <f>HYPERLINK("https://www.youtube.com/watch?v=54AYOd5S7uo", "Video")</f>
        <v/>
      </c>
      <c r="B11044" t="inlineStr">
        <is>
          <t>4:26</t>
        </is>
      </c>
      <c r="C11044" t="inlineStr">
        <is>
          <t>pay with a debit or credit card
to reduce cash ratios.</t>
        </is>
      </c>
      <c r="D11044">
        <f>HYPERLINK("https://www.youtube.com/watch?v=54AYOd5S7uo&amp;t=266s", "Go to time")</f>
        <v/>
      </c>
    </row>
    <row r="11045">
      <c r="A11045">
        <f>HYPERLINK("https://www.youtube.com/watch?v=2ShZKR5Uo2I", "Video")</f>
        <v/>
      </c>
      <c r="B11045" t="inlineStr">
        <is>
          <t>8:35</t>
        </is>
      </c>
      <c r="C11045" t="inlineStr">
        <is>
          <t>who hasn't seen us eating on the toilet
or bitching at the Comcast guy?</t>
        </is>
      </c>
      <c r="D11045">
        <f>HYPERLINK("https://www.youtube.com/watch?v=2ShZKR5Uo2I&amp;t=515s", "Go to time")</f>
        <v/>
      </c>
    </row>
    <row r="11046">
      <c r="A11046">
        <f>HYPERLINK("https://www.youtube.com/watch?v=NYJUgzZYaoo", "Video")</f>
        <v/>
      </c>
      <c r="B11046" t="inlineStr">
        <is>
          <t>2:06</t>
        </is>
      </c>
      <c r="C11046" t="inlineStr">
        <is>
          <t>We were a little bit early
and a little bit naive.</t>
        </is>
      </c>
      <c r="D11046">
        <f>HYPERLINK("https://www.youtube.com/watch?v=NYJUgzZYaoo&amp;t=126s", "Go to time")</f>
        <v/>
      </c>
    </row>
    <row r="11047">
      <c r="A11047">
        <f>HYPERLINK("https://www.youtube.com/watch?v=NYJUgzZYaoo", "Video")</f>
        <v/>
      </c>
      <c r="B11047" t="inlineStr">
        <is>
          <t>2:18</t>
        </is>
      </c>
      <c r="C11047" t="inlineStr">
        <is>
          <t>And we were a little bit naive.</t>
        </is>
      </c>
      <c r="D11047">
        <f>HYPERLINK("https://www.youtube.com/watch?v=NYJUgzZYaoo&amp;t=138s", "Go to time")</f>
        <v/>
      </c>
    </row>
    <row r="11048">
      <c r="A11048">
        <f>HYPERLINK("https://www.youtube.com/watch?v=hnygd-8rriU", "Video")</f>
        <v/>
      </c>
      <c r="B11048" t="inlineStr">
        <is>
          <t>3:59</t>
        </is>
      </c>
      <c r="C11048" t="inlineStr">
        <is>
          <t>which indeed seem to be
kind of arbitrary and a little strange,</t>
        </is>
      </c>
      <c r="D11048">
        <f>HYPERLINK("https://www.youtube.com/watch?v=hnygd-8rriU&amp;t=239s", "Go to time")</f>
        <v/>
      </c>
    </row>
    <row r="11049">
      <c r="A11049">
        <f>HYPERLINK("https://www.youtube.com/watch?v=hnygd-8rriU", "Video")</f>
        <v/>
      </c>
      <c r="B11049" t="inlineStr">
        <is>
          <t>9:53</t>
        </is>
      </c>
      <c r="C11049" t="inlineStr">
        <is>
          <t>Remember, first was capitulate a bit.</t>
        </is>
      </c>
      <c r="D11049">
        <f>HYPERLINK("https://www.youtube.com/watch?v=hnygd-8rriU&amp;t=593s", "Go to time")</f>
        <v/>
      </c>
    </row>
    <row r="11050">
      <c r="A11050">
        <f>HYPERLINK("https://www.youtube.com/watch?v=hnygd-8rriU", "Video")</f>
        <v/>
      </c>
      <c r="B11050" t="inlineStr">
        <is>
          <t>13:57</t>
        </is>
      </c>
      <c r="C11050" t="inlineStr">
        <is>
          <t>I do want to talk a bit more about China.</t>
        </is>
      </c>
      <c r="D11050">
        <f>HYPERLINK("https://www.youtube.com/watch?v=hnygd-8rriU&amp;t=837s", "Go to time")</f>
        <v/>
      </c>
    </row>
    <row r="11051">
      <c r="A11051">
        <f>HYPERLINK("https://www.youtube.com/watch?v=hnygd-8rriU", "Video")</f>
        <v/>
      </c>
      <c r="B11051" t="inlineStr">
        <is>
          <t>37:58</t>
        </is>
      </c>
      <c r="C11051" t="inlineStr">
        <is>
          <t>And I want to talk
a little bit more about Europe.</t>
        </is>
      </c>
      <c r="D11051">
        <f>HYPERLINK("https://www.youtube.com/watch?v=hnygd-8rriU&amp;t=2278s", "Go to time")</f>
        <v/>
      </c>
    </row>
    <row r="11052">
      <c r="A11052">
        <f>HYPERLINK("https://www.youtube.com/watch?v=pxEcvU0Vp_M", "Video")</f>
        <v/>
      </c>
      <c r="B11052" t="inlineStr">
        <is>
          <t>14:08</t>
        </is>
      </c>
      <c r="C11052" t="inlineStr">
        <is>
          <t>running our behaviors on habit,</t>
        </is>
      </c>
      <c r="D11052">
        <f>HYPERLINK("https://www.youtube.com/watch?v=pxEcvU0Vp_M&amp;t=848s", "Go to time")</f>
        <v/>
      </c>
    </row>
    <row r="11053">
      <c r="A11053">
        <f>HYPERLINK("https://www.youtube.com/watch?v=SHSmo72oVao", "Video")</f>
        <v/>
      </c>
      <c r="B11053" t="inlineStr">
        <is>
          <t>2:56</t>
        </is>
      </c>
      <c r="C11053" t="inlineStr">
        <is>
          <t>before we dig into that just a bit I</t>
        </is>
      </c>
      <c r="D11053">
        <f>HYPERLINK("https://www.youtube.com/watch?v=SHSmo72oVao&amp;t=176s", "Go to time")</f>
        <v/>
      </c>
    </row>
    <row r="11054">
      <c r="A11054">
        <f>HYPERLINK("https://www.youtube.com/watch?v=SHSmo72oVao", "Video")</f>
        <v/>
      </c>
      <c r="B11054" t="inlineStr">
        <is>
          <t>3:20</t>
        </is>
      </c>
      <c r="C11054" t="inlineStr">
        <is>
          <t>your team to do a bit of a first yeah I</t>
        </is>
      </c>
      <c r="D11054">
        <f>HYPERLINK("https://www.youtube.com/watch?v=SHSmo72oVao&amp;t=200s", "Go to time")</f>
        <v/>
      </c>
    </row>
    <row r="11055">
      <c r="A11055">
        <f>HYPERLINK("https://www.youtube.com/watch?v=SHSmo72oVao", "Video")</f>
        <v/>
      </c>
      <c r="B11055" t="inlineStr">
        <is>
          <t>7:41</t>
        </is>
      </c>
      <c r="C11055" t="inlineStr">
        <is>
          <t>it'll be an accommodation so talk a bit</t>
        </is>
      </c>
      <c r="D11055">
        <f>HYPERLINK("https://www.youtube.com/watch?v=SHSmo72oVao&amp;t=461s", "Go to time")</f>
        <v/>
      </c>
    </row>
    <row r="11056">
      <c r="A11056">
        <f>HYPERLINK("https://www.youtube.com/watch?v=QijH4UAqGD8", "Video")</f>
        <v/>
      </c>
      <c r="B11056" t="inlineStr">
        <is>
          <t>2:58</t>
        </is>
      </c>
      <c r="C11056" t="inlineStr">
        <is>
          <t>without, "How am I going
to keep up my shoe habit?</t>
        </is>
      </c>
      <c r="D11056">
        <f>HYPERLINK("https://www.youtube.com/watch?v=QijH4UAqGD8&amp;t=178s", "Go to time")</f>
        <v/>
      </c>
    </row>
    <row r="11057">
      <c r="A11057">
        <f>HYPERLINK("https://www.youtube.com/watch?v=oVTuJzDmyd4", "Video")</f>
        <v/>
      </c>
      <c r="B11057" t="inlineStr">
        <is>
          <t>3:20</t>
        </is>
      </c>
      <c r="C11057" t="inlineStr">
        <is>
          <t>to mount an enormous telescope
and launch it into Earth's orbit.</t>
        </is>
      </c>
      <c r="D11057">
        <f>HYPERLINK("https://www.youtube.com/watch?v=oVTuJzDmyd4&amp;t=200s", "Go to time")</f>
        <v/>
      </c>
    </row>
    <row r="11058">
      <c r="A11058">
        <f>HYPERLINK("https://www.youtube.com/watch?v=-I3e6Mkfp7M", "Video")</f>
        <v/>
      </c>
      <c r="B11058" t="inlineStr">
        <is>
          <t>12:09</t>
        </is>
      </c>
      <c r="C11058" t="inlineStr">
        <is>
          <t>It's organizations buying back
foreclosed homes for their inhabitants</t>
        </is>
      </c>
      <c r="D11058">
        <f>HYPERLINK("https://www.youtube.com/watch?v=-I3e6Mkfp7M&amp;t=729s", "Go to time")</f>
        <v/>
      </c>
    </row>
    <row r="11059">
      <c r="A11059">
        <f>HYPERLINK("https://www.youtube.com/watch?v=DM1_DV_Fhc4", "Video")</f>
        <v/>
      </c>
      <c r="B11059" t="inlineStr">
        <is>
          <t>3:56</t>
        </is>
      </c>
      <c r="C11059" t="inlineStr">
        <is>
          <t>Your phone is not
the Internet's door bitch.</t>
        </is>
      </c>
      <c r="D11059">
        <f>HYPERLINK("https://www.youtube.com/watch?v=DM1_DV_Fhc4&amp;t=236s", "Go to time")</f>
        <v/>
      </c>
    </row>
    <row r="11060">
      <c r="A11060">
        <f>HYPERLINK("https://www.youtube.com/watch?v=DM1_DV_Fhc4", "Video")</f>
        <v/>
      </c>
      <c r="B11060" t="inlineStr">
        <is>
          <t>6:25</t>
        </is>
      </c>
      <c r="C11060" t="inlineStr">
        <is>
          <t>when you pull the phones apart
and you put the bits into trees,</t>
        </is>
      </c>
      <c r="D11060">
        <f>HYPERLINK("https://www.youtube.com/watch?v=DM1_DV_Fhc4&amp;t=385s", "Go to time")</f>
        <v/>
      </c>
    </row>
    <row r="11061">
      <c r="A11061">
        <f>HYPERLINK("https://www.youtube.com/watch?v=DM1_DV_Fhc4", "Video")</f>
        <v/>
      </c>
      <c r="B11061" t="inlineStr">
        <is>
          <t>8:11</t>
        </is>
      </c>
      <c r="C11061" t="inlineStr">
        <is>
          <t>maybe we could give a bit of thought
to cork and light and hacky sacks.</t>
        </is>
      </c>
      <c r="D11061">
        <f>HYPERLINK("https://www.youtube.com/watch?v=DM1_DV_Fhc4&amp;t=491s", "Go to time")</f>
        <v/>
      </c>
    </row>
    <row r="11062">
      <c r="A11062">
        <f>HYPERLINK("https://www.youtube.com/watch?v=GB4s5b9NL3I", "Video")</f>
        <v/>
      </c>
      <c r="B11062" t="inlineStr">
        <is>
          <t>7:36</t>
        </is>
      </c>
      <c r="C11062" t="inlineStr">
        <is>
          <t>it is a little bit like
a population of predators,</t>
        </is>
      </c>
      <c r="D11062">
        <f>HYPERLINK("https://www.youtube.com/watch?v=GB4s5b9NL3I&amp;t=456s", "Go to time")</f>
        <v/>
      </c>
    </row>
    <row r="11063">
      <c r="A11063">
        <f>HYPERLINK("https://www.youtube.com/watch?v=JFjv971_NZM", "Video")</f>
        <v/>
      </c>
      <c r="B11063" t="inlineStr">
        <is>
          <t>1:15</t>
        </is>
      </c>
      <c r="C11063" t="inlineStr">
        <is>
          <t>A little bit about me.</t>
        </is>
      </c>
      <c r="D11063">
        <f>HYPERLINK("https://www.youtube.com/watch?v=JFjv971_NZM&amp;t=75s", "Go to time")</f>
        <v/>
      </c>
    </row>
    <row r="11064">
      <c r="A11064">
        <f>HYPERLINK("https://www.youtube.com/watch?v=JFjv971_NZM", "Video")</f>
        <v/>
      </c>
      <c r="B11064" t="inlineStr">
        <is>
          <t>4:28</t>
        </is>
      </c>
      <c r="C11064" t="inlineStr">
        <is>
          <t>I noticed that everyone was laughing
at all the impression bits.</t>
        </is>
      </c>
      <c r="D11064">
        <f>HYPERLINK("https://www.youtube.com/watch?v=JFjv971_NZM&amp;t=268s", "Go to time")</f>
        <v/>
      </c>
    </row>
    <row r="11065">
      <c r="A11065">
        <f>HYPERLINK("https://www.youtube.com/watch?v=GTmQF2ABid0", "Video")</f>
        <v/>
      </c>
      <c r="B11065" t="inlineStr">
        <is>
          <t>3:36</t>
        </is>
      </c>
      <c r="C11065" t="inlineStr">
        <is>
          <t>Every bit of stifled warming
means fewer people exposed</t>
        </is>
      </c>
      <c r="D11065">
        <f>HYPERLINK("https://www.youtube.com/watch?v=GTmQF2ABid0&amp;t=216s", "Go to time")</f>
        <v/>
      </c>
    </row>
    <row r="11066">
      <c r="A11066">
        <f>HYPERLINK("https://www.youtube.com/watch?v=ajGgd9Ld-Wc", "Video")</f>
        <v/>
      </c>
      <c r="B11066" t="inlineStr">
        <is>
          <t>9:37</t>
        </is>
      </c>
      <c r="C11066" t="inlineStr">
        <is>
          <t>melting away my ambition.</t>
        </is>
      </c>
      <c r="D11066">
        <f>HYPERLINK("https://www.youtube.com/watch?v=ajGgd9Ld-Wc&amp;t=577s", "Go to time")</f>
        <v/>
      </c>
    </row>
    <row r="11067">
      <c r="A11067">
        <f>HYPERLINK("https://www.youtube.com/watch?v=s6rJLXq1Re0", "Video")</f>
        <v/>
      </c>
      <c r="B11067" t="inlineStr">
        <is>
          <t>0:30</t>
        </is>
      </c>
      <c r="C11067" t="inlineStr">
        <is>
          <t>a bit of information, some
raw material, some energy,</t>
        </is>
      </c>
      <c r="D11067">
        <f>HYPERLINK("https://www.youtube.com/watch?v=s6rJLXq1Re0&amp;t=30s", "Go to time")</f>
        <v/>
      </c>
    </row>
    <row r="11068">
      <c r="A11068">
        <f>HYPERLINK("https://www.youtube.com/watch?v=s6rJLXq1Re0", "Video")</f>
        <v/>
      </c>
      <c r="B11068" t="inlineStr">
        <is>
          <t>0:50</t>
        </is>
      </c>
      <c r="C11068" t="inlineStr">
        <is>
          <t>a bit of information, which is between
my father and my mom in this case,</t>
        </is>
      </c>
      <c r="D11068">
        <f>HYPERLINK("https://www.youtube.com/watch?v=s6rJLXq1Re0&amp;t=50s", "Go to time")</f>
        <v/>
      </c>
    </row>
    <row r="11069">
      <c r="A11069">
        <f>HYPERLINK("https://www.youtube.com/watch?v=mz_4QLvz2HM", "Video")</f>
        <v/>
      </c>
      <c r="B11069" t="inlineStr">
        <is>
          <t>0:30</t>
        </is>
      </c>
      <c r="C11069" t="inlineStr">
        <is>
          <t>So I feel a bit like an imposter
being here today,</t>
        </is>
      </c>
      <c r="D11069">
        <f>HYPERLINK("https://www.youtube.com/watch?v=mz_4QLvz2HM&amp;t=30s", "Go to time")</f>
        <v/>
      </c>
    </row>
    <row r="11070">
      <c r="A11070">
        <f>HYPERLINK("https://www.youtube.com/watch?v=mz_4QLvz2HM", "Video")</f>
        <v/>
      </c>
      <c r="B11070" t="inlineStr">
        <is>
          <t>0:37</t>
        </is>
      </c>
      <c r="C11070" t="inlineStr">
        <is>
          <t>is that I’m making this
a little bit lighthearted start.</t>
        </is>
      </c>
      <c r="D11070">
        <f>HYPERLINK("https://www.youtube.com/watch?v=mz_4QLvz2HM&amp;t=37s", "Go to time")</f>
        <v/>
      </c>
    </row>
    <row r="11071">
      <c r="A11071">
        <f>HYPERLINK("https://www.youtube.com/watch?v=kcoUlel8qbw", "Video")</f>
        <v/>
      </c>
      <c r="B11071" t="inlineStr">
        <is>
          <t>2:35</t>
        </is>
      </c>
      <c r="C11071" t="inlineStr">
        <is>
          <t>Exhibit A:</t>
        </is>
      </c>
      <c r="D11071">
        <f>HYPERLINK("https://www.youtube.com/watch?v=kcoUlel8qbw&amp;t=155s", "Go to time")</f>
        <v/>
      </c>
    </row>
    <row r="11072">
      <c r="A11072">
        <f>HYPERLINK("https://www.youtube.com/watch?v=kcoUlel8qbw", "Video")</f>
        <v/>
      </c>
      <c r="B11072" t="inlineStr">
        <is>
          <t>11:03</t>
        </is>
      </c>
      <c r="C11072" t="inlineStr">
        <is>
          <t>fires, bitter tongues,</t>
        </is>
      </c>
      <c r="D11072">
        <f>HYPERLINK("https://www.youtube.com/watch?v=kcoUlel8qbw&amp;t=663s", "Go to time")</f>
        <v/>
      </c>
    </row>
    <row r="11073">
      <c r="A11073">
        <f>HYPERLINK("https://www.youtube.com/watch?v=GSf6nij-SdA", "Video")</f>
        <v/>
      </c>
      <c r="B11073" t="inlineStr">
        <is>
          <t>0:56</t>
        </is>
      </c>
      <c r="C11073" t="inlineStr">
        <is>
          <t>that bitch is hot af.</t>
        </is>
      </c>
      <c r="D11073">
        <f>HYPERLINK("https://www.youtube.com/watch?v=GSf6nij-SdA&amp;t=56s", "Go to time")</f>
        <v/>
      </c>
    </row>
    <row r="11074">
      <c r="A11074">
        <f>HYPERLINK("https://www.youtube.com/watch?v=kIFOiF9Q4VM", "Video")</f>
        <v/>
      </c>
      <c r="B11074" t="inlineStr">
        <is>
          <t>13:22</t>
        </is>
      </c>
      <c r="C11074" t="inlineStr">
        <is>
          <t>to have to talk about this,
maybe with a little bit of humor.</t>
        </is>
      </c>
      <c r="D11074">
        <f>HYPERLINK("https://www.youtube.com/watch?v=kIFOiF9Q4VM&amp;t=802s", "Go to time")</f>
        <v/>
      </c>
    </row>
    <row r="11075">
      <c r="A11075">
        <f>HYPERLINK("https://www.youtube.com/watch?v=5UH7uTpTa44", "Video")</f>
        <v/>
      </c>
      <c r="B11075" t="inlineStr">
        <is>
          <t>3:37</t>
        </is>
      </c>
      <c r="C11075" t="inlineStr">
        <is>
          <t>yeah, I might look like I'm still
clinging on to it a bit --</t>
        </is>
      </c>
      <c r="D11075">
        <f>HYPERLINK("https://www.youtube.com/watch?v=5UH7uTpTa44&amp;t=217s", "Go to time")</f>
        <v/>
      </c>
    </row>
    <row r="11076">
      <c r="A11076">
        <f>HYPERLINK("https://www.youtube.com/watch?v=5UH7uTpTa44", "Video")</f>
        <v/>
      </c>
      <c r="B11076" t="inlineStr">
        <is>
          <t>6:42</t>
        </is>
      </c>
      <c r="C11076" t="inlineStr">
        <is>
          <t>taking place in huge exhibition spaces,</t>
        </is>
      </c>
      <c r="D11076">
        <f>HYPERLINK("https://www.youtube.com/watch?v=5UH7uTpTa44&amp;t=402s", "Go to time")</f>
        <v/>
      </c>
    </row>
    <row r="11077">
      <c r="A11077">
        <f>HYPERLINK("https://www.youtube.com/watch?v=5UH7uTpTa44", "Video")</f>
        <v/>
      </c>
      <c r="B11077" t="inlineStr">
        <is>
          <t>11:24</t>
        </is>
      </c>
      <c r="C11077" t="inlineStr">
        <is>
          <t>look closer, question a little bit
deeper, and ask yourself --</t>
        </is>
      </c>
      <c r="D11077">
        <f>HYPERLINK("https://www.youtube.com/watch?v=5UH7uTpTa44&amp;t=684s", "Go to time")</f>
        <v/>
      </c>
    </row>
    <row r="11078">
      <c r="A11078">
        <f>HYPERLINK("https://www.youtube.com/watch?v=hn8N8p9P5gw", "Video")</f>
        <v/>
      </c>
      <c r="B11078" t="inlineStr">
        <is>
          <t>13:09</t>
        </is>
      </c>
      <c r="C11078" t="inlineStr">
        <is>
          <t>you might have a little bit
of amplification,</t>
        </is>
      </c>
      <c r="D11078">
        <f>HYPERLINK("https://www.youtube.com/watch?v=hn8N8p9P5gw&amp;t=789s", "Go to time")</f>
        <v/>
      </c>
    </row>
    <row r="11079">
      <c r="A11079">
        <f>HYPERLINK("https://www.youtube.com/watch?v=hn8N8p9P5gw", "Video")</f>
        <v/>
      </c>
      <c r="B11079" t="inlineStr">
        <is>
          <t>15:14</t>
        </is>
      </c>
      <c r="C11079" t="inlineStr">
        <is>
          <t>They dance for a little bit,</t>
        </is>
      </c>
      <c r="D11079">
        <f>HYPERLINK("https://www.youtube.com/watch?v=hn8N8p9P5gw&amp;t=914s", "Go to time")</f>
        <v/>
      </c>
    </row>
    <row r="11080">
      <c r="A11080">
        <f>HYPERLINK("https://www.youtube.com/watch?v=bUqur6hZvKg", "Video")</f>
        <v/>
      </c>
      <c r="B11080" t="inlineStr">
        <is>
          <t>0:42</t>
        </is>
      </c>
      <c r="C11080" t="inlineStr">
        <is>
          <t>Any ambitious journalist that age</t>
        </is>
      </c>
      <c r="D11080">
        <f>HYPERLINK("https://www.youtube.com/watch?v=bUqur6hZvKg&amp;t=42s", "Go to time")</f>
        <v/>
      </c>
    </row>
    <row r="11081">
      <c r="A11081">
        <f>HYPERLINK("https://www.youtube.com/watch?v=bUqur6hZvKg", "Video")</f>
        <v/>
      </c>
      <c r="B11081" t="inlineStr">
        <is>
          <t>3:00</t>
        </is>
      </c>
      <c r="C11081" t="inlineStr">
        <is>
          <t>we hit ambitious targets</t>
        </is>
      </c>
      <c r="D11081">
        <f>HYPERLINK("https://www.youtube.com/watch?v=bUqur6hZvKg&amp;t=180s", "Go to time")</f>
        <v/>
      </c>
    </row>
    <row r="11082">
      <c r="A11082">
        <f>HYPERLINK("https://www.youtube.com/watch?v=4R7mX6pChSA", "Video")</f>
        <v/>
      </c>
      <c r="B11082" t="inlineStr">
        <is>
          <t>1:28</t>
        </is>
      </c>
      <c r="C11082" t="inlineStr">
        <is>
          <t>little bit lo and behold we lost 100% of</t>
        </is>
      </c>
      <c r="D11082">
        <f>HYPERLINK("https://www.youtube.com/watch?v=4R7mX6pChSA&amp;t=88s", "Go to time")</f>
        <v/>
      </c>
    </row>
    <row r="11083">
      <c r="A11083">
        <f>HYPERLINK("https://www.youtube.com/watch?v=4R7mX6pChSA", "Video")</f>
        <v/>
      </c>
      <c r="B11083" t="inlineStr">
        <is>
          <t>10:28</t>
        </is>
      </c>
      <c r="C11083" t="inlineStr">
        <is>
          <t>the home habitat for those</t>
        </is>
      </c>
      <c r="D11083">
        <f>HYPERLINK("https://www.youtube.com/watch?v=4R7mX6pChSA&amp;t=628s", "Go to time")</f>
        <v/>
      </c>
    </row>
    <row r="11084">
      <c r="A11084">
        <f>HYPERLINK("https://www.youtube.com/watch?v=P9h6ci3eCUU", "Video")</f>
        <v/>
      </c>
      <c r="B11084" t="inlineStr">
        <is>
          <t>10:01</t>
        </is>
      </c>
      <c r="C11084" t="inlineStr">
        <is>
          <t>For my solo exhibition
at Uffizi Galleries,</t>
        </is>
      </c>
      <c r="D11084">
        <f>HYPERLINK("https://www.youtube.com/watch?v=P9h6ci3eCUU&amp;t=601s", "Go to time")</f>
        <v/>
      </c>
    </row>
    <row r="11085">
      <c r="A11085">
        <f>HYPERLINK("https://www.youtube.com/watch?v=P9h6ci3eCUU", "Video")</f>
        <v/>
      </c>
      <c r="B11085" t="inlineStr">
        <is>
          <t>10:49</t>
        </is>
      </c>
      <c r="C11085" t="inlineStr">
        <is>
          <t>I've realized over 600 solo exhibitions
and projects worldwide,</t>
        </is>
      </c>
      <c r="D11085">
        <f>HYPERLINK("https://www.youtube.com/watch?v=P9h6ci3eCUU&amp;t=649s", "Go to time")</f>
        <v/>
      </c>
    </row>
    <row r="11086">
      <c r="A11086">
        <f>HYPERLINK("https://www.youtube.com/watch?v=SFpCQRZOxVE", "Video")</f>
        <v/>
      </c>
      <c r="B11086" t="inlineStr">
        <is>
          <t>5:27</t>
        </is>
      </c>
      <c r="C11086" t="inlineStr">
        <is>
          <t>green enterprise development
and habitat conservation.</t>
        </is>
      </c>
      <c r="D11086">
        <f>HYPERLINK("https://www.youtube.com/watch?v=SFpCQRZOxVE&amp;t=327s", "Go to time")</f>
        <v/>
      </c>
    </row>
    <row r="11087">
      <c r="A11087">
        <f>HYPERLINK("https://www.youtube.com/watch?v=SFpCQRZOxVE", "Video")</f>
        <v/>
      </c>
      <c r="B11087" t="inlineStr">
        <is>
          <t>10:36</t>
        </is>
      </c>
      <c r="C11087" t="inlineStr">
        <is>
          <t>and think a bit.</t>
        </is>
      </c>
      <c r="D11087">
        <f>HYPERLINK("https://www.youtube.com/watch?v=SFpCQRZOxVE&amp;t=636s", "Go to time")</f>
        <v/>
      </c>
    </row>
    <row r="11088">
      <c r="A11088">
        <f>HYPERLINK("https://www.youtube.com/watch?v=lKJEX-mrowo", "Video")</f>
        <v/>
      </c>
      <c r="B11088" t="inlineStr">
        <is>
          <t>0:26</t>
        </is>
      </c>
      <c r="C11088" t="inlineStr">
        <is>
          <t>And sometimes it can be
a little bit difficult to keep up</t>
        </is>
      </c>
      <c r="D11088">
        <f>HYPERLINK("https://www.youtube.com/watch?v=lKJEX-mrowo&amp;t=26s", "Go to time")</f>
        <v/>
      </c>
    </row>
    <row r="11089">
      <c r="A11089">
        <f>HYPERLINK("https://www.youtube.com/watch?v=lKJEX-mrowo", "Video")</f>
        <v/>
      </c>
      <c r="B11089" t="inlineStr">
        <is>
          <t>0:34</t>
        </is>
      </c>
      <c r="C11089" t="inlineStr">
        <is>
          <t>I'm slowly starting to relate
a little bit more to this response.</t>
        </is>
      </c>
      <c r="D11089">
        <f>HYPERLINK("https://www.youtube.com/watch?v=lKJEX-mrowo&amp;t=34s", "Go to time")</f>
        <v/>
      </c>
    </row>
    <row r="11090">
      <c r="A11090">
        <f>HYPERLINK("https://www.youtube.com/watch?v=lKJEX-mrowo", "Video")</f>
        <v/>
      </c>
      <c r="B11090" t="inlineStr">
        <is>
          <t>1:18</t>
        </is>
      </c>
      <c r="C11090" t="inlineStr">
        <is>
          <t>It's a bit of an ambiguous word</t>
        </is>
      </c>
      <c r="D11090">
        <f>HYPERLINK("https://www.youtube.com/watch?v=lKJEX-mrowo&amp;t=78s", "Go to time")</f>
        <v/>
      </c>
    </row>
    <row r="11091">
      <c r="A11091">
        <f>HYPERLINK("https://www.youtube.com/watch?v=lKJEX-mrowo", "Video")</f>
        <v/>
      </c>
      <c r="B11091" t="inlineStr">
        <is>
          <t>2:33</t>
        </is>
      </c>
      <c r="C11091" t="inlineStr">
        <is>
          <t>And yes, I know some you might think it’s
a little bit strange for a near-graduate</t>
        </is>
      </c>
      <c r="D11091">
        <f>HYPERLINK("https://www.youtube.com/watch?v=lKJEX-mrowo&amp;t=153s", "Go to time")</f>
        <v/>
      </c>
    </row>
    <row r="11092">
      <c r="A11092">
        <f>HYPERLINK("https://www.youtube.com/watch?v=lKJEX-mrowo", "Video")</f>
        <v/>
      </c>
      <c r="B11092" t="inlineStr">
        <is>
          <t>4:13</t>
        </is>
      </c>
      <c r="C11092" t="inlineStr">
        <is>
          <t>I've often recognized
that there's a bit of a frustration factor</t>
        </is>
      </c>
      <c r="D11092">
        <f>HYPERLINK("https://www.youtube.com/watch?v=lKJEX-mrowo&amp;t=253s", "Go to time")</f>
        <v/>
      </c>
    </row>
    <row r="11093">
      <c r="A11093">
        <f>HYPERLINK("https://www.youtube.com/watch?v=lKJEX-mrowo", "Video")</f>
        <v/>
      </c>
      <c r="B11093" t="inlineStr">
        <is>
          <t>8:42</t>
        </is>
      </c>
      <c r="C11093" t="inlineStr">
        <is>
          <t>and sometimes it can be
a little bit difficult</t>
        </is>
      </c>
      <c r="D11093">
        <f>HYPERLINK("https://www.youtube.com/watch?v=lKJEX-mrowo&amp;t=522s", "Go to time")</f>
        <v/>
      </c>
    </row>
    <row r="11094">
      <c r="A11094">
        <f>HYPERLINK("https://www.youtube.com/watch?v=9XGm_uHit5g", "Video")</f>
        <v/>
      </c>
      <c r="B11094" t="inlineStr">
        <is>
          <t>6:50</t>
        </is>
      </c>
      <c r="C11094" t="inlineStr">
        <is>
          <t>in a system that's a little bit broken.</t>
        </is>
      </c>
      <c r="D11094">
        <f>HYPERLINK("https://www.youtube.com/watch?v=9XGm_uHit5g&amp;t=410s", "Go to time")</f>
        <v/>
      </c>
    </row>
    <row r="11095">
      <c r="A11095">
        <f>HYPERLINK("https://www.youtube.com/watch?v=9XGm_uHit5g", "Video")</f>
        <v/>
      </c>
      <c r="B11095" t="inlineStr">
        <is>
          <t>8:22</t>
        </is>
      </c>
      <c r="C11095" t="inlineStr">
        <is>
          <t>and the rest of us
were a little bit better off.</t>
        </is>
      </c>
      <c r="D11095">
        <f>HYPERLINK("https://www.youtube.com/watch?v=9XGm_uHit5g&amp;t=502s", "Go to time")</f>
        <v/>
      </c>
    </row>
    <row r="11096">
      <c r="A11096">
        <f>HYPERLINK("https://www.youtube.com/watch?v=Lz9CQ2zKt3M", "Video")</f>
        <v/>
      </c>
      <c r="B11096" t="inlineStr">
        <is>
          <t>4:50</t>
        </is>
      </c>
      <c r="C11096" t="inlineStr">
        <is>
          <t>But we have to simply up
our ambition on a global basis.</t>
        </is>
      </c>
      <c r="D11096">
        <f>HYPERLINK("https://www.youtube.com/watch?v=Lz9CQ2zKt3M&amp;t=290s", "Go to time")</f>
        <v/>
      </c>
    </row>
    <row r="11097">
      <c r="A11097">
        <f>HYPERLINK("https://www.youtube.com/watch?v=Lz9CQ2zKt3M", "Video")</f>
        <v/>
      </c>
      <c r="B11097" t="inlineStr">
        <is>
          <t>6:13</t>
        </is>
      </c>
      <c r="C11097" t="inlineStr">
        <is>
          <t>And so we all have to raise our ambition.</t>
        </is>
      </c>
      <c r="D11097">
        <f>HYPERLINK("https://www.youtube.com/watch?v=Lz9CQ2zKt3M&amp;t=373s", "Go to time")</f>
        <v/>
      </c>
    </row>
    <row r="11098">
      <c r="A11098">
        <f>HYPERLINK("https://www.youtube.com/watch?v=Lz9CQ2zKt3M", "Video")</f>
        <v/>
      </c>
      <c r="B11098" t="inlineStr">
        <is>
          <t>6:44</t>
        </is>
      </c>
      <c r="C11098" t="inlineStr">
        <is>
          <t>And I think Glasgow has to not only
have countries come and raise ambition,</t>
        </is>
      </c>
      <c r="D11098">
        <f>HYPERLINK("https://www.youtube.com/watch?v=Lz9CQ2zKt3M&amp;t=404s", "Go to time")</f>
        <v/>
      </c>
    </row>
    <row r="11099">
      <c r="A11099">
        <f>HYPERLINK("https://www.youtube.com/watch?v=Lz9CQ2zKt3M", "Video")</f>
        <v/>
      </c>
      <c r="B11099" t="inlineStr">
        <is>
          <t>9:44</t>
        </is>
      </c>
      <c r="C11099" t="inlineStr">
        <is>
          <t>have the summit, raise ambition,</t>
        </is>
      </c>
      <c r="D11099">
        <f>HYPERLINK("https://www.youtube.com/watch?v=Lz9CQ2zKt3M&amp;t=584s", "Go to time")</f>
        <v/>
      </c>
    </row>
    <row r="11100">
      <c r="A11100">
        <f>HYPERLINK("https://www.youtube.com/watch?v=Lz9CQ2zKt3M", "Video")</f>
        <v/>
      </c>
      <c r="B11100" t="inlineStr">
        <is>
          <t>10:21</t>
        </is>
      </c>
      <c r="C11100" t="inlineStr">
        <is>
          <t>And so, you know, one key is,
as I said, raising ambition.</t>
        </is>
      </c>
      <c r="D11100">
        <f>HYPERLINK("https://www.youtube.com/watch?v=Lz9CQ2zKt3M&amp;t=621s", "Go to time")</f>
        <v/>
      </c>
    </row>
    <row r="11101">
      <c r="A11101">
        <f>HYPERLINK("https://www.youtube.com/watch?v=Lz9CQ2zKt3M", "Video")</f>
        <v/>
      </c>
      <c r="B11101" t="inlineStr">
        <is>
          <t>34:52</t>
        </is>
      </c>
      <c r="C11101" t="inlineStr">
        <is>
          <t>how can we avoid sleepwalking
back into old habits?</t>
        </is>
      </c>
      <c r="D11101">
        <f>HYPERLINK("https://www.youtube.com/watch?v=Lz9CQ2zKt3M&amp;t=2092s", "Go to time")</f>
        <v/>
      </c>
    </row>
    <row r="11102">
      <c r="A11102">
        <f>HYPERLINK("https://www.youtube.com/watch?v=8UNCvk9YXOo", "Video")</f>
        <v/>
      </c>
      <c r="B11102" t="inlineStr">
        <is>
          <t>6:37</t>
        </is>
      </c>
      <c r="C11102" t="inlineStr">
        <is>
          <t>prohibits the use
of long-term solitary confinement.</t>
        </is>
      </c>
      <c r="D11102">
        <f>HYPERLINK("https://www.youtube.com/watch?v=8UNCvk9YXOo&amp;t=397s", "Go to time")</f>
        <v/>
      </c>
    </row>
    <row r="11103">
      <c r="A11103">
        <f>HYPERLINK("https://www.youtube.com/watch?v=8UNCvk9YXOo", "Video")</f>
        <v/>
      </c>
      <c r="B11103" t="inlineStr">
        <is>
          <t>9:56</t>
        </is>
      </c>
      <c r="C11103" t="inlineStr">
        <is>
          <t>that prohibit criminal conduct.</t>
        </is>
      </c>
      <c r="D11103">
        <f>HYPERLINK("https://www.youtube.com/watch?v=8UNCvk9YXOo&amp;t=596s", "Go to time")</f>
        <v/>
      </c>
    </row>
    <row r="11104">
      <c r="A11104">
        <f>HYPERLINK("https://www.youtube.com/watch?v=KuXvFAZZlZg", "Video")</f>
        <v/>
      </c>
      <c r="B11104" t="inlineStr">
        <is>
          <t>8:25</t>
        </is>
      </c>
      <c r="C11104" t="inlineStr">
        <is>
          <t>HW: Tell us a little bit --
There's a lot of precision here.</t>
        </is>
      </c>
      <c r="D11104">
        <f>HYPERLINK("https://www.youtube.com/watch?v=KuXvFAZZlZg&amp;t=505s", "Go to time")</f>
        <v/>
      </c>
    </row>
    <row r="11105">
      <c r="A11105">
        <f>HYPERLINK("https://www.youtube.com/watch?v=KuXvFAZZlZg", "Video")</f>
        <v/>
      </c>
      <c r="B11105" t="inlineStr">
        <is>
          <t>10:02</t>
        </is>
      </c>
      <c r="C11105" t="inlineStr">
        <is>
          <t>Tell us a little bit
about your creative process</t>
        </is>
      </c>
      <c r="D11105">
        <f>HYPERLINK("https://www.youtube.com/watch?v=KuXvFAZZlZg&amp;t=602s", "Go to time")</f>
        <v/>
      </c>
    </row>
    <row r="11106">
      <c r="A11106">
        <f>HYPERLINK("https://www.youtube.com/watch?v=1LX6rCIZaIU", "Video")</f>
        <v/>
      </c>
      <c r="B11106" t="inlineStr">
        <is>
          <t>4:06</t>
        </is>
      </c>
      <c r="C11106" t="inlineStr">
        <is>
          <t>Efficiency also bites back
with false positives.</t>
        </is>
      </c>
      <c r="D11106">
        <f>HYPERLINK("https://www.youtube.com/watch?v=1LX6rCIZaIU&amp;t=246s", "Go to time")</f>
        <v/>
      </c>
    </row>
    <row r="11107">
      <c r="A11107">
        <f>HYPERLINK("https://www.youtube.com/watch?v=1LX6rCIZaIU", "Video")</f>
        <v/>
      </c>
      <c r="B11107" t="inlineStr">
        <is>
          <t>13:36</t>
        </is>
      </c>
      <c r="C11107" t="inlineStr">
        <is>
          <t>But a bit of inspired inefficiency
can strengthen it.</t>
        </is>
      </c>
      <c r="D11107">
        <f>HYPERLINK("https://www.youtube.com/watch?v=1LX6rCIZaIU&amp;t=816s", "Go to time")</f>
        <v/>
      </c>
    </row>
    <row r="11108">
      <c r="A11108">
        <f>HYPERLINK("https://www.youtube.com/watch?v=Sd7lvPpDDUg", "Video")</f>
        <v/>
      </c>
      <c r="B11108" t="inlineStr">
        <is>
          <t>3:58</t>
        </is>
      </c>
      <c r="C11108" t="inlineStr">
        <is>
          <t>their groundwater habitat</t>
        </is>
      </c>
      <c r="D11108">
        <f>HYPERLINK("https://www.youtube.com/watch?v=Sd7lvPpDDUg&amp;t=238s", "Go to time")</f>
        <v/>
      </c>
    </row>
    <row r="11109">
      <c r="A11109">
        <f>HYPERLINK("https://www.youtube.com/watch?v=gmj-azFbpkA", "Video")</f>
        <v/>
      </c>
      <c r="B11109" t="inlineStr">
        <is>
          <t>18:19</t>
        </is>
      </c>
      <c r="C11109" t="inlineStr">
        <is>
          <t>Because a dream job
should be a little bit dreamy.</t>
        </is>
      </c>
      <c r="D11109">
        <f>HYPERLINK("https://www.youtube.com/watch?v=gmj-azFbpkA&amp;t=1099s", "Go to time")</f>
        <v/>
      </c>
    </row>
    <row r="11110">
      <c r="A11110">
        <f>HYPERLINK("https://www.youtube.com/watch?v=i5vZkaUk528", "Video")</f>
        <v/>
      </c>
      <c r="B11110" t="inlineStr">
        <is>
          <t>1:51</t>
        </is>
      </c>
      <c r="C11110" t="inlineStr">
        <is>
          <t>showed that health habits
account for 50 percent</t>
        </is>
      </c>
      <c r="D11110">
        <f>HYPERLINK("https://www.youtube.com/watch?v=i5vZkaUk528&amp;t=111s", "Go to time")</f>
        <v/>
      </c>
    </row>
    <row r="11111">
      <c r="A11111">
        <f>HYPERLINK("https://www.youtube.com/watch?v=VDP27kIe7-s", "Video")</f>
        <v/>
      </c>
      <c r="B11111" t="inlineStr">
        <is>
          <t>0:26</t>
        </is>
      </c>
      <c r="C11111" t="inlineStr">
        <is>
          <t>habitat on land and sea shrink,</t>
        </is>
      </c>
      <c r="D11111">
        <f>HYPERLINK("https://www.youtube.com/watch?v=VDP27kIe7-s&amp;t=26s", "Go to time")</f>
        <v/>
      </c>
    </row>
    <row r="11112">
      <c r="A11112">
        <f>HYPERLINK("https://www.youtube.com/watch?v=VDP27kIe7-s", "Video")</f>
        <v/>
      </c>
      <c r="B11112" t="inlineStr">
        <is>
          <t>3:00</t>
        </is>
      </c>
      <c r="C11112" t="inlineStr">
        <is>
          <t>We committed ourselves to saving
as much wild habitat as we could,</t>
        </is>
      </c>
      <c r="D11112">
        <f>HYPERLINK("https://www.youtube.com/watch?v=VDP27kIe7-s&amp;t=180s", "Go to time")</f>
        <v/>
      </c>
    </row>
    <row r="11113">
      <c r="A11113">
        <f>HYPERLINK("https://www.youtube.com/watch?v=VDP27kIe7-s", "Video")</f>
        <v/>
      </c>
      <c r="B11113" t="inlineStr">
        <is>
          <t>3:12</t>
        </is>
      </c>
      <c r="C11113" t="inlineStr">
        <is>
          <t>of key habitat in Chile and Argentina.</t>
        </is>
      </c>
      <c r="D11113">
        <f>HYPERLINK("https://www.youtube.com/watch?v=VDP27kIe7-s&amp;t=192s", "Go to time")</f>
        <v/>
      </c>
    </row>
    <row r="11114">
      <c r="A11114">
        <f>HYPERLINK("https://www.youtube.com/watch?v=VDP27kIe7-s", "Video")</f>
        <v/>
      </c>
      <c r="B11114" t="inlineStr">
        <is>
          <t>7:43</t>
        </is>
      </c>
      <c r="C11114" t="inlineStr">
        <is>
          <t>reconnecting habitat and species
back into one full continent.</t>
        </is>
      </c>
      <c r="D11114">
        <f>HYPERLINK("https://www.youtube.com/watch?v=VDP27kIe7-s&amp;t=463s", "Go to time")</f>
        <v/>
      </c>
    </row>
    <row r="11115">
      <c r="A11115">
        <f>HYPERLINK("https://www.youtube.com/watch?v=44lbeIb6TjA", "Video")</f>
        <v/>
      </c>
      <c r="B11115" t="inlineStr">
        <is>
          <t>2:24</t>
        </is>
      </c>
      <c r="C11115" t="inlineStr">
        <is>
          <t>I was angry at life,
and I felt a bit lost.</t>
        </is>
      </c>
      <c r="D11115">
        <f>HYPERLINK("https://www.youtube.com/watch?v=44lbeIb6TjA&amp;t=144s", "Go to time")</f>
        <v/>
      </c>
    </row>
    <row r="11116">
      <c r="A11116">
        <f>HYPERLINK("https://www.youtube.com/watch?v=ZJPdJuhI03U", "Video")</f>
        <v/>
      </c>
      <c r="B11116" t="inlineStr">
        <is>
          <t>0:34</t>
        </is>
      </c>
      <c r="C11116" t="inlineStr">
        <is>
          <t>imagine getting seven infectious
mosquito bites every day.</t>
        </is>
      </c>
      <c r="D11116">
        <f>HYPERLINK("https://www.youtube.com/watch?v=ZJPdJuhI03U&amp;t=34s", "Go to time")</f>
        <v/>
      </c>
    </row>
    <row r="11117">
      <c r="A11117">
        <f>HYPERLINK("https://www.youtube.com/watch?v=ZJPdJuhI03U", "Video")</f>
        <v/>
      </c>
      <c r="B11117" t="inlineStr">
        <is>
          <t>0:39</t>
        </is>
      </c>
      <c r="C11117" t="inlineStr">
        <is>
          <t>That's 2,555 infectious bites every year.</t>
        </is>
      </c>
      <c r="D11117">
        <f>HYPERLINK("https://www.youtube.com/watch?v=ZJPdJuhI03U&amp;t=39s", "Go to time")</f>
        <v/>
      </c>
    </row>
    <row r="11118">
      <c r="A11118">
        <f>HYPERLINK("https://www.youtube.com/watch?v=ZJPdJuhI03U", "Video")</f>
        <v/>
      </c>
      <c r="B11118" t="inlineStr">
        <is>
          <t>1:51</t>
        </is>
      </c>
      <c r="C11118" t="inlineStr">
        <is>
          <t>and waited for mosquitoes
that were coming to bite us</t>
        </is>
      </c>
      <c r="D11118">
        <f>HYPERLINK("https://www.youtube.com/watch?v=ZJPdJuhI03U&amp;t=111s", "Go to time")</f>
        <v/>
      </c>
    </row>
    <row r="11119">
      <c r="A11119">
        <f>HYPERLINK("https://www.youtube.com/watch?v=ZJPdJuhI03U", "Video")</f>
        <v/>
      </c>
      <c r="B11119" t="inlineStr">
        <is>
          <t>3:14</t>
        </is>
      </c>
      <c r="C11119" t="inlineStr">
        <is>
          <t>We know now that these bednets
protect you from bites</t>
        </is>
      </c>
      <c r="D11119">
        <f>HYPERLINK("https://www.youtube.com/watch?v=ZJPdJuhI03U&amp;t=194s", "Go to time")</f>
        <v/>
      </c>
    </row>
    <row r="11120">
      <c r="A11120">
        <f>HYPERLINK("https://www.youtube.com/watch?v=ZJPdJuhI03U", "Video")</f>
        <v/>
      </c>
      <c r="B11120" t="inlineStr">
        <is>
          <t>4:21</t>
        </is>
      </c>
      <c r="C11120" t="inlineStr">
        <is>
          <t>to their own breeding habitats</t>
        </is>
      </c>
      <c r="D11120">
        <f>HYPERLINK("https://www.youtube.com/watch?v=ZJPdJuhI03U&amp;t=261s", "Go to time")</f>
        <v/>
      </c>
    </row>
    <row r="11121">
      <c r="A11121">
        <f>HYPERLINK("https://www.youtube.com/watch?v=ZJPdJuhI03U", "Video")</f>
        <v/>
      </c>
      <c r="B11121" t="inlineStr">
        <is>
          <t>4:42</t>
        </is>
      </c>
      <c r="C11121" t="inlineStr">
        <is>
          <t>carry this back
to their own breeding habitat</t>
        </is>
      </c>
      <c r="D11121">
        <f>HYPERLINK("https://www.youtube.com/watch?v=ZJPdJuhI03U&amp;t=282s", "Go to time")</f>
        <v/>
      </c>
    </row>
    <row r="11122">
      <c r="A11122">
        <f>HYPERLINK("https://www.youtube.com/watch?v=ZJPdJuhI03U", "Video")</f>
        <v/>
      </c>
      <c r="B11122" t="inlineStr">
        <is>
          <t>8:23</t>
        </is>
      </c>
      <c r="C11122" t="inlineStr">
        <is>
          <t>that some mosquitoes
like to bite you on the leg region.</t>
        </is>
      </c>
      <c r="D11122">
        <f>HYPERLINK("https://www.youtube.com/watch?v=ZJPdJuhI03U&amp;t=503s", "Go to time")</f>
        <v/>
      </c>
    </row>
    <row r="11123">
      <c r="A11123">
        <f>HYPERLINK("https://www.youtube.com/watch?v=ZJPdJuhI03U", "Video")</f>
        <v/>
      </c>
      <c r="B11123" t="inlineStr">
        <is>
          <t>8:33</t>
        </is>
      </c>
      <c r="C11123" t="inlineStr">
        <is>
          <t>And you don't get bitten --</t>
        </is>
      </c>
      <c r="D11123">
        <f>HYPERLINK("https://www.youtube.com/watch?v=ZJPdJuhI03U&amp;t=513s", "Go to time")</f>
        <v/>
      </c>
    </row>
    <row r="11124">
      <c r="A11124">
        <f>HYPERLINK("https://www.youtube.com/watch?v=ZJPdJuhI03U", "Video")</f>
        <v/>
      </c>
      <c r="B11124" t="inlineStr">
        <is>
          <t>9:48</t>
        </is>
      </c>
      <c r="C11124" t="inlineStr">
        <is>
          <t>Let's talk about CRISPR for a bit.</t>
        </is>
      </c>
      <c r="D11124">
        <f>HYPERLINK("https://www.youtube.com/watch?v=ZJPdJuhI03U&amp;t=588s", "Go to time")</f>
        <v/>
      </c>
    </row>
    <row r="11125">
      <c r="A11125">
        <f>HYPERLINK("https://www.youtube.com/watch?v=ss-utCZ5Ok8", "Video")</f>
        <v/>
      </c>
      <c r="B11125" t="inlineStr">
        <is>
          <t>1:02</t>
        </is>
      </c>
      <c r="C11125" t="inlineStr">
        <is>
          <t>which, as animals lose habitat,
they get crowded together</t>
        </is>
      </c>
      <c r="D11125">
        <f>HYPERLINK("https://www.youtube.com/watch?v=ss-utCZ5Ok8&amp;t=62s", "Go to time")</f>
        <v/>
      </c>
    </row>
    <row r="11126">
      <c r="A11126">
        <f>HYPERLINK("https://www.youtube.com/watch?v=ss-utCZ5Ok8", "Video")</f>
        <v/>
      </c>
      <c r="B11126" t="inlineStr">
        <is>
          <t>2:07</t>
        </is>
      </c>
      <c r="C11126" t="inlineStr">
        <is>
          <t>CA: I'd love to just dip
backwards in time for a bit,</t>
        </is>
      </c>
      <c r="D11126">
        <f>HYPERLINK("https://www.youtube.com/watch?v=ss-utCZ5Ok8&amp;t=127s", "Go to time")</f>
        <v/>
      </c>
    </row>
    <row r="11127">
      <c r="A11127">
        <f>HYPERLINK("https://www.youtube.com/watch?v=ss-utCZ5Ok8", "Video")</f>
        <v/>
      </c>
      <c r="B11127" t="inlineStr">
        <is>
          <t>16:52</t>
        </is>
      </c>
      <c r="C11127" t="inlineStr">
        <is>
          <t>So I got a bit of money together
and went out to visit six range countries.</t>
        </is>
      </c>
      <c r="D11127">
        <f>HYPERLINK("https://www.youtube.com/watch?v=ss-utCZ5Ok8&amp;t=1012s", "Go to time")</f>
        <v/>
      </c>
    </row>
    <row r="11128">
      <c r="A11128">
        <f>HYPERLINK("https://www.youtube.com/watch?v=ss-utCZ5Ok8", "Video")</f>
        <v/>
      </c>
      <c r="B11128" t="inlineStr">
        <is>
          <t>20:50</t>
        </is>
      </c>
      <c r="C11128" t="inlineStr">
        <is>
          <t>I promise to do my bit."</t>
        </is>
      </c>
      <c r="D11128">
        <f>HYPERLINK("https://www.youtube.com/watch?v=ss-utCZ5Ok8&amp;t=1250s", "Go to time")</f>
        <v/>
      </c>
    </row>
    <row r="11129">
      <c r="A11129">
        <f>HYPERLINK("https://www.youtube.com/watch?v=ss-utCZ5Ok8", "Video")</f>
        <v/>
      </c>
      <c r="B11129" t="inlineStr">
        <is>
          <t>23:52</t>
        </is>
      </c>
      <c r="C11129" t="inlineStr">
        <is>
          <t>and if we all do the bits that we can do,</t>
        </is>
      </c>
      <c r="D11129">
        <f>HYPERLINK("https://www.youtube.com/watch?v=ss-utCZ5Ok8&amp;t=1432s", "Go to time")</f>
        <v/>
      </c>
    </row>
    <row r="11130">
      <c r="A11130">
        <f>HYPERLINK("https://www.youtube.com/watch?v=2ohQatXCS2Y", "Video")</f>
        <v/>
      </c>
      <c r="B11130" t="inlineStr">
        <is>
          <t>0:33</t>
        </is>
      </c>
      <c r="C11130" t="inlineStr">
        <is>
          <t>David Blood: Well, maybe we'll start
with a little bit of background.</t>
        </is>
      </c>
      <c r="D11130">
        <f>HYPERLINK("https://www.youtube.com/watch?v=2ohQatXCS2Y&amp;t=33s", "Go to time")</f>
        <v/>
      </c>
    </row>
    <row r="11131">
      <c r="A11131">
        <f>HYPERLINK("https://www.youtube.com/watch?v=2ohQatXCS2Y", "Video")</f>
        <v/>
      </c>
      <c r="B11131" t="inlineStr">
        <is>
          <t>3:10</t>
        </is>
      </c>
      <c r="C11131" t="inlineStr">
        <is>
          <t>we'll come back to this in a little bit --</t>
        </is>
      </c>
      <c r="D11131">
        <f>HYPERLINK("https://www.youtube.com/watch?v=2ohQatXCS2Y&amp;t=190s", "Go to time")</f>
        <v/>
      </c>
    </row>
    <row r="11132">
      <c r="A11132">
        <f>HYPERLINK("https://www.youtube.com/watch?v=2ohQatXCS2Y", "Video")</f>
        <v/>
      </c>
      <c r="B11132" t="inlineStr">
        <is>
          <t>12:35</t>
        </is>
      </c>
      <c r="C11132" t="inlineStr">
        <is>
          <t>is to provide the means for society
to achieve its ambitions.</t>
        </is>
      </c>
      <c r="D11132">
        <f>HYPERLINK("https://www.youtube.com/watch?v=2ohQatXCS2Y&amp;t=755s", "Go to time")</f>
        <v/>
      </c>
    </row>
    <row r="11133">
      <c r="A11133">
        <f>HYPERLINK("https://www.youtube.com/watch?v=ER0G2S9r7aE", "Video")</f>
        <v/>
      </c>
      <c r="B11133" t="inlineStr">
        <is>
          <t>4:43</t>
        </is>
      </c>
      <c r="C11133" t="inlineStr">
        <is>
          <t>This may seem a bit dangerous,
but I am not some kind of adventure dude.</t>
        </is>
      </c>
      <c r="D11133">
        <f>HYPERLINK("https://www.youtube.com/watch?v=ER0G2S9r7aE&amp;t=283s", "Go to time")</f>
        <v/>
      </c>
    </row>
    <row r="11134">
      <c r="A11134">
        <f>HYPERLINK("https://www.youtube.com/watch?v=3VEkzweBJPM", "Video")</f>
        <v/>
      </c>
      <c r="B11134" t="inlineStr">
        <is>
          <t>5:15</t>
        </is>
      </c>
      <c r="C11134" t="inlineStr">
        <is>
          <t>And everyone else in this picture
is also in on the bit.</t>
        </is>
      </c>
      <c r="D11134">
        <f>HYPERLINK("https://www.youtube.com/watch?v=3VEkzweBJPM&amp;t=315s", "Go to time")</f>
        <v/>
      </c>
    </row>
    <row r="11135">
      <c r="A11135">
        <f>HYPERLINK("https://www.youtube.com/watch?v=3VEkzweBJPM", "Video")</f>
        <v/>
      </c>
      <c r="B11135" t="inlineStr">
        <is>
          <t>7:10</t>
        </is>
      </c>
      <c r="C11135" t="inlineStr">
        <is>
          <t>I'd like to tell you
a little bit about myself.</t>
        </is>
      </c>
      <c r="D11135">
        <f>HYPERLINK("https://www.youtube.com/watch?v=3VEkzweBJPM&amp;t=430s", "Go to time")</f>
        <v/>
      </c>
    </row>
    <row r="11136">
      <c r="A11136">
        <f>HYPERLINK("https://www.youtube.com/watch?v=yHGRBTZI6w0", "Video")</f>
        <v/>
      </c>
      <c r="B11136" t="inlineStr">
        <is>
          <t>0:29</t>
        </is>
      </c>
      <c r="C11136" t="inlineStr">
        <is>
          <t>And so would you share
a little bit, to start,</t>
        </is>
      </c>
      <c r="D11136">
        <f>HYPERLINK("https://www.youtube.com/watch?v=yHGRBTZI6w0&amp;t=29s", "Go to time")</f>
        <v/>
      </c>
    </row>
    <row r="11137">
      <c r="A11137">
        <f>HYPERLINK("https://www.youtube.com/watch?v=yHGRBTZI6w0", "Video")</f>
        <v/>
      </c>
      <c r="B11137" t="inlineStr">
        <is>
          <t>8:10</t>
        </is>
      </c>
      <c r="C11137" t="inlineStr">
        <is>
          <t>and if it is a debit card, it's like a C.</t>
        </is>
      </c>
      <c r="D11137">
        <f>HYPERLINK("https://www.youtube.com/watch?v=yHGRBTZI6w0&amp;t=490s", "Go to time")</f>
        <v/>
      </c>
    </row>
    <row r="11138">
      <c r="A11138">
        <f>HYPERLINK("https://www.youtube.com/watch?v=nbW4XWkJC6w", "Video")</f>
        <v/>
      </c>
      <c r="B11138" t="inlineStr">
        <is>
          <t>7:56</t>
        </is>
      </c>
      <c r="C11138" t="inlineStr">
        <is>
          <t>We do this because sunlight
acts a bit like tenderizer on a steak,</t>
        </is>
      </c>
      <c r="D11138">
        <f>HYPERLINK("https://www.youtube.com/watch?v=nbW4XWkJC6w&amp;t=476s", "Go to time")</f>
        <v/>
      </c>
    </row>
    <row r="11139">
      <c r="A11139">
        <f>HYPERLINK("https://www.youtube.com/watch?v=nbW4XWkJC6w", "Video")</f>
        <v/>
      </c>
      <c r="B11139" t="inlineStr">
        <is>
          <t>8:04</t>
        </is>
      </c>
      <c r="C11139" t="inlineStr">
        <is>
          <t>a bit softer and a bit easier
for my bacteria to chew on.</t>
        </is>
      </c>
      <c r="D11139">
        <f>HYPERLINK("https://www.youtube.com/watch?v=nbW4XWkJC6w&amp;t=484s", "Go to time")</f>
        <v/>
      </c>
    </row>
    <row r="11140">
      <c r="A11140">
        <f>HYPERLINK("https://www.youtube.com/watch?v=FPhZGD-6kVQ", "Video")</f>
        <v/>
      </c>
      <c r="B11140" t="inlineStr">
        <is>
          <t>7:41</t>
        </is>
      </c>
      <c r="C11140" t="inlineStr">
        <is>
          <t>And the ugly room served as a mix
of mirror exhibition and operating room --</t>
        </is>
      </c>
      <c r="D11140">
        <f>HYPERLINK("https://www.youtube.com/watch?v=FPhZGD-6kVQ&amp;t=461s", "Go to time")</f>
        <v/>
      </c>
    </row>
    <row r="11141">
      <c r="A11141">
        <f>HYPERLINK("https://www.youtube.com/watch?v=KWkIgCnUWvY", "Video")</f>
        <v/>
      </c>
      <c r="B11141" t="inlineStr">
        <is>
          <t>1:40</t>
        </is>
      </c>
      <c r="C11141" t="inlineStr">
        <is>
          <t>and it has so many bad habits.</t>
        </is>
      </c>
      <c r="D11141">
        <f>HYPERLINK("https://www.youtube.com/watch?v=KWkIgCnUWvY&amp;t=100s", "Go to time")</f>
        <v/>
      </c>
    </row>
    <row r="11142">
      <c r="A11142">
        <f>HYPERLINK("https://www.youtube.com/watch?v=pmvJQ_JChiw", "Video")</f>
        <v/>
      </c>
      <c r="B11142" t="inlineStr">
        <is>
          <t>7:34</t>
        </is>
      </c>
      <c r="C11142" t="inlineStr">
        <is>
          <t>We simply have to let our fellow eight
billion inhabitants of our home know</t>
        </is>
      </c>
      <c r="D11142">
        <f>HYPERLINK("https://www.youtube.com/watch?v=pmvJQ_JChiw&amp;t=454s", "Go to time")</f>
        <v/>
      </c>
    </row>
    <row r="11143">
      <c r="A11143">
        <f>HYPERLINK("https://www.youtube.com/watch?v=lEjegKJwI0M", "Video")</f>
        <v/>
      </c>
      <c r="B11143" t="inlineStr">
        <is>
          <t>12:23</t>
        </is>
      </c>
      <c r="C11143" t="inlineStr">
        <is>
          <t>and becomes a habitat
for the nature around it?</t>
        </is>
      </c>
      <c r="D11143">
        <f>HYPERLINK("https://www.youtube.com/watch?v=lEjegKJwI0M&amp;t=743s", "Go to time")</f>
        <v/>
      </c>
    </row>
    <row r="11144">
      <c r="A11144">
        <f>HYPERLINK("https://www.youtube.com/watch?v=QuxF2IpOG3U", "Video")</f>
        <v/>
      </c>
      <c r="B11144" t="inlineStr">
        <is>
          <t>8:45</t>
        </is>
      </c>
      <c r="C11144" t="inlineStr">
        <is>
          <t>not a harmless bit of bureaucracy,</t>
        </is>
      </c>
      <c r="D11144">
        <f>HYPERLINK("https://www.youtube.com/watch?v=QuxF2IpOG3U&amp;t=525s", "Go to time")</f>
        <v/>
      </c>
    </row>
    <row r="11145">
      <c r="A11145">
        <f>HYPERLINK("https://www.youtube.com/watch?v=H9ZOpQzjukY", "Video")</f>
        <v/>
      </c>
      <c r="B11145" t="inlineStr">
        <is>
          <t>3:06</t>
        </is>
      </c>
      <c r="C11145" t="inlineStr">
        <is>
          <t>We're going to come back
to this in just a bit.</t>
        </is>
      </c>
      <c r="D11145">
        <f>HYPERLINK("https://www.youtube.com/watch?v=H9ZOpQzjukY&amp;t=186s", "Go to time")</f>
        <v/>
      </c>
    </row>
    <row r="11146">
      <c r="A11146">
        <f>HYPERLINK("https://www.youtube.com/watch?v=WfD_FRPjQTo", "Video")</f>
        <v/>
      </c>
      <c r="B11146" t="inlineStr">
        <is>
          <t>3:25</t>
        </is>
      </c>
      <c r="C11146" t="inlineStr">
        <is>
          <t>and people get into a little
bit of a tizzy.</t>
        </is>
      </c>
      <c r="D11146">
        <f>HYPERLINK("https://www.youtube.com/watch?v=WfD_FRPjQTo&amp;t=205s", "Go to time")</f>
        <v/>
      </c>
    </row>
    <row r="11147">
      <c r="A11147">
        <f>HYPERLINK("https://www.youtube.com/watch?v=CaqaMwfYk_4", "Video")</f>
        <v/>
      </c>
      <c r="B11147" t="inlineStr">
        <is>
          <t>4:55</t>
        </is>
      </c>
      <c r="C11147" t="inlineStr">
        <is>
          <t>that we habitually
express after people die</t>
        </is>
      </c>
      <c r="D11147">
        <f>HYPERLINK("https://www.youtube.com/watch?v=CaqaMwfYk_4&amp;t=295s", "Go to time")</f>
        <v/>
      </c>
    </row>
    <row r="11148">
      <c r="A11148">
        <f>HYPERLINK("https://www.youtube.com/watch?v=CaqaMwfYk_4", "Video")</f>
        <v/>
      </c>
      <c r="B11148" t="inlineStr">
        <is>
          <t>7:23</t>
        </is>
      </c>
      <c r="C11148" t="inlineStr">
        <is>
          <t>With that in mind, I'll tell you
a bit about my friend Sandy.</t>
        </is>
      </c>
      <c r="D11148">
        <f>HYPERLINK("https://www.youtube.com/watch?v=CaqaMwfYk_4&amp;t=443s", "Go to time")</f>
        <v/>
      </c>
    </row>
    <row r="11149">
      <c r="A11149">
        <f>HYPERLINK("https://www.youtube.com/watch?v=CaqaMwfYk_4", "Video")</f>
        <v/>
      </c>
      <c r="B11149" t="inlineStr">
        <is>
          <t>9:44</t>
        </is>
      </c>
      <c r="C11149" t="inlineStr">
        <is>
          <t>So with a little bit of Mad Libs style,
we get this easy-to-use</t>
        </is>
      </c>
      <c r="D11149">
        <f>HYPERLINK("https://www.youtube.com/watch?v=CaqaMwfYk_4&amp;t=584s", "Go to time")</f>
        <v/>
      </c>
    </row>
    <row r="11150">
      <c r="A11150">
        <f>HYPERLINK("https://www.youtube.com/watch?v=TOUqiVIuPo0", "Video")</f>
        <v/>
      </c>
      <c r="B11150" t="inlineStr">
        <is>
          <t>6:19</t>
        </is>
      </c>
      <c r="C11150" t="inlineStr">
        <is>
          <t>that information has gone a bit too free.</t>
        </is>
      </c>
      <c r="D11150">
        <f>HYPERLINK("https://www.youtube.com/watch?v=TOUqiVIuPo0&amp;t=379s", "Go to time")</f>
        <v/>
      </c>
    </row>
    <row r="11151">
      <c r="A11151">
        <f>HYPERLINK("https://www.youtube.com/watch?v=TOUqiVIuPo0", "Video")</f>
        <v/>
      </c>
      <c r="B11151" t="inlineStr">
        <is>
          <t>15:36</t>
        </is>
      </c>
      <c r="C11151" t="inlineStr">
        <is>
          <t>It's your driver's license,
your debit card and your phone.</t>
        </is>
      </c>
      <c r="D11151">
        <f>HYPERLINK("https://www.youtube.com/watch?v=TOUqiVIuPo0&amp;t=936s", "Go to time")</f>
        <v/>
      </c>
    </row>
    <row r="11152">
      <c r="A11152">
        <f>HYPERLINK("https://www.youtube.com/watch?v=Rp_HEnOWEso", "Video")</f>
        <v/>
      </c>
      <c r="B11152" t="inlineStr">
        <is>
          <t>0:55</t>
        </is>
      </c>
      <c r="C11152" t="inlineStr">
        <is>
          <t>because in their social networks,
they share habits, information</t>
        </is>
      </c>
      <c r="D11152">
        <f>HYPERLINK("https://www.youtube.com/watch?v=Rp_HEnOWEso&amp;t=55s", "Go to time")</f>
        <v/>
      </c>
    </row>
    <row r="11153">
      <c r="A11153">
        <f>HYPERLINK("https://www.youtube.com/watch?v=Rp_HEnOWEso", "Video")</f>
        <v/>
      </c>
      <c r="B11153" t="inlineStr">
        <is>
          <t>4:36</t>
        </is>
      </c>
      <c r="C11153" t="inlineStr">
        <is>
          <t>So let me tell you a little bit more
about animal grief.</t>
        </is>
      </c>
      <c r="D11153">
        <f>HYPERLINK("https://www.youtube.com/watch?v=Rp_HEnOWEso&amp;t=276s", "Go to time")</f>
        <v/>
      </c>
    </row>
    <row r="11154">
      <c r="A11154">
        <f>HYPERLINK("https://www.youtube.com/watch?v=vQILP19qABk", "Video")</f>
        <v/>
      </c>
      <c r="B11154" t="inlineStr">
        <is>
          <t>4:29</t>
        </is>
      </c>
      <c r="C11154" t="inlineStr">
        <is>
          <t>except he does it
a little bit differently.</t>
        </is>
      </c>
      <c r="D11154">
        <f>HYPERLINK("https://www.youtube.com/watch?v=vQILP19qABk&amp;t=269s", "Go to time")</f>
        <v/>
      </c>
    </row>
    <row r="11155">
      <c r="A11155">
        <f>HYPERLINK("https://www.youtube.com/watch?v=vQILP19qABk", "Video")</f>
        <v/>
      </c>
      <c r="B11155" t="inlineStr">
        <is>
          <t>4:45</t>
        </is>
      </c>
      <c r="C11155" t="inlineStr">
        <is>
          <t>all of these little bits and pieces
about the audience:</t>
        </is>
      </c>
      <c r="D11155">
        <f>HYPERLINK("https://www.youtube.com/watch?v=vQILP19qABk&amp;t=285s", "Go to time")</f>
        <v/>
      </c>
    </row>
    <row r="11156">
      <c r="A11156">
        <f>HYPERLINK("https://www.youtube.com/watch?v=vQILP19qABk", "Video")</f>
        <v/>
      </c>
      <c r="B11156" t="inlineStr">
        <is>
          <t>8:54</t>
        </is>
      </c>
      <c r="C11156" t="inlineStr">
        <is>
          <t>The first one is, you take that problem
apart into its bits and pieces</t>
        </is>
      </c>
      <c r="D11156">
        <f>HYPERLINK("https://www.youtube.com/watch?v=vQILP19qABk&amp;t=534s", "Go to time")</f>
        <v/>
      </c>
    </row>
    <row r="11157">
      <c r="A11157">
        <f>HYPERLINK("https://www.youtube.com/watch?v=vQILP19qABk", "Video")</f>
        <v/>
      </c>
      <c r="B11157" t="inlineStr">
        <is>
          <t>8:57</t>
        </is>
      </c>
      <c r="C11157" t="inlineStr">
        <is>
          <t>so that you can deeply analyze
those bits and pieces,</t>
        </is>
      </c>
      <c r="D11157">
        <f>HYPERLINK("https://www.youtube.com/watch?v=vQILP19qABk&amp;t=537s", "Go to time")</f>
        <v/>
      </c>
    </row>
    <row r="11158">
      <c r="A11158">
        <f>HYPERLINK("https://www.youtube.com/watch?v=vQILP19qABk", "Video")</f>
        <v/>
      </c>
      <c r="B11158" t="inlineStr">
        <is>
          <t>9:02</t>
        </is>
      </c>
      <c r="C11158" t="inlineStr">
        <is>
          <t>You put all of these bits and pieces
back together again</t>
        </is>
      </c>
      <c r="D11158">
        <f>HYPERLINK("https://www.youtube.com/watch?v=vQILP19qABk&amp;t=542s", "Go to time")</f>
        <v/>
      </c>
    </row>
    <row r="11159">
      <c r="A11159">
        <f>HYPERLINK("https://www.youtube.com/watch?v=vQILP19qABk", "Video")</f>
        <v/>
      </c>
      <c r="B11159" t="inlineStr">
        <is>
          <t>9:39</t>
        </is>
      </c>
      <c r="C11159" t="inlineStr">
        <is>
          <t>it's taking bits and pieces
back together again,</t>
        </is>
      </c>
      <c r="D11159">
        <f>HYPERLINK("https://www.youtube.com/watch?v=vQILP19qABk&amp;t=579s", "Go to time")</f>
        <v/>
      </c>
    </row>
    <row r="11160">
      <c r="A11160">
        <f>HYPERLINK("https://www.youtube.com/watch?v=vQILP19qABk", "Video")</f>
        <v/>
      </c>
      <c r="B11160" t="inlineStr">
        <is>
          <t>10:01</t>
        </is>
      </c>
      <c r="C11160" t="inlineStr">
        <is>
          <t>but then the decision
to take all these bits and pieces</t>
        </is>
      </c>
      <c r="D11160">
        <f>HYPERLINK("https://www.youtube.com/watch?v=vQILP19qABk&amp;t=601s", "Go to time")</f>
        <v/>
      </c>
    </row>
    <row r="11161">
      <c r="A11161">
        <f>HYPERLINK("https://www.youtube.com/watch?v=t6eFzt6kFGE", "Video")</f>
        <v/>
      </c>
      <c r="B11161" t="inlineStr">
        <is>
          <t>5:23</t>
        </is>
      </c>
      <c r="C11161" t="inlineStr">
        <is>
          <t>Imagine if that information
could be trusted just a little bit more,</t>
        </is>
      </c>
      <c r="D11161">
        <f>HYPERLINK("https://www.youtube.com/watch?v=t6eFzt6kFGE&amp;t=323s", "Go to time")</f>
        <v/>
      </c>
    </row>
    <row r="11162">
      <c r="A11162">
        <f>HYPERLINK("https://www.youtube.com/watch?v=4JlCcR3lumA", "Video")</f>
        <v/>
      </c>
      <c r="B11162" t="inlineStr">
        <is>
          <t>4:42</t>
        </is>
      </c>
      <c r="C11162" t="inlineStr">
        <is>
          <t>learning a little bit about everything,</t>
        </is>
      </c>
      <c r="D11162">
        <f>HYPERLINK("https://www.youtube.com/watch?v=4JlCcR3lumA&amp;t=282s", "Go to time")</f>
        <v/>
      </c>
    </row>
    <row r="11163">
      <c r="A11163">
        <f>HYPERLINK("https://www.youtube.com/watch?v=4JlCcR3lumA", "Video")</f>
        <v/>
      </c>
      <c r="B11163" t="inlineStr">
        <is>
          <t>10:13</t>
        </is>
      </c>
      <c r="C11163" t="inlineStr">
        <is>
          <t>making everything from national security
to social media a little bit safer.</t>
        </is>
      </c>
      <c r="D11163">
        <f>HYPERLINK("https://www.youtube.com/watch?v=4JlCcR3lumA&amp;t=613s", "Go to time")</f>
        <v/>
      </c>
    </row>
    <row r="11164">
      <c r="A11164">
        <f>HYPERLINK("https://www.youtube.com/watch?v=rThUrXYaneo", "Video")</f>
        <v/>
      </c>
      <c r="B11164" t="inlineStr">
        <is>
          <t>2:54</t>
        </is>
      </c>
      <c r="C11164" t="inlineStr">
        <is>
          <t>Let me give you a little bit of context.</t>
        </is>
      </c>
      <c r="D11164">
        <f>HYPERLINK("https://www.youtube.com/watch?v=rThUrXYaneo&amp;t=174s", "Go to time")</f>
        <v/>
      </c>
    </row>
    <row r="11165">
      <c r="A11165">
        <f>HYPERLINK("https://www.youtube.com/watch?v=rThUrXYaneo", "Video")</f>
        <v/>
      </c>
      <c r="B11165" t="inlineStr">
        <is>
          <t>4:19</t>
        </is>
      </c>
      <c r="C11165" t="inlineStr">
        <is>
          <t>it just means we ought to look
a little bit closer at those cases.</t>
        </is>
      </c>
      <c r="D11165">
        <f>HYPERLINK("https://www.youtube.com/watch?v=rThUrXYaneo&amp;t=259s", "Go to time")</f>
        <v/>
      </c>
    </row>
    <row r="11166">
      <c r="A11166">
        <f>HYPERLINK("https://www.youtube.com/watch?v=rThUrXYaneo", "Video")</f>
        <v/>
      </c>
      <c r="B11166" t="inlineStr">
        <is>
          <t>11:07</t>
        </is>
      </c>
      <c r="C11166" t="inlineStr">
        <is>
          <t>Wasn't bitter,</t>
        </is>
      </c>
      <c r="D11166">
        <f>HYPERLINK("https://www.youtube.com/watch?v=rThUrXYaneo&amp;t=667s", "Go to time")</f>
        <v/>
      </c>
    </row>
    <row r="11167">
      <c r="A11167">
        <f>HYPERLINK("https://www.youtube.com/watch?v=Xe8fIjxicoo", "Video")</f>
        <v/>
      </c>
      <c r="B11167" t="inlineStr">
        <is>
          <t>0:45</t>
        </is>
      </c>
      <c r="C11167" t="inlineStr">
        <is>
          <t>And we're going to switch gears
a little bit today</t>
        </is>
      </c>
      <c r="D11167">
        <f>HYPERLINK("https://www.youtube.com/watch?v=Xe8fIjxicoo&amp;t=45s", "Go to time")</f>
        <v/>
      </c>
    </row>
    <row r="11168">
      <c r="A11168">
        <f>HYPERLINK("https://www.youtube.com/watch?v=Xe8fIjxicoo", "Video")</f>
        <v/>
      </c>
      <c r="B11168" t="inlineStr">
        <is>
          <t>6:22</t>
        </is>
      </c>
      <c r="C11168" t="inlineStr">
        <is>
          <t>at first you only feel a little bit
of a fever and a little bit sick,</t>
        </is>
      </c>
      <c r="D11168">
        <f>HYPERLINK("https://www.youtube.com/watch?v=Xe8fIjxicoo&amp;t=382s", "Go to time")</f>
        <v/>
      </c>
    </row>
    <row r="11169">
      <c r="A11169">
        <f>HYPERLINK("https://www.youtube.com/watch?v=Xe8fIjxicoo", "Video")</f>
        <v/>
      </c>
      <c r="B11169" t="inlineStr">
        <is>
          <t>30:02</t>
        </is>
      </c>
      <c r="C11169" t="inlineStr">
        <is>
          <t>and the data is still a bit confusing,</t>
        </is>
      </c>
      <c r="D11169">
        <f>HYPERLINK("https://www.youtube.com/watch?v=Xe8fIjxicoo&amp;t=1802s", "Go to time")</f>
        <v/>
      </c>
    </row>
    <row r="11170">
      <c r="A11170">
        <f>HYPERLINK("https://www.youtube.com/watch?v=Xe8fIjxicoo", "Video")</f>
        <v/>
      </c>
      <c r="B11170" t="inlineStr">
        <is>
          <t>31:27</t>
        </is>
      </c>
      <c r="C11170" t="inlineStr">
        <is>
          <t>Talk a bit about that, how that could work</t>
        </is>
      </c>
      <c r="D11170">
        <f>HYPERLINK("https://www.youtube.com/watch?v=Xe8fIjxicoo&amp;t=1887s", "Go to time")</f>
        <v/>
      </c>
    </row>
    <row r="11171">
      <c r="A11171">
        <f>HYPERLINK("https://www.youtube.com/watch?v=Xe8fIjxicoo", "Video")</f>
        <v/>
      </c>
      <c r="B11171" t="inlineStr">
        <is>
          <t>45:02</t>
        </is>
      </c>
      <c r="C11171" t="inlineStr">
        <is>
          <t>and the polio situation
might get worse a little bit</t>
        </is>
      </c>
      <c r="D11171">
        <f>HYPERLINK("https://www.youtube.com/watch?v=Xe8fIjxicoo&amp;t=2702s", "Go to time")</f>
        <v/>
      </c>
    </row>
    <row r="11172">
      <c r="A11172">
        <f>HYPERLINK("https://www.youtube.com/watch?v=jAemh_JxgOk", "Video")</f>
        <v/>
      </c>
      <c r="B11172" t="inlineStr">
        <is>
          <t>1:21</t>
        </is>
      </c>
      <c r="C11172" t="inlineStr">
        <is>
          <t>and we collect those plastic bits
that we look at under a microscope,</t>
        </is>
      </c>
      <c r="D11172">
        <f>HYPERLINK("https://www.youtube.com/watch?v=jAemh_JxgOk&amp;t=81s", "Go to time")</f>
        <v/>
      </c>
    </row>
    <row r="11173">
      <c r="A11173">
        <f>HYPERLINK("https://www.youtube.com/watch?v=jAemh_JxgOk", "Video")</f>
        <v/>
      </c>
      <c r="B11173" t="inlineStr">
        <is>
          <t>2:17</t>
        </is>
      </c>
      <c r="C11173" t="inlineStr">
        <is>
          <t>And so we have agreed
that instead of collecting plastic bits,</t>
        </is>
      </c>
      <c r="D11173">
        <f>HYPERLINK("https://www.youtube.com/watch?v=jAemh_JxgOk&amp;t=137s", "Go to time")</f>
        <v/>
      </c>
    </row>
    <row r="11174">
      <c r="A11174">
        <f>HYPERLINK("https://www.youtube.com/watch?v=jAemh_JxgOk", "Video")</f>
        <v/>
      </c>
      <c r="B11174" t="inlineStr">
        <is>
          <t>5:50</t>
        </is>
      </c>
      <c r="C11174" t="inlineStr">
        <is>
          <t>Well, reality is a bit
more complicated than this.</t>
        </is>
      </c>
      <c r="D11174">
        <f>HYPERLINK("https://www.youtube.com/watch?v=jAemh_JxgOk&amp;t=350s", "Go to time")</f>
        <v/>
      </c>
    </row>
    <row r="11175">
      <c r="A11175">
        <f>HYPERLINK("https://www.youtube.com/watch?v=jAemh_JxgOk", "Video")</f>
        <v/>
      </c>
      <c r="B11175" t="inlineStr">
        <is>
          <t>8:13</t>
        </is>
      </c>
      <c r="C11175" t="inlineStr">
        <is>
          <t>And so the classroom
started to feel a little bit small,</t>
        </is>
      </c>
      <c r="D11175">
        <f>HYPERLINK("https://www.youtube.com/watch?v=jAemh_JxgOk&amp;t=493s", "Go to time")</f>
        <v/>
      </c>
    </row>
    <row r="11176">
      <c r="A11176">
        <f>HYPERLINK("https://www.youtube.com/watch?v=jAemh_JxgOk", "Video")</f>
        <v/>
      </c>
      <c r="B11176" t="inlineStr">
        <is>
          <t>8:30</t>
        </is>
      </c>
      <c r="C11176" t="inlineStr">
        <is>
          <t>a bit of biology, a bit of optics,</t>
        </is>
      </c>
      <c r="D11176">
        <f>HYPERLINK("https://www.youtube.com/watch?v=jAemh_JxgOk&amp;t=510s", "Go to time")</f>
        <v/>
      </c>
    </row>
    <row r="11177">
      <c r="A11177">
        <f>HYPERLINK("https://www.youtube.com/watch?v=tZ7ySrDVqOs", "Video")</f>
        <v/>
      </c>
      <c r="B11177" t="inlineStr">
        <is>
          <t>0:58</t>
        </is>
      </c>
      <c r="C11177" t="inlineStr">
        <is>
          <t>with everyone leaning in,
even if just a bit more.</t>
        </is>
      </c>
      <c r="D11177">
        <f>HYPERLINK("https://www.youtube.com/watch?v=tZ7ySrDVqOs&amp;t=58s", "Go to time")</f>
        <v/>
      </c>
    </row>
    <row r="11178">
      <c r="A11178">
        <f>HYPERLINK("https://www.youtube.com/watch?v=tZ7ySrDVqOs", "Video")</f>
        <v/>
      </c>
      <c r="B11178" t="inlineStr">
        <is>
          <t>1:23</t>
        </is>
      </c>
      <c r="C11178" t="inlineStr">
        <is>
          <t>I do it a bit better
than when it's someone else telling me.</t>
        </is>
      </c>
      <c r="D11178">
        <f>HYPERLINK("https://www.youtube.com/watch?v=tZ7ySrDVqOs&amp;t=83s", "Go to time")</f>
        <v/>
      </c>
    </row>
    <row r="11179">
      <c r="A11179">
        <f>HYPERLINK("https://www.youtube.com/watch?v=tZ7ySrDVqOs", "Video")</f>
        <v/>
      </c>
      <c r="B11179" t="inlineStr">
        <is>
          <t>3:09</t>
        </is>
      </c>
      <c r="C11179" t="inlineStr">
        <is>
          <t>we each need to let go of a bit of power.</t>
        </is>
      </c>
      <c r="D11179">
        <f>HYPERLINK("https://www.youtube.com/watch?v=tZ7ySrDVqOs&amp;t=189s", "Go to time")</f>
        <v/>
      </c>
    </row>
    <row r="11180">
      <c r="A11180">
        <f>HYPERLINK("https://www.youtube.com/watch?v=Cdfc9PuXdD0", "Video")</f>
        <v/>
      </c>
      <c r="B11180" t="inlineStr">
        <is>
          <t>0:43</t>
        </is>
      </c>
      <c r="C11180" t="inlineStr">
        <is>
          <t>specifically inhabit human follicles.</t>
        </is>
      </c>
      <c r="D11180">
        <f>HYPERLINK("https://www.youtube.com/watch?v=Cdfc9PuXdD0&amp;t=43s", "Go to time")</f>
        <v/>
      </c>
    </row>
    <row r="11181">
      <c r="A11181">
        <f>HYPERLINK("https://www.youtube.com/watch?v=r5Pcqkhmp_0", "Video")</f>
        <v/>
      </c>
      <c r="B11181" t="inlineStr">
        <is>
          <t>1:42</t>
        </is>
      </c>
      <c r="C11181" t="inlineStr">
        <is>
          <t>Conservation of information isn’t just an 
arbitrary rule,</t>
        </is>
      </c>
      <c r="D11181">
        <f>HYPERLINK("https://www.youtube.com/watch?v=r5Pcqkhmp_0&amp;t=102s", "Go to time")</f>
        <v/>
      </c>
    </row>
    <row r="11182">
      <c r="A11182">
        <f>HYPERLINK("https://www.youtube.com/watch?v=n1mwZrVJ-TI", "Video")</f>
        <v/>
      </c>
      <c r="B11182" t="inlineStr">
        <is>
          <t>2:29</t>
        </is>
      </c>
      <c r="C11182" t="inlineStr">
        <is>
          <t>the orbits of the planets, and the 
harmonious intervals of musical tones,</t>
        </is>
      </c>
      <c r="D11182">
        <f>HYPERLINK("https://www.youtube.com/watch?v=n1mwZrVJ-TI&amp;t=149s", "Go to time")</f>
        <v/>
      </c>
    </row>
    <row r="11183">
      <c r="A11183">
        <f>HYPERLINK("https://www.youtube.com/watch?v=n1mwZrVJ-TI", "Video")</f>
        <v/>
      </c>
      <c r="B11183" t="inlineStr">
        <is>
          <t>3:41</t>
        </is>
      </c>
      <c r="C11183" t="inlineStr">
        <is>
          <t>himself a moderate Christian, leading to
a bitter public feud between the two men.</t>
        </is>
      </c>
      <c r="D11183">
        <f>HYPERLINK("https://www.youtube.com/watch?v=n1mwZrVJ-TI&amp;t=221s", "Go to time")</f>
        <v/>
      </c>
    </row>
    <row r="11184">
      <c r="A11184">
        <f>HYPERLINK("https://www.youtube.com/watch?v=Z2Y0GMCFWq0", "Video")</f>
        <v/>
      </c>
      <c r="B11184" t="inlineStr">
        <is>
          <t>0:14</t>
        </is>
      </c>
      <c r="C11184" t="inlineStr">
        <is>
          <t>could be stepping stones to a monumental
public health ambition:</t>
        </is>
      </c>
      <c r="D11184">
        <f>HYPERLINK("https://www.youtube.com/watch?v=Z2Y0GMCFWq0&amp;t=14s", "Go to time")</f>
        <v/>
      </c>
    </row>
    <row r="11185">
      <c r="A11185">
        <f>HYPERLINK("https://www.youtube.com/watch?v=e4Mj6wOURSg", "Video")</f>
        <v/>
      </c>
      <c r="B11185" t="inlineStr">
        <is>
          <t>4:04</t>
        </is>
      </c>
      <c r="C11185" t="inlineStr">
        <is>
          <t>And week by week, bit by bit,</t>
        </is>
      </c>
      <c r="D11185">
        <f>HYPERLINK("https://www.youtube.com/watch?v=e4Mj6wOURSg&amp;t=244s", "Go to time")</f>
        <v/>
      </c>
    </row>
    <row r="11186">
      <c r="A11186">
        <f>HYPERLINK("https://www.youtube.com/watch?v=Nlcr1jd_Tok", "Video")</f>
        <v/>
      </c>
      <c r="B11186" t="inlineStr">
        <is>
          <t>2:01</t>
        </is>
      </c>
      <c r="C11186" t="inlineStr">
        <is>
          <t>For example, 
slowing down a signal that inhibits smell</t>
        </is>
      </c>
      <c r="D11186">
        <f>HYPERLINK("https://www.youtube.com/watch?v=Nlcr1jd_Tok&amp;t=121s", "Go to time")</f>
        <v/>
      </c>
    </row>
    <row r="11187">
      <c r="A11187">
        <f>HYPERLINK("https://www.youtube.com/watch?v=wy0mU-SbOrw", "Video")</f>
        <v/>
      </c>
      <c r="B11187" t="inlineStr">
        <is>
          <t>0:16</t>
        </is>
      </c>
      <c r="C11187" t="inlineStr">
        <is>
          <t>Banshirô is an ambitious samurai 
in training,</t>
        </is>
      </c>
      <c r="D11187">
        <f>HYPERLINK("https://www.youtube.com/watch?v=wy0mU-SbOrw&amp;t=16s", "Go to time")</f>
        <v/>
      </c>
    </row>
    <row r="11188">
      <c r="A11188">
        <f>HYPERLINK("https://www.youtube.com/watch?v=wy0mU-SbOrw", "Video")</f>
        <v/>
      </c>
      <c r="B11188" t="inlineStr">
        <is>
          <t>4:20</t>
        </is>
      </c>
      <c r="C11188" t="inlineStr">
        <is>
          <t>so Banshirô doesn’t mention 
his artistic ambitions.</t>
        </is>
      </c>
      <c r="D11188">
        <f>HYPERLINK("https://www.youtube.com/watch?v=wy0mU-SbOrw&amp;t=260s", "Go to time")</f>
        <v/>
      </c>
    </row>
    <row r="11189">
      <c r="A11189">
        <f>HYPERLINK("https://www.youtube.com/watch?v=wy0mU-SbOrw", "Video")</f>
        <v/>
      </c>
      <c r="B11189" t="inlineStr">
        <is>
          <t>4:58</t>
        </is>
      </c>
      <c r="C11189" t="inlineStr">
        <is>
          <t>to pursue his secret ambition 
to become a painter.</t>
        </is>
      </c>
      <c r="D11189">
        <f>HYPERLINK("https://www.youtube.com/watch?v=wy0mU-SbOrw&amp;t=298s", "Go to time")</f>
        <v/>
      </c>
    </row>
    <row r="11190">
      <c r="A11190">
        <f>HYPERLINK("https://www.youtube.com/watch?v=5pBGutEhZes", "Video")</f>
        <v/>
      </c>
      <c r="B11190" t="inlineStr">
        <is>
          <t>0:27</t>
        </is>
      </c>
      <c r="C11190" t="inlineStr">
        <is>
          <t>visited China,
and written quite a bit recently.</t>
        </is>
      </c>
      <c r="D11190">
        <f>HYPERLINK("https://www.youtube.com/watch?v=5pBGutEhZes&amp;t=27s", "Go to time")</f>
        <v/>
      </c>
    </row>
    <row r="11191">
      <c r="A11191">
        <f>HYPERLINK("https://www.youtube.com/watch?v=_KhYRqozTDE", "Video")</f>
        <v/>
      </c>
      <c r="B11191" t="inlineStr">
        <is>
          <t>2:47</t>
        </is>
      </c>
      <c r="C11191" t="inlineStr">
        <is>
          <t>suffragists assembled to create a 
powerful exhibition.</t>
        </is>
      </c>
      <c r="D11191">
        <f>HYPERLINK("https://www.youtube.com/watch?v=_KhYRqozTDE&amp;t=167s", "Go to time")</f>
        <v/>
      </c>
    </row>
    <row r="11192">
      <c r="A11192">
        <f>HYPERLINK("https://www.youtube.com/watch?v=mP5p4QbvPtc", "Video")</f>
        <v/>
      </c>
      <c r="B11192" t="inlineStr">
        <is>
          <t>0:52</t>
        </is>
      </c>
      <c r="C11192" t="inlineStr">
        <is>
          <t>Ambitious and ruthless,</t>
        </is>
      </c>
      <c r="D11192">
        <f>HYPERLINK("https://www.youtube.com/watch?v=mP5p4QbvPtc&amp;t=52s", "Go to time")</f>
        <v/>
      </c>
    </row>
    <row r="11193">
      <c r="A11193">
        <f>HYPERLINK("https://www.youtube.com/watch?v=R0JKCYZ8hng", "Video")</f>
        <v/>
      </c>
      <c r="B11193" t="inlineStr">
        <is>
          <t>3:17</t>
        </is>
      </c>
      <c r="C11193" t="inlineStr">
        <is>
          <t>And, indeed, musicians exhibit
enhanced memory functions,</t>
        </is>
      </c>
      <c r="D11193">
        <f>HYPERLINK("https://www.youtube.com/watch?v=R0JKCYZ8hng&amp;t=197s", "Go to time")</f>
        <v/>
      </c>
    </row>
    <row r="11194">
      <c r="A11194">
        <f>HYPERLINK("https://www.youtube.com/watch?v=wkPR4Rcf4ww", "Video")</f>
        <v/>
      </c>
      <c r="B11194" t="inlineStr">
        <is>
          <t>2:27</t>
        </is>
      </c>
      <c r="C11194" t="inlineStr">
        <is>
          <t>between systems of arbitrary power
and the individuals caught up in them.</t>
        </is>
      </c>
      <c r="D11194">
        <f>HYPERLINK("https://www.youtube.com/watch?v=wkPR4Rcf4ww&amp;t=147s", "Go to time")</f>
        <v/>
      </c>
    </row>
    <row r="11195">
      <c r="A11195">
        <f>HYPERLINK("https://www.youtube.com/watch?v=ovl_XbgmCbw", "Video")</f>
        <v/>
      </c>
      <c r="B11195" t="inlineStr">
        <is>
          <t>2:44</t>
        </is>
      </c>
      <c r="C11195" t="inlineStr">
        <is>
          <t>creating an uninhabitable dead zone.</t>
        </is>
      </c>
      <c r="D11195">
        <f>HYPERLINK("https://www.youtube.com/watch?v=ovl_XbgmCbw&amp;t=164s", "Go to time")</f>
        <v/>
      </c>
    </row>
    <row r="11196">
      <c r="A11196">
        <f>HYPERLINK("https://www.youtube.com/watch?v=yxonJTWhBJQ", "Video")</f>
        <v/>
      </c>
      <c r="B11196" t="inlineStr">
        <is>
          <t>4:01</t>
        </is>
      </c>
      <c r="C11196" t="inlineStr">
        <is>
          <t>since a sick and immobile person
is easier for mosquitoes to bite.</t>
        </is>
      </c>
      <c r="D11196">
        <f>HYPERLINK("https://www.youtube.com/watch?v=yxonJTWhBJQ&amp;t=241s", "Go to time")</f>
        <v/>
      </c>
    </row>
    <row r="11197">
      <c r="A11197">
        <f>HYPERLINK("https://www.youtube.com/watch?v=WW4skW6gucU", "Video")</f>
        <v/>
      </c>
      <c r="B11197" t="inlineStr">
        <is>
          <t>0:55</t>
        </is>
      </c>
      <c r="C11197" t="inlineStr">
        <is>
          <t>And finally, it houses and keeps your
body's trillions of bacterial inhabitants,</t>
        </is>
      </c>
      <c r="D11197">
        <f>HYPERLINK("https://www.youtube.com/watch?v=WW4skW6gucU&amp;t=55s", "Go to time")</f>
        <v/>
      </c>
    </row>
    <row r="11198">
      <c r="A11198">
        <f>HYPERLINK("https://www.youtube.com/watch?v=5-J1t0rAlOU", "Video")</f>
        <v/>
      </c>
      <c r="B11198" t="inlineStr">
        <is>
          <t>0:53</t>
        </is>
      </c>
      <c r="C11198" t="inlineStr">
        <is>
          <t>and Mir remained in orbit
for the next 13 years.</t>
        </is>
      </c>
      <c r="D11198">
        <f>HYPERLINK("https://www.youtube.com/watch?v=5-J1t0rAlOU&amp;t=53s", "Go to time")</f>
        <v/>
      </c>
    </row>
    <row r="11199">
      <c r="A11199">
        <f>HYPERLINK("https://www.youtube.com/watch?v=5-J1t0rAlOU", "Video")</f>
        <v/>
      </c>
      <c r="B11199" t="inlineStr">
        <is>
          <t>2:11</t>
        </is>
      </c>
      <c r="C11199" t="inlineStr">
        <is>
          <t>needed to build suitable habitats.</t>
        </is>
      </c>
      <c r="D11199">
        <f>HYPERLINK("https://www.youtube.com/watch?v=5-J1t0rAlOU&amp;t=131s", "Go to time")</f>
        <v/>
      </c>
    </row>
    <row r="11200">
      <c r="A11200">
        <f>HYPERLINK("https://www.youtube.com/watch?v=5-J1t0rAlOU", "Video")</f>
        <v/>
      </c>
      <c r="B11200" t="inlineStr">
        <is>
          <t>4:09</t>
        </is>
      </c>
      <c r="C11200" t="inlineStr">
        <is>
          <t>by glowing when oxygen or pressure levels
in the habitat dip.</t>
        </is>
      </c>
      <c r="D11200">
        <f>HYPERLINK("https://www.youtube.com/watch?v=5-J1t0rAlOU&amp;t=249s", "Go to time")</f>
        <v/>
      </c>
    </row>
    <row r="11201">
      <c r="A11201">
        <f>HYPERLINK("https://www.youtube.com/watch?v=5-J1t0rAlOU", "Video")</f>
        <v/>
      </c>
      <c r="B11201" t="inlineStr">
        <is>
          <t>4:15</t>
        </is>
      </c>
      <c r="C11201" t="inlineStr">
        <is>
          <t>before these lightweight habitat packs
are ready for launch.</t>
        </is>
      </c>
      <c r="D11201">
        <f>HYPERLINK("https://www.youtube.com/watch?v=5-J1t0rAlOU&amp;t=255s", "Go to time")</f>
        <v/>
      </c>
    </row>
    <row r="11202">
      <c r="A11202">
        <f>HYPERLINK("https://www.youtube.com/watch?v=5-J1t0rAlOU", "Video")</f>
        <v/>
      </c>
      <c r="B11202" t="inlineStr">
        <is>
          <t>4:22</t>
        </is>
      </c>
      <c r="C11202" t="inlineStr">
        <is>
          <t>by growing these sustainable,
carbon-negative fungal habitats</t>
        </is>
      </c>
      <c r="D11202">
        <f>HYPERLINK("https://www.youtube.com/watch?v=5-J1t0rAlOU&amp;t=262s", "Go to time")</f>
        <v/>
      </c>
    </row>
    <row r="11203">
      <c r="A11203">
        <f>HYPERLINK("https://www.youtube.com/watch?v=Qytj-DbXMKQ", "Video")</f>
        <v/>
      </c>
      <c r="B11203" t="inlineStr">
        <is>
          <t>2:13</t>
        </is>
      </c>
      <c r="C11203" t="inlineStr">
        <is>
          <t>Next, while Eitri worked a block of gold,
the fly bit Brokk on the neck.</t>
        </is>
      </c>
      <c r="D11203">
        <f>HYPERLINK("https://www.youtube.com/watch?v=Qytj-DbXMKQ&amp;t=133s", "Go to time")</f>
        <v/>
      </c>
    </row>
    <row r="11204">
      <c r="A11204">
        <f>HYPERLINK("https://www.youtube.com/watch?v=Qytj-DbXMKQ", "Video")</f>
        <v/>
      </c>
      <c r="B11204" t="inlineStr">
        <is>
          <t>2:24</t>
        </is>
      </c>
      <c r="C11204" t="inlineStr">
        <is>
          <t>This time the fly landed right on Brokk’s
eyelid and bit as hard as it could.</t>
        </is>
      </c>
      <c r="D11204">
        <f>HYPERLINK("https://www.youtube.com/watch?v=Qytj-DbXMKQ&amp;t=144s", "Go to time")</f>
        <v/>
      </c>
    </row>
    <row r="11205">
      <c r="A11205">
        <f>HYPERLINK("https://www.youtube.com/watch?v=dO2xx-aeZ4w", "Video")</f>
        <v/>
      </c>
      <c r="B11205" t="inlineStr">
        <is>
          <t>2:02</t>
        </is>
      </c>
      <c r="C11205" t="inlineStr">
        <is>
          <t>That was a big problem for the rest
of Earth's inhabitants.</t>
        </is>
      </c>
      <c r="D11205">
        <f>HYPERLINK("https://www.youtube.com/watch?v=dO2xx-aeZ4w&amp;t=122s", "Go to time")</f>
        <v/>
      </c>
    </row>
    <row r="11206">
      <c r="A11206">
        <f>HYPERLINK("https://www.youtube.com/watch?v=j2ZdF9qo7IA", "Video")</f>
        <v/>
      </c>
      <c r="B11206" t="inlineStr">
        <is>
          <t>1:31</t>
        </is>
      </c>
      <c r="C11206" t="inlineStr">
        <is>
          <t>As the Earth elliptically orbits
the Sun, there you go,</t>
        </is>
      </c>
      <c r="D11206">
        <f>HYPERLINK("https://www.youtube.com/watch?v=j2ZdF9qo7IA&amp;t=91s", "Go to time")</f>
        <v/>
      </c>
    </row>
    <row r="11207">
      <c r="A11207">
        <f>HYPERLINK("https://www.youtube.com/watch?v=j2ZdF9qo7IA", "Video")</f>
        <v/>
      </c>
      <c r="B11207" t="inlineStr">
        <is>
          <t>1:51</t>
        </is>
      </c>
      <c r="C11207" t="inlineStr">
        <is>
          <t>That bubble orbits the Milky Way’s center,
which harbors a supermassive black hole,</t>
        </is>
      </c>
      <c r="D11207">
        <f>HYPERLINK("https://www.youtube.com/watch?v=j2ZdF9qo7IA&amp;t=111s", "Go to time")</f>
        <v/>
      </c>
    </row>
    <row r="11208">
      <c r="A11208">
        <f>HYPERLINK("https://www.youtube.com/watch?v=j2ZdF9qo7IA", "Video")</f>
        <v/>
      </c>
      <c r="B11208" t="inlineStr">
        <is>
          <t>2:00</t>
        </is>
      </c>
      <c r="C11208" t="inlineStr">
        <is>
          <t>One full orbit takes 230 million years—</t>
        </is>
      </c>
      <c r="D11208">
        <f>HYPERLINK("https://www.youtube.com/watch?v=j2ZdF9qo7IA&amp;t=120s", "Go to time")</f>
        <v/>
      </c>
    </row>
    <row r="11209">
      <c r="A11209">
        <f>HYPERLINK("https://www.youtube.com/watch?v=j2ZdF9qo7IA", "Video")</f>
        <v/>
      </c>
      <c r="B11209" t="inlineStr">
        <is>
          <t>3:04</t>
        </is>
      </c>
      <c r="C11209" t="inlineStr">
        <is>
          <t>than a clean, circular orbit.</t>
        </is>
      </c>
      <c r="D11209">
        <f>HYPERLINK("https://www.youtube.com/watch?v=j2ZdF9qo7IA&amp;t=184s", "Go to time")</f>
        <v/>
      </c>
    </row>
    <row r="11210">
      <c r="A11210">
        <f>HYPERLINK("https://www.youtube.com/watch?v=mpRJhhbKLFc", "Video")</f>
        <v/>
      </c>
      <c r="B11210" t="inlineStr">
        <is>
          <t>1:54</t>
        </is>
      </c>
      <c r="C11210" t="inlineStr">
        <is>
          <t>But that’s because we often think
of the Moon as orbiting the Earth,</t>
        </is>
      </c>
      <c r="D11210">
        <f>HYPERLINK("https://www.youtube.com/watch?v=mpRJhhbKLFc&amp;t=114s", "Go to time")</f>
        <v/>
      </c>
    </row>
    <row r="11211">
      <c r="A11211">
        <f>HYPERLINK("https://www.youtube.com/watch?v=mpRJhhbKLFc", "Video")</f>
        <v/>
      </c>
      <c r="B11211" t="inlineStr">
        <is>
          <t>1:58</t>
        </is>
      </c>
      <c r="C11211" t="inlineStr">
        <is>
          <t>when in reality, the Earth and Moon
orbit each other</t>
        </is>
      </c>
      <c r="D11211">
        <f>HYPERLINK("https://www.youtube.com/watch?v=mpRJhhbKLFc&amp;t=118s", "Go to time")</f>
        <v/>
      </c>
    </row>
    <row r="11212">
      <c r="A11212">
        <f>HYPERLINK("https://www.youtube.com/watch?v=mpRJhhbKLFc", "Video")</f>
        <v/>
      </c>
      <c r="B11212" t="inlineStr">
        <is>
          <t>2:24</t>
        </is>
      </c>
      <c r="C11212" t="inlineStr">
        <is>
          <t>Within that orbit,
the Earth rotates once a day,</t>
        </is>
      </c>
      <c r="D11212">
        <f>HYPERLINK("https://www.youtube.com/watch?v=mpRJhhbKLFc&amp;t=144s", "Go to time")</f>
        <v/>
      </c>
    </row>
    <row r="11213">
      <c r="A11213">
        <f>HYPERLINK("https://www.youtube.com/watch?v=mpRJhhbKLFc", "Video")</f>
        <v/>
      </c>
      <c r="B11213" t="inlineStr">
        <is>
          <t>3:17</t>
        </is>
      </c>
      <c r="C11213" t="inlineStr">
        <is>
          <t>Subtleties in the orbits
of these celestial bodies</t>
        </is>
      </c>
      <c r="D11213">
        <f>HYPERLINK("https://www.youtube.com/watch?v=mpRJhhbKLFc&amp;t=197s", "Go to time")</f>
        <v/>
      </c>
    </row>
    <row r="11214">
      <c r="A11214">
        <f>HYPERLINK("https://www.youtube.com/watch?v=mpRJhhbKLFc", "Video")</f>
        <v/>
      </c>
      <c r="B11214" t="inlineStr">
        <is>
          <t>4:08</t>
        </is>
      </c>
      <c r="C11214" t="inlineStr">
        <is>
          <t>And in other planetary systems,
some planets orbit so close to their stars</t>
        </is>
      </c>
      <c r="D11214">
        <f>HYPERLINK("https://www.youtube.com/watch?v=mpRJhhbKLFc&amp;t=248s", "Go to time")</f>
        <v/>
      </c>
    </row>
    <row r="11215">
      <c r="A11215">
        <f>HYPERLINK("https://www.youtube.com/watch?v=I5V2tcg1BvQ", "Video")</f>
        <v/>
      </c>
      <c r="B11215" t="inlineStr">
        <is>
          <t>0:13</t>
        </is>
      </c>
      <c r="C11215" t="inlineStr">
        <is>
          <t>You roll out of bed and leap eight meters 
across your underground habitat.</t>
        </is>
      </c>
      <c r="D11215">
        <f>HYPERLINK("https://www.youtube.com/watch?v=I5V2tcg1BvQ&amp;t=13s", "Go to time")</f>
        <v/>
      </c>
    </row>
    <row r="11216">
      <c r="A11216">
        <f>HYPERLINK("https://www.youtube.com/watch?v=I5V2tcg1BvQ", "Video")</f>
        <v/>
      </c>
      <c r="B11216" t="inlineStr">
        <is>
          <t>1:00</t>
        </is>
      </c>
      <c r="C11216" t="inlineStr">
        <is>
          <t>The camp envisioned is not so much
a village as an inhabited research base</t>
        </is>
      </c>
      <c r="D11216">
        <f>HYPERLINK("https://www.youtube.com/watch?v=I5V2tcg1BvQ&amp;t=60s", "Go to time")</f>
        <v/>
      </c>
    </row>
    <row r="11217">
      <c r="A11217">
        <f>HYPERLINK("https://www.youtube.com/watch?v=I5V2tcg1BvQ", "Video")</f>
        <v/>
      </c>
      <c r="B11217" t="inlineStr">
        <is>
          <t>1:36</t>
        </is>
      </c>
      <c r="C11217" t="inlineStr">
        <is>
          <t>and 3D printers constructing 
covered habitats from lunar soil,</t>
        </is>
      </c>
      <c r="D11217">
        <f>HYPERLINK("https://www.youtube.com/watch?v=I5V2tcg1BvQ&amp;t=96s", "Go to time")</f>
        <v/>
      </c>
    </row>
    <row r="11218">
      <c r="A11218">
        <f>HYPERLINK("https://www.youtube.com/watch?v=I5V2tcg1BvQ", "Video")</f>
        <v/>
      </c>
      <c r="B11218" t="inlineStr">
        <is>
          <t>1:47</t>
        </is>
      </c>
      <c r="C11218" t="inlineStr">
        <is>
          <t>But what would the inhabitants live on?</t>
        </is>
      </c>
      <c r="D11218">
        <f>HYPERLINK("https://www.youtube.com/watch?v=I5V2tcg1BvQ&amp;t=107s", "Go to time")</f>
        <v/>
      </c>
    </row>
    <row r="11219">
      <c r="A11219">
        <f>HYPERLINK("https://www.youtube.com/watch?v=I5V2tcg1BvQ", "Video")</f>
        <v/>
      </c>
      <c r="B11219" t="inlineStr">
        <is>
          <t>2:23</t>
        </is>
      </c>
      <c r="C11219" t="inlineStr">
        <is>
          <t>And lunar inhabitants would have 
to exercise for hours a day</t>
        </is>
      </c>
      <c r="D11219">
        <f>HYPERLINK("https://www.youtube.com/watch?v=I5V2tcg1BvQ&amp;t=143s", "Go to time")</f>
        <v/>
      </c>
    </row>
    <row r="11220">
      <c r="A11220">
        <f>HYPERLINK("https://www.youtube.com/watch?v=I5V2tcg1BvQ", "Video")</f>
        <v/>
      </c>
      <c r="B11220" t="inlineStr">
        <is>
          <t>3:26</t>
        </is>
      </c>
      <c r="C11220" t="inlineStr">
        <is>
          <t>With the nearest possibly habitable 
world light-years away,</t>
        </is>
      </c>
      <c r="D11220">
        <f>HYPERLINK("https://www.youtube.com/watch?v=I5V2tcg1BvQ&amp;t=206s", "Go to time")</f>
        <v/>
      </c>
    </row>
    <row r="11221">
      <c r="A11221">
        <f>HYPERLINK("https://www.youtube.com/watch?v=I5V2tcg1BvQ", "Video")</f>
        <v/>
      </c>
      <c r="B11221" t="inlineStr">
        <is>
          <t>3:42</t>
        </is>
      </c>
      <c r="C11221" t="inlineStr">
        <is>
          <t>envision launching future 
missions from lunar orbit.</t>
        </is>
      </c>
      <c r="D11221">
        <f>HYPERLINK("https://www.youtube.com/watch?v=I5V2tcg1BvQ&amp;t=222s", "Go to time")</f>
        <v/>
      </c>
    </row>
    <row r="11222">
      <c r="A11222">
        <f>HYPERLINK("https://www.youtube.com/watch?v=I5V2tcg1BvQ", "Video")</f>
        <v/>
      </c>
      <c r="B11222" t="inlineStr">
        <is>
          <t>4:22</t>
        </is>
      </c>
      <c r="C11222" t="inlineStr">
        <is>
          <t>alongside a construction yard 
under an orbiting space port.</t>
        </is>
      </c>
      <c r="D11222">
        <f>HYPERLINK("https://www.youtube.com/watch?v=I5V2tcg1BvQ&amp;t=262s", "Go to time")</f>
        <v/>
      </c>
    </row>
    <row r="11223">
      <c r="A11223">
        <f>HYPERLINK("https://www.youtube.com/watch?v=D89ngRr4uZg", "Video")</f>
        <v/>
      </c>
      <c r="B11223" t="inlineStr">
        <is>
          <t>0:41</t>
        </is>
      </c>
      <c r="C11223" t="inlineStr">
        <is>
          <t>Mercury’s orbit changed so drastically 
that it could plunge into the Sun</t>
        </is>
      </c>
      <c r="D11223">
        <f>HYPERLINK("https://www.youtube.com/watch?v=D89ngRr4uZg&amp;t=41s", "Go to time")</f>
        <v/>
      </c>
    </row>
    <row r="11224">
      <c r="A11224">
        <f>HYPERLINK("https://www.youtube.com/watch?v=D89ngRr4uZg", "Video")</f>
        <v/>
      </c>
      <c r="B11224" t="inlineStr">
        <is>
          <t>2:27</t>
        </is>
      </c>
      <c r="C11224" t="inlineStr">
        <is>
          <t>With three or more orbiting objects 
in the picture, everything gets messier.</t>
        </is>
      </c>
      <c r="D11224">
        <f>HYPERLINK("https://www.youtube.com/watch?v=D89ngRr4uZg&amp;t=147s", "Go to time")</f>
        <v/>
      </c>
    </row>
    <row r="11225">
      <c r="A11225">
        <f>HYPERLINK("https://www.youtube.com/watch?v=D89ngRr4uZg", "Video")</f>
        <v/>
      </c>
      <c r="B11225" t="inlineStr">
        <is>
          <t>3:05</t>
        </is>
      </c>
      <c r="C11225" t="inlineStr">
        <is>
          <t>some might get flung out of orbit 
after a long time of apparent stability.</t>
        </is>
      </c>
      <c r="D11225">
        <f>HYPERLINK("https://www.youtube.com/watch?v=D89ngRr4uZg&amp;t=185s", "Go to time")</f>
        <v/>
      </c>
    </row>
    <row r="11226">
      <c r="A11226">
        <f>HYPERLINK("https://www.youtube.com/watch?v=D89ngRr4uZg", "Video")</f>
        <v/>
      </c>
      <c r="B11226" t="inlineStr">
        <is>
          <t>3:57</t>
        </is>
      </c>
      <c r="C11226" t="inlineStr">
        <is>
          <t>when complicated orbits need 
to be calculated with great precision.</t>
        </is>
      </c>
      <c r="D11226">
        <f>HYPERLINK("https://www.youtube.com/watch?v=D89ngRr4uZg&amp;t=237s", "Go to time")</f>
        <v/>
      </c>
    </row>
    <row r="11227">
      <c r="A11227">
        <f>HYPERLINK("https://www.youtube.com/watch?v=Fwu_2hVC9kE", "Video")</f>
        <v/>
      </c>
      <c r="B11227" t="inlineStr">
        <is>
          <t>1:37</t>
        </is>
      </c>
      <c r="C11227" t="inlineStr">
        <is>
          <t>Ever since I've started developing quirky habits</t>
        </is>
      </c>
      <c r="D11227">
        <f>HYPERLINK("https://www.youtube.com/watch?v=Fwu_2hVC9kE&amp;t=97s", "Go to time")</f>
        <v/>
      </c>
    </row>
    <row r="11228">
      <c r="A11228">
        <f>HYPERLINK("https://www.youtube.com/watch?v=9xf1T7-t1ak", "Video")</f>
        <v/>
      </c>
      <c r="B11228" t="inlineStr">
        <is>
          <t>3:50</t>
        </is>
      </c>
      <c r="C11228" t="inlineStr">
        <is>
          <t>can lead one to become bitter, vengeful,
or hateful of others.</t>
        </is>
      </c>
      <c r="D11228">
        <f>HYPERLINK("https://www.youtube.com/watch?v=9xf1T7-t1ak&amp;t=230s", "Go to time")</f>
        <v/>
      </c>
    </row>
    <row r="11229">
      <c r="A11229">
        <f>HYPERLINK("https://www.youtube.com/watch?v=w1CeRpfByG8", "Video")</f>
        <v/>
      </c>
      <c r="B11229" t="inlineStr">
        <is>
          <t>3:46</t>
        </is>
      </c>
      <c r="C11229" t="inlineStr">
        <is>
          <t>inspired them to change their eating 
habits in other ways.</t>
        </is>
      </c>
      <c r="D11229">
        <f>HYPERLINK("https://www.youtube.com/watch?v=w1CeRpfByG8&amp;t=226s", "Go to time")</f>
        <v/>
      </c>
    </row>
    <row r="11230">
      <c r="A11230">
        <f>HYPERLINK("https://www.youtube.com/watch?v=IwYut9qF-jM", "Video")</f>
        <v/>
      </c>
      <c r="B11230" t="inlineStr">
        <is>
          <t>1:59</t>
        </is>
      </c>
      <c r="C11230" t="inlineStr">
        <is>
          <t>called the cubital tunnel.</t>
        </is>
      </c>
      <c r="D11230">
        <f>HYPERLINK("https://www.youtube.com/watch?v=IwYut9qF-jM&amp;t=119s", "Go to time")</f>
        <v/>
      </c>
    </row>
    <row r="11231">
      <c r="A11231">
        <f>HYPERLINK("https://www.youtube.com/watch?v=IwYut9qF-jM", "Video")</f>
        <v/>
      </c>
      <c r="B11231" t="inlineStr">
        <is>
          <t>2:17</t>
        </is>
      </c>
      <c r="C11231" t="inlineStr">
        <is>
          <t>and cubital tunnel ligament tissue,</t>
        </is>
      </c>
      <c r="D11231">
        <f>HYPERLINK("https://www.youtube.com/watch?v=IwYut9qF-jM&amp;t=137s", "Go to time")</f>
        <v/>
      </c>
    </row>
    <row r="11232">
      <c r="A11232">
        <f>HYPERLINK("https://www.youtube.com/watch?v=IwYut9qF-jM", "Video")</f>
        <v/>
      </c>
      <c r="B11232" t="inlineStr">
        <is>
          <t>3:32</t>
        </is>
      </c>
      <c r="C11232" t="inlineStr">
        <is>
          <t>most commonly with the cubital tunnel.</t>
        </is>
      </c>
      <c r="D11232">
        <f>HYPERLINK("https://www.youtube.com/watch?v=IwYut9qF-jM&amp;t=212s", "Go to time")</f>
        <v/>
      </c>
    </row>
    <row r="11233">
      <c r="A11233">
        <f>HYPERLINK("https://www.youtube.com/watch?v=NnnZ6y1HPqI", "Video")</f>
        <v/>
      </c>
      <c r="B11233" t="inlineStr">
        <is>
          <t>1:17</t>
        </is>
      </c>
      <c r="C11233" t="inlineStr">
        <is>
          <t>in which the boys teach the island’s 
native inhabitants</t>
        </is>
      </c>
      <c r="D11233">
        <f>HYPERLINK("https://www.youtube.com/watch?v=NnnZ6y1HPqI&amp;t=77s", "Go to time")</f>
        <v/>
      </c>
    </row>
    <row r="11234">
      <c r="A11234">
        <f>HYPERLINK("https://www.youtube.com/watch?v=R5BY_4FfbQs", "Video")</f>
        <v/>
      </c>
      <c r="B11234" t="inlineStr">
        <is>
          <t>0:23</t>
        </is>
      </c>
      <c r="C11234" t="inlineStr">
        <is>
          <t>going to talk a little bit today about</t>
        </is>
      </c>
      <c r="D11234">
        <f>HYPERLINK("https://www.youtube.com/watch?v=R5BY_4FfbQs&amp;t=23s", "Go to time")</f>
        <v/>
      </c>
    </row>
    <row r="11235">
      <c r="A11235">
        <f>HYPERLINK("https://www.youtube.com/watch?v=wd18yfQqa8A", "Video")</f>
        <v/>
      </c>
      <c r="B11235" t="inlineStr">
        <is>
          <t>0:10</t>
        </is>
      </c>
      <c r="C11235" t="inlineStr">
        <is>
          <t>But comparatively, humans seem a bit... 
underdressed.</t>
        </is>
      </c>
      <c r="D11235">
        <f>HYPERLINK("https://www.youtube.com/watch?v=wd18yfQqa8A&amp;t=10s", "Go to time")</f>
        <v/>
      </c>
    </row>
    <row r="11236">
      <c r="A11236">
        <f>HYPERLINK("https://www.youtube.com/watch?v=wd18yfQqa8A", "Video")</f>
        <v/>
      </c>
      <c r="B11236" t="inlineStr">
        <is>
          <t>0:41</t>
        </is>
      </c>
      <c r="C11236" t="inlineStr">
        <is>
          <t>ranging from the soft fluff 
covering rabbits</t>
        </is>
      </c>
      <c r="D11236">
        <f>HYPERLINK("https://www.youtube.com/watch?v=wd18yfQqa8A&amp;t=41s", "Go to time")</f>
        <v/>
      </c>
    </row>
    <row r="11237">
      <c r="A11237">
        <f>HYPERLINK("https://www.youtube.com/watch?v=U9g4gRWkFTs", "Video")</f>
        <v/>
      </c>
      <c r="B11237" t="inlineStr">
        <is>
          <t>0:27</t>
        </is>
      </c>
      <c r="C11237" t="inlineStr">
        <is>
          <t>Microscopic creatures inhabit
a world alien to us,</t>
        </is>
      </c>
      <c r="D11237">
        <f>HYPERLINK("https://www.youtube.com/watch?v=U9g4gRWkFTs&amp;t=27s", "Go to time")</f>
        <v/>
      </c>
    </row>
    <row r="11238">
      <c r="A11238">
        <f>HYPERLINK("https://www.youtube.com/watch?v=U9g4gRWkFTs", "Video")</f>
        <v/>
      </c>
      <c r="B11238" t="inlineStr">
        <is>
          <t>1:40</t>
        </is>
      </c>
      <c r="C11238" t="inlineStr">
        <is>
          <t>inhabit vastly different worlds.</t>
        </is>
      </c>
      <c r="D11238">
        <f>HYPERLINK("https://www.youtube.com/watch?v=U9g4gRWkFTs&amp;t=100s", "Go to time")</f>
        <v/>
      </c>
    </row>
    <row r="11239">
      <c r="A11239">
        <f>HYPERLINK("https://www.youtube.com/watch?v=U9g4gRWkFTs", "Video")</f>
        <v/>
      </c>
      <c r="B11239" t="inlineStr">
        <is>
          <t>1:44</t>
        </is>
      </c>
      <c r="C11239" t="inlineStr">
        <is>
          <t>a sperm whale inhabits
the large Reynolds number world.</t>
        </is>
      </c>
      <c r="D11239">
        <f>HYPERLINK("https://www.youtube.com/watch?v=U9g4gRWkFTs&amp;t=104s", "Go to time")</f>
        <v/>
      </c>
    </row>
    <row r="11240">
      <c r="A11240">
        <f>HYPERLINK("https://www.youtube.com/watch?v=5czA_L_eOp4", "Video")</f>
        <v/>
      </c>
      <c r="B11240" t="inlineStr">
        <is>
          <t>1:21</t>
        </is>
      </c>
      <c r="C11240" t="inlineStr">
        <is>
          <t>His characters exhibit the sheer
absurdity of human behavior,</t>
        </is>
      </c>
      <c r="D11240">
        <f>HYPERLINK("https://www.youtube.com/watch?v=5czA_L_eOp4&amp;t=81s", "Go to time")</f>
        <v/>
      </c>
    </row>
    <row r="11241">
      <c r="A11241">
        <f>HYPERLINK("https://www.youtube.com/watch?v=5czA_L_eOp4", "Video")</f>
        <v/>
      </c>
      <c r="B11241" t="inlineStr">
        <is>
          <t>3:34</t>
        </is>
      </c>
      <c r="C11241" t="inlineStr">
        <is>
          <t>Pip becomes the victim 
of other people’s ambitions for him</t>
        </is>
      </c>
      <c r="D11241">
        <f>HYPERLINK("https://www.youtube.com/watch?v=5czA_L_eOp4&amp;t=214s", "Go to time")</f>
        <v/>
      </c>
    </row>
    <row r="11242">
      <c r="A11242">
        <f>HYPERLINK("https://www.youtube.com/watch?v=WNdR808jMSA", "Video")</f>
        <v/>
      </c>
      <c r="B11242" t="inlineStr">
        <is>
          <t>2:37</t>
        </is>
      </c>
      <c r="C11242" t="inlineStr">
        <is>
          <t>disrupting or destroying
seafloor habitats.</t>
        </is>
      </c>
      <c r="D11242">
        <f>HYPERLINK("https://www.youtube.com/watch?v=WNdR808jMSA&amp;t=157s", "Go to time")</f>
        <v/>
      </c>
    </row>
    <row r="11243">
      <c r="A11243">
        <f>HYPERLINK("https://www.youtube.com/watch?v=WNdR808jMSA", "Video")</f>
        <v/>
      </c>
      <c r="B11243" t="inlineStr">
        <is>
          <t>2:57</t>
        </is>
      </c>
      <c r="C11243" t="inlineStr">
        <is>
          <t>and depriving fish of key
nursery habitats.</t>
        </is>
      </c>
      <c r="D11243">
        <f>HYPERLINK("https://www.youtube.com/watch?v=WNdR808jMSA&amp;t=177s", "Go to time")</f>
        <v/>
      </c>
    </row>
    <row r="11244">
      <c r="A11244">
        <f>HYPERLINK("https://www.youtube.com/watch?v=y6u1GPpJuR4", "Video")</f>
        <v/>
      </c>
      <c r="B11244" t="inlineStr">
        <is>
          <t>0:35</t>
        </is>
      </c>
      <c r="C11244" t="inlineStr">
        <is>
          <t>seeking a better habitat.</t>
        </is>
      </c>
      <c r="D11244">
        <f>HYPERLINK("https://www.youtube.com/watch?v=y6u1GPpJuR4&amp;t=35s", "Go to time")</f>
        <v/>
      </c>
    </row>
    <row r="11245">
      <c r="A11245">
        <f>HYPERLINK("https://www.youtube.com/watch?v=GFTKKyYSCKs", "Video")</f>
        <v/>
      </c>
      <c r="B11245" t="inlineStr">
        <is>
          <t>1:37</t>
        </is>
      </c>
      <c r="C11245" t="inlineStr">
        <is>
          <t>A little bit of inflation,
about 2% a year,</t>
        </is>
      </c>
      <c r="D11245">
        <f>HYPERLINK("https://www.youtube.com/watch?v=GFTKKyYSCKs&amp;t=97s", "Go to time")</f>
        <v/>
      </c>
    </row>
    <row r="11246">
      <c r="A11246">
        <f>HYPERLINK("https://www.youtube.com/watch?v=eEWa7cpiyD8", "Video")</f>
        <v/>
      </c>
      <c r="B11246" t="inlineStr">
        <is>
          <t>2:06</t>
        </is>
      </c>
      <c r="C11246" t="inlineStr">
        <is>
          <t>Building a lifelong walking habit
comes with many other benefits,</t>
        </is>
      </c>
      <c r="D11246">
        <f>HYPERLINK("https://www.youtube.com/watch?v=eEWa7cpiyD8&amp;t=126s", "Go to time")</f>
        <v/>
      </c>
    </row>
    <row r="11247">
      <c r="A11247">
        <f>HYPERLINK("https://www.youtube.com/watch?v=yJ9UtAmjs7Y", "Video")</f>
        <v/>
      </c>
      <c r="B11247" t="inlineStr">
        <is>
          <t>1:36</t>
        </is>
      </c>
      <c r="C11247" t="inlineStr">
        <is>
          <t>Years later, when the child had grown 
into an ambitious young man,</t>
        </is>
      </c>
      <c r="D11247">
        <f>HYPERLINK("https://www.youtube.com/watch?v=yJ9UtAmjs7Y&amp;t=96s", "Go to time")</f>
        <v/>
      </c>
    </row>
    <row r="11248">
      <c r="A11248">
        <f>HYPERLINK("https://www.youtube.com/watch?v=tjrvKA4w9-Y", "Video")</f>
        <v/>
      </c>
      <c r="B11248" t="inlineStr">
        <is>
          <t>3:32</t>
        </is>
      </c>
      <c r="C11248" t="inlineStr">
        <is>
          <t>arbitrary arrests,</t>
        </is>
      </c>
      <c r="D11248">
        <f>HYPERLINK("https://www.youtube.com/watch?v=tjrvKA4w9-Y&amp;t=212s", "Go to time")</f>
        <v/>
      </c>
    </row>
    <row r="11249">
      <c r="A11249">
        <f>HYPERLINK("https://www.youtube.com/watch?v=dcZ0BXJYlUA", "Video")</f>
        <v/>
      </c>
      <c r="B11249" t="inlineStr">
        <is>
          <t>2:24</t>
        </is>
      </c>
      <c r="C11249" t="inlineStr">
        <is>
          <t>However, the human costs 
of this ambition were steep.</t>
        </is>
      </c>
      <c r="D11249">
        <f>HYPERLINK("https://www.youtube.com/watch?v=dcZ0BXJYlUA&amp;t=144s", "Go to time")</f>
        <v/>
      </c>
    </row>
    <row r="11250">
      <c r="A11250">
        <f>HYPERLINK("https://www.youtube.com/watch?v=G0My5NfboxM", "Video")</f>
        <v/>
      </c>
      <c r="B11250" t="inlineStr">
        <is>
          <t>0:37</t>
        </is>
      </c>
      <c r="C11250" t="inlineStr">
        <is>
          <t>and so does every wild habitat on the</t>
        </is>
      </c>
      <c r="D11250">
        <f>HYPERLINK("https://www.youtube.com/watch?v=G0My5NfboxM&amp;t=37s", "Go to time")</f>
        <v/>
      </c>
    </row>
    <row r="11251">
      <c r="A11251">
        <f>HYPERLINK("https://www.youtube.com/watch?v=G0My5NfboxM", "Video")</f>
        <v/>
      </c>
      <c r="B11251" t="inlineStr">
        <is>
          <t>1:00</t>
        </is>
      </c>
      <c r="C11251" t="inlineStr">
        <is>
          <t>Springs from a wild habitat generates</t>
        </is>
      </c>
      <c r="D11251">
        <f>HYPERLINK("https://www.youtube.com/watch?v=G0My5NfboxM&amp;t=60s", "Go to time")</f>
        <v/>
      </c>
    </row>
    <row r="11252">
      <c r="A11252">
        <f>HYPERLINK("https://www.youtube.com/watch?v=G0My5NfboxM", "Video")</f>
        <v/>
      </c>
      <c r="B11252" t="inlineStr">
        <is>
          <t>1:20</t>
        </is>
      </c>
      <c r="C11252" t="inlineStr">
        <is>
          <t>in any given habitat like wind in the</t>
        </is>
      </c>
      <c r="D11252">
        <f>HYPERLINK("https://www.youtube.com/watch?v=G0My5NfboxM&amp;t=80s", "Go to time")</f>
        <v/>
      </c>
    </row>
    <row r="11253">
      <c r="A11253">
        <f>HYPERLINK("https://www.youtube.com/watch?v=G0My5NfboxM", "Video")</f>
        <v/>
      </c>
      <c r="B11253" t="inlineStr">
        <is>
          <t>1:37</t>
        </is>
      </c>
      <c r="C11253" t="inlineStr">
        <is>
          <t>habitat at one time and in one place and</t>
        </is>
      </c>
      <c r="D11253">
        <f>HYPERLINK("https://www.youtube.com/watch?v=G0My5NfboxM&amp;t=97s", "Go to time")</f>
        <v/>
      </c>
    </row>
    <row r="11254">
      <c r="A11254">
        <f>HYPERLINK("https://www.youtube.com/watch?v=G0My5NfboxM", "Video")</f>
        <v/>
      </c>
      <c r="B11254" t="inlineStr">
        <is>
          <t>2:17</t>
        </is>
      </c>
      <c r="C11254" t="inlineStr">
        <is>
          <t>health of a habitat across the entire</t>
        </is>
      </c>
      <c r="D11254">
        <f>HYPERLINK("https://www.youtube.com/watch?v=G0My5NfboxM&amp;t=137s", "Go to time")</f>
        <v/>
      </c>
    </row>
    <row r="11255">
      <c r="A11255">
        <f>HYPERLINK("https://www.youtube.com/watch?v=G0My5NfboxM", "Video")</f>
        <v/>
      </c>
      <c r="B11255" t="inlineStr">
        <is>
          <t>3:39</t>
        </is>
      </c>
      <c r="C11255" t="inlineStr">
        <is>
          <t>archive comes from habitats so radically</t>
        </is>
      </c>
      <c r="D11255">
        <f>HYPERLINK("https://www.youtube.com/watch?v=G0My5NfboxM&amp;t=219s", "Go to time")</f>
        <v/>
      </c>
    </row>
    <row r="11256">
      <c r="A11256">
        <f>HYPERLINK("https://www.youtube.com/watch?v=G0My5NfboxM", "Video")</f>
        <v/>
      </c>
      <c r="B11256" t="inlineStr">
        <is>
          <t>3:52</t>
        </is>
      </c>
      <c r="C11256" t="inlineStr">
        <is>
          <t>habitat have been done by visually</t>
        </is>
      </c>
      <c r="D11256">
        <f>HYPERLINK("https://www.youtube.com/watch?v=G0My5NfboxM&amp;t=232s", "Go to time")</f>
        <v/>
      </c>
    </row>
    <row r="11257">
      <c r="A11257">
        <f>HYPERLINK("https://www.youtube.com/watch?v=G0My5NfboxM", "Video")</f>
        <v/>
      </c>
      <c r="B11257" t="inlineStr">
        <is>
          <t>9:25</t>
        </is>
      </c>
      <c r="C11257" t="inlineStr">
        <is>
          <t>it's a favorite habitat of these toads</t>
        </is>
      </c>
      <c r="D11257">
        <f>HYPERLINK("https://www.youtube.com/watch?v=G0My5NfboxM&amp;t=565s", "Go to time")</f>
        <v/>
      </c>
    </row>
    <row r="11258">
      <c r="A11258">
        <f>HYPERLINK("https://www.youtube.com/watch?v=G0My5NfboxM", "Video")</f>
        <v/>
      </c>
      <c r="B11258" t="inlineStr">
        <is>
          <t>10:43</t>
        </is>
      </c>
      <c r="C11258" t="inlineStr">
        <is>
          <t>little bit of habitat restoration and</t>
        </is>
      </c>
      <c r="D11258">
        <f>HYPERLINK("https://www.youtube.com/watch?v=G0My5NfboxM&amp;t=643s", "Go to time")</f>
        <v/>
      </c>
    </row>
    <row r="11259">
      <c r="A11259">
        <f>HYPERLINK("https://www.youtube.com/watch?v=G0My5NfboxM", "Video")</f>
        <v/>
      </c>
      <c r="B11259" t="inlineStr">
        <is>
          <t>12:56</t>
        </is>
      </c>
      <c r="C11259" t="inlineStr">
        <is>
          <t>extraction human noise and habitat</t>
        </is>
      </c>
      <c r="D11259">
        <f>HYPERLINK("https://www.youtube.com/watch?v=G0My5NfboxM&amp;t=776s", "Go to time")</f>
        <v/>
      </c>
    </row>
    <row r="11260">
      <c r="A11260">
        <f>HYPERLINK("https://www.youtube.com/watch?v=DXgrI8GlUB8", "Video")</f>
        <v/>
      </c>
      <c r="B11260" t="inlineStr">
        <is>
          <t>1:28</t>
        </is>
      </c>
      <c r="C11260" t="inlineStr">
        <is>
          <t>As some of the most ancient
inhabitants of this region,</t>
        </is>
      </c>
      <c r="D11260">
        <f>HYPERLINK("https://www.youtube.com/watch?v=DXgrI8GlUB8&amp;t=88s", "Go to time")</f>
        <v/>
      </c>
    </row>
    <row r="11261">
      <c r="A11261">
        <f>HYPERLINK("https://www.youtube.com/watch?v=W5w75eGTnag", "Video")</f>
        <v/>
      </c>
      <c r="B11261" t="inlineStr">
        <is>
          <t>2:46</t>
        </is>
      </c>
      <c r="C11261" t="inlineStr">
        <is>
          <t>a prohibitively high price 
for almost half of Americans,</t>
        </is>
      </c>
      <c r="D11261">
        <f>HYPERLINK("https://www.youtube.com/watch?v=W5w75eGTnag&amp;t=166s", "Go to time")</f>
        <v/>
      </c>
    </row>
    <row r="11262">
      <c r="A11262">
        <f>HYPERLINK("https://www.youtube.com/watch?v=05PpTqtGhGU", "Video")</f>
        <v/>
      </c>
      <c r="B11262" t="inlineStr">
        <is>
          <t>2:26</t>
        </is>
      </c>
      <c r="C11262" t="inlineStr">
        <is>
          <t>Different dolphin populations exhibit
variations in greetings,</t>
        </is>
      </c>
      <c r="D11262">
        <f>HYPERLINK("https://www.youtube.com/watch?v=05PpTqtGhGU&amp;t=146s", "Go to time")</f>
        <v/>
      </c>
    </row>
    <row r="11263">
      <c r="A11263">
        <f>HYPERLINK("https://www.youtube.com/watch?v=05PpTqtGhGU", "Video")</f>
        <v/>
      </c>
      <c r="B11263" t="inlineStr">
        <is>
          <t>4:01</t>
        </is>
      </c>
      <c r="C11263" t="inlineStr">
        <is>
          <t>The habit of helping injured individuals
extends across the species barrier</t>
        </is>
      </c>
      <c r="D11263">
        <f>HYPERLINK("https://www.youtube.com/watch?v=05PpTqtGhGU&amp;t=241s", "Go to time")</f>
        <v/>
      </c>
    </row>
    <row r="11264">
      <c r="A11264">
        <f>HYPERLINK("https://www.youtube.com/watch?v=OiKQjezOKXc", "Video")</f>
        <v/>
      </c>
      <c r="B11264" t="inlineStr">
        <is>
          <t>5:58</t>
        </is>
      </c>
      <c r="C11264" t="inlineStr">
        <is>
          <t>In many ways, von Braun’s obituary
sums up the operation’s murkiness:</t>
        </is>
      </c>
      <c r="D11264">
        <f>HYPERLINK("https://www.youtube.com/watch?v=OiKQjezOKXc&amp;t=358s", "Go to time")</f>
        <v/>
      </c>
    </row>
    <row r="11265">
      <c r="A11265">
        <f>HYPERLINK("https://www.youtube.com/watch?v=7m8QlSPP7t0", "Video")</f>
        <v/>
      </c>
      <c r="B11265" t="inlineStr">
        <is>
          <t>3:32</t>
        </is>
      </c>
      <c r="C11265" t="inlineStr">
        <is>
          <t>like size and habitat,</t>
        </is>
      </c>
      <c r="D11265">
        <f>HYPERLINK("https://www.youtube.com/watch?v=7m8QlSPP7t0&amp;t=212s", "Go to time")</f>
        <v/>
      </c>
    </row>
    <row r="11266">
      <c r="A11266">
        <f>HYPERLINK("https://www.youtube.com/watch?v=7m8QlSPP7t0", "Video")</f>
        <v/>
      </c>
      <c r="B11266" t="inlineStr">
        <is>
          <t>4:03</t>
        </is>
      </c>
      <c r="C11266" t="inlineStr">
        <is>
          <t>meaning that we're not even close to being
the longest living inhabitants on Earth.</t>
        </is>
      </c>
      <c r="D11266">
        <f>HYPERLINK("https://www.youtube.com/watch?v=7m8QlSPP7t0&amp;t=243s", "Go to time")</f>
        <v/>
      </c>
    </row>
    <row r="11267">
      <c r="A11267">
        <f>HYPERLINK("https://www.youtube.com/watch?v=DhlRgwdDc-E", "Video")</f>
        <v/>
      </c>
      <c r="B11267" t="inlineStr">
        <is>
          <t>1:08</t>
        </is>
      </c>
      <c r="C11267" t="inlineStr">
        <is>
          <t>that many of us exhibit from time to time.</t>
        </is>
      </c>
      <c r="D11267">
        <f>HYPERLINK("https://www.youtube.com/watch?v=DhlRgwdDc-E&amp;t=68s", "Go to time")</f>
        <v/>
      </c>
    </row>
    <row r="11268">
      <c r="A11268">
        <f>HYPERLINK("https://www.youtube.com/watch?v=DhlRgwdDc-E", "Video")</f>
        <v/>
      </c>
      <c r="B11268" t="inlineStr">
        <is>
          <t>1:36</t>
        </is>
      </c>
      <c r="C11268" t="inlineStr">
        <is>
          <t>from those who may 
just be a bit more meticulous</t>
        </is>
      </c>
      <c r="D11268">
        <f>HYPERLINK("https://www.youtube.com/watch?v=DhlRgwdDc-E&amp;t=96s", "Go to time")</f>
        <v/>
      </c>
    </row>
    <row r="11269">
      <c r="A11269">
        <f>HYPERLINK("https://www.youtube.com/watch?v=o_JLTmIFq_A", "Video")</f>
        <v/>
      </c>
      <c r="B11269" t="inlineStr">
        <is>
          <t>4:08</t>
        </is>
      </c>
      <c r="C11269" t="inlineStr">
        <is>
          <t>Doctors will usually evaluate 
these factors and promote habits</t>
        </is>
      </c>
      <c r="D11269">
        <f>HYPERLINK("https://www.youtube.com/watch?v=o_JLTmIFq_A&amp;t=248s", "Go to time")</f>
        <v/>
      </c>
    </row>
    <row r="11270">
      <c r="A11270">
        <f>HYPERLINK("https://www.youtube.com/watch?v=NAXHHBUY9_E", "Video")</f>
        <v/>
      </c>
      <c r="B11270" t="inlineStr">
        <is>
          <t>0:33</t>
        </is>
      </c>
      <c r="C11270" t="inlineStr">
        <is>
          <t>then again a bit later,</t>
        </is>
      </c>
      <c r="D11270">
        <f>HYPERLINK("https://www.youtube.com/watch?v=NAXHHBUY9_E&amp;t=33s", "Go to time")</f>
        <v/>
      </c>
    </row>
    <row r="11271">
      <c r="A11271">
        <f>HYPERLINK("https://www.youtube.com/watch?v=NAXHHBUY9_E", "Video")</f>
        <v/>
      </c>
      <c r="B11271" t="inlineStr">
        <is>
          <t>2:02</t>
        </is>
      </c>
      <c r="C11271" t="inlineStr">
        <is>
          <t>the orbit of Mercury around the Sun,</t>
        </is>
      </c>
      <c r="D11271">
        <f>HYPERLINK("https://www.youtube.com/watch?v=NAXHHBUY9_E&amp;t=122s", "Go to time")</f>
        <v/>
      </c>
    </row>
    <row r="11272">
      <c r="A11272">
        <f>HYPERLINK("https://www.youtube.com/watch?v=l8_fZPHasdo", "Video")</f>
        <v/>
      </c>
      <c r="B11272" t="inlineStr">
        <is>
          <t>1:18</t>
        </is>
      </c>
      <c r="C11272" t="inlineStr">
        <is>
          <t>To understand this, you have to understand a little bit about biology,</t>
        </is>
      </c>
      <c r="D11272">
        <f>HYPERLINK("https://www.youtube.com/watch?v=l8_fZPHasdo&amp;t=78s", "Go to time")</f>
        <v/>
      </c>
    </row>
    <row r="11273">
      <c r="A11273">
        <f>HYPERLINK("https://www.youtube.com/watch?v=4wuL8ZSaDvw", "Video")</f>
        <v/>
      </c>
      <c r="B11273" t="inlineStr">
        <is>
          <t>2:03</t>
        </is>
      </c>
      <c r="C11273" t="inlineStr">
        <is>
          <t>For example, amatoxins inhibit the
production of blood clotting compounds,</t>
        </is>
      </c>
      <c r="D11273">
        <f>HYPERLINK("https://www.youtube.com/watch?v=4wuL8ZSaDvw&amp;t=123s", "Go to time")</f>
        <v/>
      </c>
    </row>
    <row r="11274">
      <c r="A11274">
        <f>HYPERLINK("https://www.youtube.com/watch?v=4wuL8ZSaDvw", "Video")</f>
        <v/>
      </c>
      <c r="B11274" t="inlineStr">
        <is>
          <t>2:59</t>
        </is>
      </c>
      <c r="C11274" t="inlineStr">
        <is>
          <t>And grazing rabbits, rodents, and humans
are often a highly effective mode</t>
        </is>
      </c>
      <c r="D11274">
        <f>HYPERLINK("https://www.youtube.com/watch?v=4wuL8ZSaDvw&amp;t=179s", "Go to time")</f>
        <v/>
      </c>
    </row>
    <row r="11275">
      <c r="A11275">
        <f>HYPERLINK("https://www.youtube.com/watch?v=2aoIs-5zqoI", "Video")</f>
        <v/>
      </c>
      <c r="B11275" t="inlineStr">
        <is>
          <t>1:41</t>
        </is>
      </c>
      <c r="C11275" t="inlineStr">
        <is>
          <t>and has a bit of oceanic crust
known as the Nubian Block</t>
        </is>
      </c>
      <c r="D11275">
        <f>HYPERLINK("https://www.youtube.com/watch?v=2aoIs-5zqoI&amp;t=101s", "Go to time")</f>
        <v/>
      </c>
    </row>
    <row r="11276">
      <c r="A11276">
        <f>HYPERLINK("https://www.youtube.com/watch?v=cpJlQo_65Ko", "Video")</f>
        <v/>
      </c>
      <c r="B11276" t="inlineStr">
        <is>
          <t>1:18</t>
        </is>
      </c>
      <c r="C11276" t="inlineStr">
        <is>
          <t>in estuarine, deep-sea, 
and open-water habitats,</t>
        </is>
      </c>
      <c r="D11276">
        <f>HYPERLINK("https://www.youtube.com/watch?v=cpJlQo_65Ko&amp;t=78s", "Go to time")</f>
        <v/>
      </c>
    </row>
    <row r="11277">
      <c r="A11277">
        <f>HYPERLINK("https://www.youtube.com/watch?v=zs-zATBh_Ho", "Video")</f>
        <v/>
      </c>
      <c r="B11277" t="inlineStr">
        <is>
          <t>3:58</t>
        </is>
      </c>
      <c r="C11277" t="inlineStr">
        <is>
          <t>their inhabitants were forced to move on.</t>
        </is>
      </c>
      <c r="D11277">
        <f>HYPERLINK("https://www.youtube.com/watch?v=zs-zATBh_Ho&amp;t=238s", "Go to time")</f>
        <v/>
      </c>
    </row>
    <row r="11278">
      <c r="A11278">
        <f>HYPERLINK("https://www.youtube.com/watch?v=zs-zATBh_Ho", "Video")</f>
        <v/>
      </c>
      <c r="B11278" t="inlineStr">
        <is>
          <t>4:16</t>
        </is>
      </c>
      <c r="C11278" t="inlineStr">
        <is>
          <t>and there's evidence of some inhabitants
as recent as the early 20th century.</t>
        </is>
      </c>
      <c r="D11278">
        <f>HYPERLINK("https://www.youtube.com/watch?v=zs-zATBh_Ho&amp;t=256s", "Go to time")</f>
        <v/>
      </c>
    </row>
    <row r="11279">
      <c r="A11279">
        <f>HYPERLINK("https://www.youtube.com/watch?v=CtR5EkvLNfg", "Video")</f>
        <v/>
      </c>
      <c r="B11279" t="inlineStr">
        <is>
          <t>2:53</t>
        </is>
      </c>
      <c r="C11279" t="inlineStr">
        <is>
          <t>or to bring the space shuttle into orbit.</t>
        </is>
      </c>
      <c r="D11279">
        <f>HYPERLINK("https://www.youtube.com/watch?v=CtR5EkvLNfg&amp;t=173s", "Go to time")</f>
        <v/>
      </c>
    </row>
    <row r="11280">
      <c r="A11280">
        <f>HYPERLINK("https://www.youtube.com/watch?v=KdihphPp1Q0", "Video")</f>
        <v/>
      </c>
      <c r="B11280" t="inlineStr">
        <is>
          <t>2:00</t>
        </is>
      </c>
      <c r="C11280" t="inlineStr">
        <is>
          <t>there is a loss of this inhibitory
control in the dorsal horn,</t>
        </is>
      </c>
      <c r="D11280">
        <f>HYPERLINK("https://www.youtube.com/watch?v=KdihphPp1Q0&amp;t=120s", "Go to time")</f>
        <v/>
      </c>
    </row>
    <row r="11281">
      <c r="A11281">
        <f>HYPERLINK("https://www.youtube.com/watch?v=91XI7M9l3no", "Video")</f>
        <v/>
      </c>
      <c r="B11281" t="inlineStr">
        <is>
          <t>4:02</t>
        </is>
      </c>
      <c r="C11281" t="inlineStr">
        <is>
          <t>Einstein had thought a little bit more
about his theory,</t>
        </is>
      </c>
      <c r="D11281">
        <f>HYPERLINK("https://www.youtube.com/watch?v=91XI7M9l3no&amp;t=242s", "Go to time")</f>
        <v/>
      </c>
    </row>
    <row r="11282">
      <c r="A11282">
        <f>HYPERLINK("https://www.youtube.com/watch?v=jzqnUvE66HA", "Video")</f>
        <v/>
      </c>
      <c r="B11282" t="inlineStr">
        <is>
          <t>1:20</t>
        </is>
      </c>
      <c r="C11282" t="inlineStr">
        <is>
          <t>Let's fast forward a bit.</t>
        </is>
      </c>
      <c r="D11282">
        <f>HYPERLINK("https://www.youtube.com/watch?v=jzqnUvE66HA&amp;t=80s", "Go to time")</f>
        <v/>
      </c>
    </row>
    <row r="11283">
      <c r="A11283">
        <f>HYPERLINK("https://www.youtube.com/watch?v=8kIffc8Phfs", "Video")</f>
        <v/>
      </c>
      <c r="B11283" t="inlineStr">
        <is>
          <t>4:05</t>
        </is>
      </c>
      <c r="C11283" t="inlineStr">
        <is>
          <t>Raising your bite against the bitter dark</t>
        </is>
      </c>
      <c r="D11283">
        <f>HYPERLINK("https://www.youtube.com/watch?v=8kIffc8Phfs&amp;t=245s", "Go to time")</f>
        <v/>
      </c>
    </row>
    <row r="11284">
      <c r="A11284">
        <f>HYPERLINK("https://www.youtube.com/watch?v=awhOrqGb-TU", "Video")</f>
        <v/>
      </c>
      <c r="B11284" t="inlineStr">
        <is>
          <t>3:55</t>
        </is>
      </c>
      <c r="C11284" t="inlineStr">
        <is>
          <t>there are tools that can make dealing
with stress a bit easier.</t>
        </is>
      </c>
      <c r="D11284">
        <f>HYPERLINK("https://www.youtube.com/watch?v=awhOrqGb-TU&amp;t=235s", "Go to time")</f>
        <v/>
      </c>
    </row>
    <row r="11285">
      <c r="A11285">
        <f>HYPERLINK("https://www.youtube.com/watch?v=1aVGf4G72IA", "Video")</f>
        <v/>
      </c>
      <c r="B11285" t="inlineStr">
        <is>
          <t>3:35</t>
        </is>
      </c>
      <c r="C11285" t="inlineStr">
        <is>
          <t>phones okay next question a little bit</t>
        </is>
      </c>
      <c r="D11285">
        <f>HYPERLINK("https://www.youtube.com/watch?v=1aVGf4G72IA&amp;t=215s", "Go to time")</f>
        <v/>
      </c>
    </row>
    <row r="11286">
      <c r="A11286">
        <f>HYPERLINK("https://www.youtube.com/watch?v=1aVGf4G72IA", "Video")</f>
        <v/>
      </c>
      <c r="B11286" t="inlineStr">
        <is>
          <t>7:41</t>
        </is>
      </c>
      <c r="C11286" t="inlineStr">
        <is>
          <t>ambitious that's that's like as</t>
        </is>
      </c>
      <c r="D11286">
        <f>HYPERLINK("https://www.youtube.com/watch?v=1aVGf4G72IA&amp;t=461s", "Go to time")</f>
        <v/>
      </c>
    </row>
    <row r="11287">
      <c r="A11287">
        <f>HYPERLINK("https://www.youtube.com/watch?v=1aVGf4G72IA", "Video")</f>
        <v/>
      </c>
      <c r="B11287" t="inlineStr">
        <is>
          <t>7:43</t>
        </is>
      </c>
      <c r="C11287" t="inlineStr">
        <is>
          <t>ambitious as we are he wants to solve</t>
        </is>
      </c>
      <c r="D11287">
        <f>HYPERLINK("https://www.youtube.com/watch?v=1aVGf4G72IA&amp;t=463s", "Go to time")</f>
        <v/>
      </c>
    </row>
    <row r="11288">
      <c r="A11288">
        <f>HYPERLINK("https://www.youtube.com/watch?v=1aVGf4G72IA", "Video")</f>
        <v/>
      </c>
      <c r="B11288" t="inlineStr">
        <is>
          <t>9:59</t>
        </is>
      </c>
      <c r="C11288" t="inlineStr">
        <is>
          <t>problem and that whole bit that's over</t>
        </is>
      </c>
      <c r="D11288">
        <f>HYPERLINK("https://www.youtube.com/watch?v=1aVGf4G72IA&amp;t=599s", "Go to time")</f>
        <v/>
      </c>
    </row>
    <row r="11289">
      <c r="A11289">
        <f>HYPERLINK("https://www.youtube.com/watch?v=9_AuKM7S6TU", "Video")</f>
        <v/>
      </c>
      <c r="B11289" t="inlineStr">
        <is>
          <t>1:33</t>
        </is>
      </c>
      <c r="C11289" t="inlineStr">
        <is>
          <t>Then, using a bite almost 3 times stronger
than any other mammal of this size,</t>
        </is>
      </c>
      <c r="D11289">
        <f>HYPERLINK("https://www.youtube.com/watch?v=9_AuKM7S6TU&amp;t=93s", "Go to time")</f>
        <v/>
      </c>
    </row>
    <row r="11290">
      <c r="A11290">
        <f>HYPERLINK("https://www.youtube.com/watch?v=vzvVNAwJKMc", "Video")</f>
        <v/>
      </c>
      <c r="B11290" t="inlineStr">
        <is>
          <t>12:26</t>
        </is>
      </c>
      <c r="C11290" t="inlineStr">
        <is>
          <t>shame the family bit again it devastated</t>
        </is>
      </c>
      <c r="D11290">
        <f>HYPERLINK("https://www.youtube.com/watch?v=vzvVNAwJKMc&amp;t=746s", "Go to time")</f>
        <v/>
      </c>
    </row>
    <row r="11291">
      <c r="A11291">
        <f>HYPERLINK("https://www.youtube.com/watch?v=8aAivrIUH1s", "Video")</f>
        <v/>
      </c>
      <c r="B11291" t="inlineStr">
        <is>
          <t>1:57</t>
        </is>
      </c>
      <c r="C11291" t="inlineStr">
        <is>
          <t>deceptions a little bit later than these</t>
        </is>
      </c>
      <c r="D11291">
        <f>HYPERLINK("https://www.youtube.com/watch?v=8aAivrIUH1s&amp;t=117s", "Go to time")</f>
        <v/>
      </c>
    </row>
    <row r="11292">
      <c r="A11292">
        <f>HYPERLINK("https://www.youtube.com/watch?v=8aAivrIUH1s", "Video")</f>
        <v/>
      </c>
      <c r="B11292" t="inlineStr">
        <is>
          <t>2:43</t>
        </is>
      </c>
      <c r="C11292" t="inlineStr">
        <is>
          <t>Deception let me tell you a little bit</t>
        </is>
      </c>
      <c r="D11292">
        <f>HYPERLINK("https://www.youtube.com/watch?v=8aAivrIUH1s&amp;t=163s", "Go to time")</f>
        <v/>
      </c>
    </row>
    <row r="11293">
      <c r="A11293">
        <f>HYPERLINK("https://www.youtube.com/watch?v=8aAivrIUH1s", "Video")</f>
        <v/>
      </c>
      <c r="B11293" t="inlineStr">
        <is>
          <t>2:55</t>
        </is>
      </c>
      <c r="C11293" t="inlineStr">
        <is>
          <t>sounds a little bit like a weird book</t>
        </is>
      </c>
      <c r="D11293">
        <f>HYPERLINK("https://www.youtube.com/watch?v=8aAivrIUH1s&amp;t=175s", "Go to time")</f>
        <v/>
      </c>
    </row>
    <row r="11294">
      <c r="A11294">
        <f>HYPERLINK("https://www.youtube.com/watch?v=8aAivrIUH1s", "Video")</f>
        <v/>
      </c>
      <c r="B11294" t="inlineStr">
        <is>
          <t>9:12</t>
        </is>
      </c>
      <c r="C11294" t="inlineStr">
        <is>
          <t>but they always lied by a little bit one</t>
        </is>
      </c>
      <c r="D11294">
        <f>HYPERLINK("https://www.youtube.com/watch?v=8aAivrIUH1s&amp;t=552s", "Go to time")</f>
        <v/>
      </c>
    </row>
    <row r="11295">
      <c r="A11295">
        <f>HYPERLINK("https://www.youtube.com/watch?v=8aAivrIUH1s", "Video")</f>
        <v/>
      </c>
      <c r="B11295" t="inlineStr">
        <is>
          <t>10:52</t>
        </is>
      </c>
      <c r="C11295" t="inlineStr">
        <is>
          <t>little bit but not all the time not for</t>
        </is>
      </c>
      <c r="D11295">
        <f>HYPERLINK("https://www.youtube.com/watch?v=8aAivrIUH1s&amp;t=652s", "Go to time")</f>
        <v/>
      </c>
    </row>
    <row r="11296">
      <c r="A11296">
        <f>HYPERLINK("https://www.youtube.com/watch?v=8aAivrIUH1s", "Video")</f>
        <v/>
      </c>
      <c r="B11296" t="inlineStr">
        <is>
          <t>14:49</t>
        </is>
      </c>
      <c r="C11296" t="inlineStr">
        <is>
          <t>group you're actually a little bit</t>
        </is>
      </c>
      <c r="D11296">
        <f>HYPERLINK("https://www.youtube.com/watch?v=8aAivrIUH1s&amp;t=889s", "Go to time")</f>
        <v/>
      </c>
    </row>
    <row r="11297">
      <c r="A11297">
        <f>HYPERLINK("https://www.youtube.com/watch?v=8aAivrIUH1s", "Video")</f>
        <v/>
      </c>
      <c r="B11297" t="inlineStr">
        <is>
          <t>16:56</t>
        </is>
      </c>
      <c r="C11297" t="inlineStr">
        <is>
          <t>bit one of the big</t>
        </is>
      </c>
      <c r="D11297">
        <f>HYPERLINK("https://www.youtube.com/watch?v=8aAivrIUH1s&amp;t=1016s", "Go to time")</f>
        <v/>
      </c>
    </row>
    <row r="11298">
      <c r="A11298">
        <f>HYPERLINK("https://www.youtube.com/watch?v=qW0M5m4p9YY", "Video")</f>
        <v/>
      </c>
      <c r="B11298" t="inlineStr">
        <is>
          <t>5:16</t>
        </is>
      </c>
      <c r="C11298" t="inlineStr">
        <is>
          <t>shaving a little bit of time off of the</t>
        </is>
      </c>
      <c r="D11298">
        <f>HYPERLINK("https://www.youtube.com/watch?v=qW0M5m4p9YY&amp;t=316s", "Go to time")</f>
        <v/>
      </c>
    </row>
    <row r="11299">
      <c r="A11299">
        <f>HYPERLINK("https://www.youtube.com/watch?v=qW0M5m4p9YY", "Video")</f>
        <v/>
      </c>
      <c r="B11299" t="inlineStr">
        <is>
          <t>6:54</t>
        </is>
      </c>
      <c r="C11299" t="inlineStr">
        <is>
          <t>driver is is thinking quite a bit. Now,</t>
        </is>
      </c>
      <c r="D11299">
        <f>HYPERLINK("https://www.youtube.com/watch?v=qW0M5m4p9YY&amp;t=414s", "Go to time")</f>
        <v/>
      </c>
    </row>
    <row r="11300">
      <c r="A11300">
        <f>HYPERLINK("https://www.youtube.com/watch?v=qW0M5m4p9YY", "Video")</f>
        <v/>
      </c>
      <c r="B11300" t="inlineStr">
        <is>
          <t>9:50</t>
        </is>
      </c>
      <c r="C11300" t="inlineStr">
        <is>
          <t>bit more deeply as</t>
        </is>
      </c>
      <c r="D11300">
        <f>HYPERLINK("https://www.youtube.com/watch?v=qW0M5m4p9YY&amp;t=590s", "Go to time")</f>
        <v/>
      </c>
    </row>
    <row r="11301">
      <c r="A11301">
        <f>HYPERLINK("https://www.youtube.com/watch?v=B-vYGcl_nA8", "Video")</f>
        <v/>
      </c>
      <c r="B11301" t="inlineStr">
        <is>
          <t>0:09</t>
        </is>
      </c>
      <c r="C11301" t="inlineStr">
        <is>
          <t>you probably picture exhibits 
filled with ancient lifeless things,</t>
        </is>
      </c>
      <c r="D11301">
        <f>HYPERLINK("https://www.youtube.com/watch?v=B-vYGcl_nA8&amp;t=9s", "Go to time")</f>
        <v/>
      </c>
    </row>
    <row r="11302">
      <c r="A11302">
        <f>HYPERLINK("https://www.youtube.com/watch?v=rcAN4rkTmNU", "Video")</f>
        <v/>
      </c>
      <c r="B11302" t="inlineStr">
        <is>
          <t>3:44</t>
        </is>
      </c>
      <c r="C11302" t="inlineStr">
        <is>
          <t>from competing for the same habitats
and food sources.</t>
        </is>
      </c>
      <c r="D11302">
        <f>HYPERLINK("https://www.youtube.com/watch?v=rcAN4rkTmNU&amp;t=224s", "Go to time")</f>
        <v/>
      </c>
    </row>
    <row r="11303">
      <c r="A11303">
        <f>HYPERLINK("https://www.youtube.com/watch?v=sz3Yv3On4lE", "Video")</f>
        <v/>
      </c>
      <c r="B11303" t="inlineStr">
        <is>
          <t>3:06</t>
        </is>
      </c>
      <c r="C11303" t="inlineStr">
        <is>
          <t>which is a bit of a misnomer</t>
        </is>
      </c>
      <c r="D11303">
        <f>HYPERLINK("https://www.youtube.com/watch?v=sz3Yv3On4lE&amp;t=186s", "Go to time")</f>
        <v/>
      </c>
    </row>
    <row r="11304">
      <c r="A11304">
        <f>HYPERLINK("https://www.youtube.com/watch?v=Id3TCbpWR2M", "Video")</f>
        <v/>
      </c>
      <c r="B11304" t="inlineStr">
        <is>
          <t>3:39</t>
        </is>
      </c>
      <c r="C11304" t="inlineStr">
        <is>
          <t>who contorted themselves to explain 
anomalies in the planets’ orbits,</t>
        </is>
      </c>
      <c r="D11304">
        <f>HYPERLINK("https://www.youtube.com/watch?v=Id3TCbpWR2M&amp;t=219s", "Go to time")</f>
        <v/>
      </c>
    </row>
    <row r="11305">
      <c r="A11305">
        <f>HYPERLINK("https://www.youtube.com/watch?v=Id3TCbpWR2M", "Video")</f>
        <v/>
      </c>
      <c r="B11305" t="inlineStr">
        <is>
          <t>3:44</t>
        </is>
      </c>
      <c r="C11305" t="inlineStr">
        <is>
          <t>rather than questioning the premise 
that the planets orbited the Earth.</t>
        </is>
      </c>
      <c r="D11305">
        <f>HYPERLINK("https://www.youtube.com/watch?v=Id3TCbpWR2M&amp;t=224s", "Go to time")</f>
        <v/>
      </c>
    </row>
    <row r="11306">
      <c r="A11306">
        <f>HYPERLINK("https://www.youtube.com/watch?v=Id3TCbpWR2M", "Video")</f>
        <v/>
      </c>
      <c r="B11306" t="inlineStr">
        <is>
          <t>3:49</t>
        </is>
      </c>
      <c r="C11306" t="inlineStr">
        <is>
          <t>You modern humans may understand 
that the planets actually orbit the sun,</t>
        </is>
      </c>
      <c r="D11306">
        <f>HYPERLINK("https://www.youtube.com/watch?v=Id3TCbpWR2M&amp;t=229s", "Go to time")</f>
        <v/>
      </c>
    </row>
    <row r="11307">
      <c r="A11307">
        <f>HYPERLINK("https://www.youtube.com/watch?v=Id3TCbpWR2M", "Video")</f>
        <v/>
      </c>
      <c r="B11307" t="inlineStr">
        <is>
          <t>4:29</t>
        </is>
      </c>
      <c r="C11307" t="inlineStr">
        <is>
          <t>won’t mind hearing a bit more evidence.</t>
        </is>
      </c>
      <c r="D11307">
        <f>HYPERLINK("https://www.youtube.com/watch?v=Id3TCbpWR2M&amp;t=269s", "Go to time")</f>
        <v/>
      </c>
    </row>
    <row r="11308">
      <c r="A11308">
        <f>HYPERLINK("https://www.youtube.com/watch?v=9gfPZoyMyTU", "Video")</f>
        <v/>
      </c>
      <c r="B11308" t="inlineStr">
        <is>
          <t>2:02</t>
        </is>
      </c>
      <c r="C11308" t="inlineStr">
        <is>
          <t>Maybe there’s a way to shave a bit off
of a quarter to get exactly one fifth.</t>
        </is>
      </c>
      <c r="D11308">
        <f>HYPERLINK("https://www.youtube.com/watch?v=9gfPZoyMyTU&amp;t=122s", "Go to time")</f>
        <v/>
      </c>
    </row>
    <row r="11309">
      <c r="A11309">
        <f>HYPERLINK("https://www.youtube.com/watch?v=9gfPZoyMyTU", "Video")</f>
        <v/>
      </c>
      <c r="B11309" t="inlineStr">
        <is>
          <t>2:24</t>
        </is>
      </c>
      <c r="C11309" t="inlineStr">
        <is>
          <t>And is there a way to shave
just a bit more off?</t>
        </is>
      </c>
      <c r="D11309">
        <f>HYPERLINK("https://www.youtube.com/watch?v=9gfPZoyMyTU&amp;t=144s", "Go to time")</f>
        <v/>
      </c>
    </row>
    <row r="11310">
      <c r="A11310">
        <f>HYPERLINK("https://www.youtube.com/watch?v=6kmxzIY7mE8", "Video")</f>
        <v/>
      </c>
      <c r="B11310" t="inlineStr">
        <is>
          <t>3:05</t>
        </is>
      </c>
      <c r="C11310" t="inlineStr">
        <is>
          <t>a bit of meat, and a cup of wine.</t>
        </is>
      </c>
      <c r="D11310">
        <f>HYPERLINK("https://www.youtube.com/watch?v=6kmxzIY7mE8&amp;t=185s", "Go to time")</f>
        <v/>
      </c>
    </row>
    <row r="11311">
      <c r="A11311">
        <f>HYPERLINK("https://www.youtube.com/watch?v=yxsoE3jO8HM", "Video")</f>
        <v/>
      </c>
      <c r="B11311" t="inlineStr">
        <is>
          <t>3:18</t>
        </is>
      </c>
      <c r="C11311" t="inlineStr">
        <is>
          <t>Delaying or inhibiting the arrival of 
these cells in certain areas of the body</t>
        </is>
      </c>
      <c r="D11311">
        <f>HYPERLINK("https://www.youtube.com/watch?v=yxsoE3jO8HM&amp;t=198s", "Go to time")</f>
        <v/>
      </c>
    </row>
    <row r="11312">
      <c r="A11312">
        <f>HYPERLINK("https://www.youtube.com/watch?v=yxsoE3jO8HM", "Video")</f>
        <v/>
      </c>
      <c r="B11312" t="inlineStr">
        <is>
          <t>4:32</t>
        </is>
      </c>
      <c r="C11312" t="inlineStr">
        <is>
          <t>why would anyone ever want 
to squeeze or bite cute things?</t>
        </is>
      </c>
      <c r="D11312">
        <f>HYPERLINK("https://www.youtube.com/watch?v=yxsoE3jO8HM&amp;t=272s", "Go to time")</f>
        <v/>
      </c>
    </row>
    <row r="11313">
      <c r="A11313">
        <f>HYPERLINK("https://www.youtube.com/watch?v=YlxKh4oCKhw", "Video")</f>
        <v/>
      </c>
      <c r="B11313" t="inlineStr">
        <is>
          <t>0:18</t>
        </is>
      </c>
      <c r="C11313" t="inlineStr">
        <is>
          <t>as the two orbit each other 
every 9 hours.</t>
        </is>
      </c>
      <c r="D11313">
        <f>HYPERLINK("https://www.youtube.com/watch?v=YlxKh4oCKhw&amp;t=18s", "Go to time")</f>
        <v/>
      </c>
    </row>
    <row r="11314">
      <c r="A11314">
        <f>HYPERLINK("https://www.youtube.com/watch?v=YlxKh4oCKhw", "Video")</f>
        <v/>
      </c>
      <c r="B11314" t="inlineStr">
        <is>
          <t>2:57</t>
        </is>
      </c>
      <c r="C11314" t="inlineStr">
        <is>
          <t>Fortunately, it’s orbiting the planet 
fast enough that it never hits the ground.</t>
        </is>
      </c>
      <c r="D11314">
        <f>HYPERLINK("https://www.youtube.com/watch?v=YlxKh4oCKhw&amp;t=177s", "Go to time")</f>
        <v/>
      </c>
    </row>
    <row r="11315">
      <c r="A11315">
        <f>HYPERLINK("https://www.youtube.com/watch?v=_r4c2NT4naQ", "Video")</f>
        <v/>
      </c>
      <c r="B11315" t="inlineStr">
        <is>
          <t>4:30</t>
        </is>
      </c>
      <c r="C11315" t="inlineStr">
        <is>
          <t>that orbits the Sun.</t>
        </is>
      </c>
      <c r="D11315">
        <f>HYPERLINK("https://www.youtube.com/watch?v=_r4c2NT4naQ&amp;t=270s", "Go to time")</f>
        <v/>
      </c>
    </row>
    <row r="11316">
      <c r="A11316">
        <f>HYPERLINK("https://www.youtube.com/watch?v=_aAhcNjmvhc", "Video")</f>
        <v/>
      </c>
      <c r="B11316" t="inlineStr">
        <is>
          <t>1:37</t>
        </is>
      </c>
      <c r="C11316" t="inlineStr">
        <is>
          <t>Some of these, like a methyl group,
inhibit gene expression</t>
        </is>
      </c>
      <c r="D11316">
        <f>HYPERLINK("https://www.youtube.com/watch?v=_aAhcNjmvhc&amp;t=97s", "Go to time")</f>
        <v/>
      </c>
    </row>
    <row r="11317">
      <c r="A11317">
        <f>HYPERLINK("https://www.youtube.com/watch?v=_aAhcNjmvhc", "Video")</f>
        <v/>
      </c>
      <c r="B11317" t="inlineStr">
        <is>
          <t>2:22</t>
        </is>
      </c>
      <c r="C11317" t="inlineStr">
        <is>
          <t>and others inhibited.</t>
        </is>
      </c>
      <c r="D11317">
        <f>HYPERLINK("https://www.youtube.com/watch?v=_aAhcNjmvhc&amp;t=142s", "Go to time")</f>
        <v/>
      </c>
    </row>
    <row r="11318">
      <c r="A11318">
        <f>HYPERLINK("https://www.youtube.com/watch?v=o78pDcZAxF8", "Video")</f>
        <v/>
      </c>
      <c r="B11318" t="inlineStr">
        <is>
          <t>4:46</t>
        </is>
      </c>
      <c r="C11318" t="inlineStr">
        <is>
          <t>they want now this is a little bit of a</t>
        </is>
      </c>
      <c r="D11318">
        <f>HYPERLINK("https://www.youtube.com/watch?v=o78pDcZAxF8&amp;t=286s", "Go to time")</f>
        <v/>
      </c>
    </row>
    <row r="11319">
      <c r="A11319">
        <f>HYPERLINK("https://www.youtube.com/watch?v=o78pDcZAxF8", "Video")</f>
        <v/>
      </c>
      <c r="B11319" t="inlineStr">
        <is>
          <t>6:05</t>
        </is>
      </c>
      <c r="C11319" t="inlineStr">
        <is>
          <t>with the Ambitions of the leadership but</t>
        </is>
      </c>
      <c r="D11319">
        <f>HYPERLINK("https://www.youtube.com/watch?v=o78pDcZAxF8&amp;t=365s", "Go to time")</f>
        <v/>
      </c>
    </row>
    <row r="11320">
      <c r="A11320">
        <f>HYPERLINK("https://www.youtube.com/watch?v=o78pDcZAxF8", "Video")</f>
        <v/>
      </c>
      <c r="B11320" t="inlineStr">
        <is>
          <t>10:27</t>
        </is>
      </c>
      <c r="C11320" t="inlineStr">
        <is>
          <t>our own little dangly bits whether you</t>
        </is>
      </c>
      <c r="D11320">
        <f>HYPERLINK("https://www.youtube.com/watch?v=o78pDcZAxF8&amp;t=627s", "Go to time")</f>
        <v/>
      </c>
    </row>
    <row r="11321">
      <c r="A11321">
        <f>HYPERLINK("https://www.youtube.com/watch?v=o78pDcZAxF8", "Video")</f>
        <v/>
      </c>
      <c r="B11321" t="inlineStr">
        <is>
          <t>11:12</t>
        </is>
      </c>
      <c r="C11321" t="inlineStr">
        <is>
          <t>lobby with dangly bits now that I would</t>
        </is>
      </c>
      <c r="D11321">
        <f>HYPERLINK("https://www.youtube.com/watch?v=o78pDcZAxF8&amp;t=672s", "Go to time")</f>
        <v/>
      </c>
    </row>
    <row r="11322">
      <c r="A11322">
        <f>HYPERLINK("https://www.youtube.com/watch?v=BvLolPN8NvU", "Video")</f>
        <v/>
      </c>
      <c r="B11322" t="inlineStr">
        <is>
          <t>2:37</t>
        </is>
      </c>
      <c r="C11322" t="inlineStr">
        <is>
          <t>and the other non-biting 
members of the Diptera order</t>
        </is>
      </c>
      <c r="D11322">
        <f>HYPERLINK("https://www.youtube.com/watch?v=BvLolPN8NvU&amp;t=157s", "Go to time")</f>
        <v/>
      </c>
    </row>
    <row r="11323">
      <c r="A11323">
        <f>HYPERLINK("https://www.youtube.com/watch?v=BvLolPN8NvU", "Video")</f>
        <v/>
      </c>
      <c r="B11323" t="inlineStr">
        <is>
          <t>2:44</t>
        </is>
      </c>
      <c r="C11323" t="inlineStr">
        <is>
          <t>Biting flies within Diptera,</t>
        </is>
      </c>
      <c r="D11323">
        <f>HYPERLINK("https://www.youtube.com/watch?v=BvLolPN8NvU&amp;t=164s", "Go to time")</f>
        <v/>
      </c>
    </row>
    <row r="11324">
      <c r="A11324">
        <f>HYPERLINK("https://www.youtube.com/watch?v=BvLolPN8NvU", "Video")</f>
        <v/>
      </c>
      <c r="B11324" t="inlineStr">
        <is>
          <t>3:47</t>
        </is>
      </c>
      <c r="C11324" t="inlineStr">
        <is>
          <t>biting your arm,</t>
        </is>
      </c>
      <c r="D11324">
        <f>HYPERLINK("https://www.youtube.com/watch?v=BvLolPN8NvU&amp;t=227s", "Go to time")</f>
        <v/>
      </c>
    </row>
    <row r="11325">
      <c r="A11325">
        <f>HYPERLINK("https://www.youtube.com/watch?v=Cd-artSbpXc", "Video")</f>
        <v/>
      </c>
      <c r="B11325" t="inlineStr">
        <is>
          <t>0:48</t>
        </is>
      </c>
      <c r="C11325" t="inlineStr">
        <is>
          <t>each introducing its own variations on
the theme to survive in unique habitats.</t>
        </is>
      </c>
      <c r="D11325">
        <f>HYPERLINK("https://www.youtube.com/watch?v=Cd-artSbpXc&amp;t=48s", "Go to time")</f>
        <v/>
      </c>
    </row>
    <row r="11326">
      <c r="A11326">
        <f>HYPERLINK("https://www.youtube.com/watch?v=Cd-artSbpXc", "Video")</f>
        <v/>
      </c>
      <c r="B11326" t="inlineStr">
        <is>
          <t>1:01</t>
        </is>
      </c>
      <c r="C11326" t="inlineStr">
        <is>
          <t>that inhabit earth’s rivers, 
lakes, and seas?</t>
        </is>
      </c>
      <c r="D11326">
        <f>HYPERLINK("https://www.youtube.com/watch?v=Cd-artSbpXc&amp;t=61s", "Go to time")</f>
        <v/>
      </c>
    </row>
    <row r="11327">
      <c r="A11327">
        <f>HYPERLINK("https://www.youtube.com/watch?v=Cd-artSbpXc", "Video")</f>
        <v/>
      </c>
      <c r="B11327" t="inlineStr">
        <is>
          <t>2:49</t>
        </is>
      </c>
      <c r="C11327" t="inlineStr">
        <is>
          <t>that have to navigate complex habitats.</t>
        </is>
      </c>
      <c r="D11327">
        <f>HYPERLINK("https://www.youtube.com/watch?v=Cd-artSbpXc&amp;t=169s", "Go to time")</f>
        <v/>
      </c>
    </row>
    <row r="11328">
      <c r="A11328">
        <f>HYPERLINK("https://www.youtube.com/watch?v=Cd-artSbpXc", "Video")</f>
        <v/>
      </c>
      <c r="B11328" t="inlineStr">
        <is>
          <t>3:01</t>
        </is>
      </c>
      <c r="C11328" t="inlineStr">
        <is>
          <t>That conveniently allows them 
to inhabit shallow seas</t>
        </is>
      </c>
      <c r="D11328">
        <f>HYPERLINK("https://www.youtube.com/watch?v=Cd-artSbpXc&amp;t=181s", "Go to time")</f>
        <v/>
      </c>
    </row>
    <row r="11329">
      <c r="A11329">
        <f>HYPERLINK("https://www.youtube.com/watch?v=z9HIYjRRaDE", "Video")</f>
        <v/>
      </c>
      <c r="B11329" t="inlineStr">
        <is>
          <t>2:50</t>
        </is>
      </c>
      <c r="C11329" t="inlineStr">
        <is>
          <t>So when the snake bit its prey,
this enzyme got into the animal's wound.</t>
        </is>
      </c>
      <c r="D11329">
        <f>HYPERLINK("https://www.youtube.com/watch?v=z9HIYjRRaDE&amp;t=170s", "Go to time")</f>
        <v/>
      </c>
    </row>
    <row r="11330">
      <c r="A11330">
        <f>HYPERLINK("https://www.youtube.com/watch?v=r_t96FqWE4M", "Video")</f>
        <v/>
      </c>
      <c r="B11330" t="inlineStr">
        <is>
          <t>0:54</t>
        </is>
      </c>
      <c r="C11330" t="inlineStr">
        <is>
          <t>Classical computers process 
data in the form of bits.</t>
        </is>
      </c>
      <c r="D11330">
        <f>HYPERLINK("https://www.youtube.com/watch?v=r_t96FqWE4M&amp;t=54s", "Go to time")</f>
        <v/>
      </c>
    </row>
    <row r="11331">
      <c r="A11331">
        <f>HYPERLINK("https://www.youtube.com/watch?v=r_t96FqWE4M", "Video")</f>
        <v/>
      </c>
      <c r="B11331" t="inlineStr">
        <is>
          <t>0:58</t>
        </is>
      </c>
      <c r="C11331" t="inlineStr">
        <is>
          <t>Each bit can switch between two states 
labeled zero and one.</t>
        </is>
      </c>
      <c r="D11331">
        <f>HYPERLINK("https://www.youtube.com/watch?v=r_t96FqWE4M&amp;t=58s", "Go to time")</f>
        <v/>
      </c>
    </row>
    <row r="11332">
      <c r="A11332">
        <f>HYPERLINK("https://www.youtube.com/watch?v=r_t96FqWE4M", "Video")</f>
        <v/>
      </c>
      <c r="B11332" t="inlineStr">
        <is>
          <t>1:03</t>
        </is>
      </c>
      <c r="C11332" t="inlineStr">
        <is>
          <t>A quantum computer uses something 
called a qubit,</t>
        </is>
      </c>
      <c r="D11332">
        <f>HYPERLINK("https://www.youtube.com/watch?v=r_t96FqWE4M&amp;t=63s", "Go to time")</f>
        <v/>
      </c>
    </row>
    <row r="11333">
      <c r="A11333">
        <f>HYPERLINK("https://www.youtube.com/watch?v=r_t96FqWE4M", "Video")</f>
        <v/>
      </c>
      <c r="B11333" t="inlineStr">
        <is>
          <t>1:11</t>
        </is>
      </c>
      <c r="C11333" t="inlineStr">
        <is>
          <t>While the qubit is in its superposition,</t>
        </is>
      </c>
      <c r="D11333">
        <f>HYPERLINK("https://www.youtube.com/watch?v=r_t96FqWE4M&amp;t=71s", "Go to time")</f>
        <v/>
      </c>
    </row>
    <row r="11334">
      <c r="A11334">
        <f>HYPERLINK("https://www.youtube.com/watch?v=r_t96FqWE4M", "Video")</f>
        <v/>
      </c>
      <c r="B11334" t="inlineStr">
        <is>
          <t>1:24</t>
        </is>
      </c>
      <c r="C11334" t="inlineStr">
        <is>
          <t>A bit can only switch between 
these two poles,</t>
        </is>
      </c>
      <c r="D11334">
        <f>HYPERLINK("https://www.youtube.com/watch?v=r_t96FqWE4M&amp;t=84s", "Go to time")</f>
        <v/>
      </c>
    </row>
    <row r="11335">
      <c r="A11335">
        <f>HYPERLINK("https://www.youtube.com/watch?v=r_t96FqWE4M", "Video")</f>
        <v/>
      </c>
      <c r="B11335" t="inlineStr">
        <is>
          <t>1:27</t>
        </is>
      </c>
      <c r="C11335" t="inlineStr">
        <is>
          <t>but when a qubit is in its superposition,</t>
        </is>
      </c>
      <c r="D11335">
        <f>HYPERLINK("https://www.youtube.com/watch?v=r_t96FqWE4M&amp;t=87s", "Go to time")</f>
        <v/>
      </c>
    </row>
    <row r="11336">
      <c r="A11336">
        <f>HYPERLINK("https://www.youtube.com/watch?v=r_t96FqWE4M", "Video")</f>
        <v/>
      </c>
      <c r="B11336" t="inlineStr">
        <is>
          <t>1:33</t>
        </is>
      </c>
      <c r="C11336" t="inlineStr">
        <is>
          <t>the moment we read it, the qubit resolves 
into a zero or a one.</t>
        </is>
      </c>
      <c r="D11336">
        <f>HYPERLINK("https://www.youtube.com/watch?v=r_t96FqWE4M&amp;t=93s", "Go to time")</f>
        <v/>
      </c>
    </row>
    <row r="11337">
      <c r="A11337">
        <f>HYPERLINK("https://www.youtube.com/watch?v=r_t96FqWE4M", "Video")</f>
        <v/>
      </c>
      <c r="B11337" t="inlineStr">
        <is>
          <t>1:38</t>
        </is>
      </c>
      <c r="C11337" t="inlineStr">
        <is>
          <t>But even though we can’t observe the 
qubit in its superposition,</t>
        </is>
      </c>
      <c r="D11337">
        <f>HYPERLINK("https://www.youtube.com/watch?v=r_t96FqWE4M&amp;t=98s", "Go to time")</f>
        <v/>
      </c>
    </row>
    <row r="11338">
      <c r="A11338">
        <f>HYPERLINK("https://www.youtube.com/watch?v=r_t96FqWE4M", "Video")</f>
        <v/>
      </c>
      <c r="B11338" t="inlineStr">
        <is>
          <t>1:49</t>
        </is>
      </c>
      <c r="C11338" t="inlineStr">
        <is>
          <t>a classical computer needs correspondingly
more bits to solve it,</t>
        </is>
      </c>
      <c r="D11338">
        <f>HYPERLINK("https://www.youtube.com/watch?v=r_t96FqWE4M&amp;t=109s", "Go to time")</f>
        <v/>
      </c>
    </row>
    <row r="11339">
      <c r="A11339">
        <f>HYPERLINK("https://www.youtube.com/watch?v=r_t96FqWE4M", "Video")</f>
        <v/>
      </c>
      <c r="B11339" t="inlineStr">
        <is>
          <t>1:59</t>
        </is>
      </c>
      <c r="C11339" t="inlineStr">
        <is>
          <t>without requiring as many more qubits as a
classical computer would need bits.</t>
        </is>
      </c>
      <c r="D11339">
        <f>HYPERLINK("https://www.youtube.com/watch?v=r_t96FqWE4M&amp;t=119s", "Go to time")</f>
        <v/>
      </c>
    </row>
    <row r="11340">
      <c r="A11340">
        <f>HYPERLINK("https://www.youtube.com/watch?v=r_t96FqWE4M", "Video")</f>
        <v/>
      </c>
      <c r="B11340" t="inlineStr">
        <is>
          <t>2:12</t>
        </is>
      </c>
      <c r="C11340" t="inlineStr">
        <is>
          <t>which correspond to the 
state of the qubit.</t>
        </is>
      </c>
      <c r="D11340">
        <f>HYPERLINK("https://www.youtube.com/watch?v=r_t96FqWE4M&amp;t=132s", "Go to time")</f>
        <v/>
      </c>
    </row>
    <row r="11341">
      <c r="A11341">
        <f>HYPERLINK("https://www.youtube.com/watch?v=r_t96FqWE4M", "Video")</f>
        <v/>
      </c>
      <c r="B11341" t="inlineStr">
        <is>
          <t>2:35</t>
        </is>
      </c>
      <c r="C11341" t="inlineStr">
        <is>
          <t>So far, we can only control a few qubits 
in the same place at the same time.</t>
        </is>
      </c>
      <c r="D11341">
        <f>HYPERLINK("https://www.youtube.com/watch?v=r_t96FqWE4M&amp;t=155s", "Go to time")</f>
        <v/>
      </c>
    </row>
    <row r="11342">
      <c r="A11342">
        <f>HYPERLINK("https://www.youtube.com/watch?v=r_t96FqWE4M", "Video")</f>
        <v/>
      </c>
      <c r="B11342" t="inlineStr">
        <is>
          <t>2:55</t>
        </is>
      </c>
      <c r="C11342" t="inlineStr">
        <is>
          <t>trapped ions and superconducting qubits.</t>
        </is>
      </c>
      <c r="D11342">
        <f>HYPERLINK("https://www.youtube.com/watch?v=r_t96FqWE4M&amp;t=175s", "Go to time")</f>
        <v/>
      </c>
    </row>
    <row r="11343">
      <c r="A11343">
        <f>HYPERLINK("https://www.youtube.com/watch?v=r_t96FqWE4M", "Video")</f>
        <v/>
      </c>
      <c r="B11343" t="inlineStr">
        <is>
          <t>3:13</t>
        </is>
      </c>
      <c r="C11343" t="inlineStr">
        <is>
          <t>by causing the qubit state 
to rotate on the sphere.</t>
        </is>
      </c>
      <c r="D11343">
        <f>HYPERLINK("https://www.youtube.com/watch?v=r_t96FqWE4M&amp;t=193s", "Go to time")</f>
        <v/>
      </c>
    </row>
    <row r="11344">
      <c r="A11344">
        <f>HYPERLINK("https://www.youtube.com/watch?v=r_t96FqWE4M", "Video")</f>
        <v/>
      </c>
      <c r="B11344" t="inlineStr">
        <is>
          <t>3:26</t>
        </is>
      </c>
      <c r="C11344" t="inlineStr">
        <is>
          <t>the state of the qubit determines whether
the ion emits photons</t>
        </is>
      </c>
      <c r="D11344">
        <f>HYPERLINK("https://www.youtube.com/watch?v=r_t96FqWE4M&amp;t=206s", "Go to time")</f>
        <v/>
      </c>
    </row>
    <row r="11345">
      <c r="A11345">
        <f>HYPERLINK("https://www.youtube.com/watch?v=r_t96FqWE4M", "Video")</f>
        <v/>
      </c>
      <c r="B11345" t="inlineStr">
        <is>
          <t>3:39</t>
        </is>
      </c>
      <c r="C11345" t="inlineStr">
        <is>
          <t>Superconducting qubit quantum computers
do the same thing in a different way:</t>
        </is>
      </c>
      <c r="D11345">
        <f>HYPERLINK("https://www.youtube.com/watch?v=r_t96FqWE4M&amp;t=219s", "Go to time")</f>
        <v/>
      </c>
    </row>
    <row r="11346">
      <c r="A11346">
        <f>HYPERLINK("https://www.youtube.com/watch?v=r_t96FqWE4M", "Video")</f>
        <v/>
      </c>
      <c r="B11346" t="inlineStr">
        <is>
          <t>3:47</t>
        </is>
      </c>
      <c r="C11346" t="inlineStr">
        <is>
          <t>The states of each electrical circuit 
translate to the state of the qubit.</t>
        </is>
      </c>
      <c r="D11346">
        <f>HYPERLINK("https://www.youtube.com/watch?v=r_t96FqWE4M&amp;t=227s", "Go to time")</f>
        <v/>
      </c>
    </row>
    <row r="11347">
      <c r="A11347">
        <f>HYPERLINK("https://www.youtube.com/watch?v=r_t96FqWE4M", "Video")</f>
        <v/>
      </c>
      <c r="B11347" t="inlineStr">
        <is>
          <t>3:57</t>
        </is>
      </c>
      <c r="C11347" t="inlineStr">
        <is>
          <t>So: the qubits come from either ions 
or electrical circuits,</t>
        </is>
      </c>
      <c r="D11347">
        <f>HYPERLINK("https://www.youtube.com/watch?v=r_t96FqWE4M&amp;t=237s", "Go to time")</f>
        <v/>
      </c>
    </row>
    <row r="11348">
      <c r="A11348">
        <f>HYPERLINK("https://www.youtube.com/watch?v=cg_NLOQxFuo", "Video")</f>
        <v/>
      </c>
      <c r="B11348" t="inlineStr">
        <is>
          <t>0:26</t>
        </is>
      </c>
      <c r="C11348" t="inlineStr">
        <is>
          <t>and worst of all, 
a monstrous beast with a deadly bite.</t>
        </is>
      </c>
      <c r="D11348">
        <f>HYPERLINK("https://www.youtube.com/watch?v=cg_NLOQxFuo&amp;t=26s", "Go to time")</f>
        <v/>
      </c>
    </row>
    <row r="11349">
      <c r="A11349">
        <f>HYPERLINK("https://www.youtube.com/watch?v=cg_NLOQxFuo", "Video")</f>
        <v/>
      </c>
      <c r="B11349" t="inlineStr">
        <is>
          <t>4:38</t>
        </is>
      </c>
      <c r="C11349" t="inlineStr">
        <is>
          <t>With a howl of fury, 
he bit through Tyr’s wrist</t>
        </is>
      </c>
      <c r="D11349">
        <f>HYPERLINK("https://www.youtube.com/watch?v=cg_NLOQxFuo&amp;t=278s", "Go to time")</f>
        <v/>
      </c>
    </row>
    <row r="11350">
      <c r="A11350">
        <f>HYPERLINK("https://www.youtube.com/watch?v=ZJZsM4flpN4", "Video")</f>
        <v/>
      </c>
      <c r="B11350" t="inlineStr">
        <is>
          <t>1:50</t>
        </is>
      </c>
      <c r="C11350" t="inlineStr">
        <is>
          <t>And one in three bites of food that we eat</t>
        </is>
      </c>
      <c r="D11350">
        <f>HYPERLINK("https://www.youtube.com/watch?v=ZJZsM4flpN4&amp;t=110s", "Go to time")</f>
        <v/>
      </c>
    </row>
    <row r="11351">
      <c r="A11351">
        <f>HYPERLINK("https://www.youtube.com/watch?v=ZJZsM4flpN4", "Video")</f>
        <v/>
      </c>
      <c r="B11351" t="inlineStr">
        <is>
          <t>5:33</t>
        </is>
      </c>
      <c r="C11351" t="inlineStr">
        <is>
          <t>Create a habitat where
bees can nest and live</t>
        </is>
      </c>
      <c r="D11351">
        <f>HYPERLINK("https://www.youtube.com/watch?v=ZJZsM4flpN4&amp;t=333s", "Go to time")</f>
        <v/>
      </c>
    </row>
    <row r="11352">
      <c r="A11352">
        <f>HYPERLINK("https://www.youtube.com/watch?v=IFhns9MOUt8", "Video")</f>
        <v/>
      </c>
      <c r="B11352" t="inlineStr">
        <is>
          <t>1:13</t>
        </is>
      </c>
      <c r="C11352" t="inlineStr">
        <is>
          <t>The inhabitants of this kingdom had
both Gaelic and Norse roots,</t>
        </is>
      </c>
      <c r="D11352">
        <f>HYPERLINK("https://www.youtube.com/watch?v=IFhns9MOUt8&amp;t=73s", "Go to time")</f>
        <v/>
      </c>
    </row>
    <row r="11353">
      <c r="A11353">
        <f>HYPERLINK("https://www.youtube.com/watch?v=IFhns9MOUt8", "Video")</f>
        <v/>
      </c>
      <c r="B11353" t="inlineStr">
        <is>
          <t>2:23</t>
        </is>
      </c>
      <c r="C11353" t="inlineStr">
        <is>
          <t>but they had a particularly bitter rivalry
with another dynasty in their own isles:</t>
        </is>
      </c>
      <c r="D11353">
        <f>HYPERLINK("https://www.youtube.com/watch?v=IFhns9MOUt8&amp;t=143s", "Go to time")</f>
        <v/>
      </c>
    </row>
    <row r="11354">
      <c r="A11354">
        <f>HYPERLINK("https://www.youtube.com/watch?v=IFhns9MOUt8", "Video")</f>
        <v/>
      </c>
      <c r="B11354" t="inlineStr">
        <is>
          <t>2:57</t>
        </is>
      </c>
      <c r="C11354" t="inlineStr">
        <is>
          <t>Family feuds often blossomed
into bitter civil wars.</t>
        </is>
      </c>
      <c r="D11354">
        <f>HYPERLINK("https://www.youtube.com/watch?v=IFhns9MOUt8&amp;t=177s", "Go to time")</f>
        <v/>
      </c>
    </row>
    <row r="11355">
      <c r="A11355">
        <f>HYPERLINK("https://www.youtube.com/watch?v=hyg7lcU4g8E", "Video")</f>
        <v/>
      </c>
      <c r="B11355" t="inlineStr">
        <is>
          <t>2:56</t>
        </is>
      </c>
      <c r="C11355" t="inlineStr">
        <is>
          <t>the amygdala inhibits, 
or lessens the activity of,</t>
        </is>
      </c>
      <c r="D11355">
        <f>HYPERLINK("https://www.youtube.com/watch?v=hyg7lcU4g8E&amp;t=176s", "Go to time")</f>
        <v/>
      </c>
    </row>
    <row r="11356">
      <c r="A11356">
        <f>HYPERLINK("https://www.youtube.com/watch?v=hyg7lcU4g8E", "Video")</f>
        <v/>
      </c>
      <c r="B11356" t="inlineStr">
        <is>
          <t>3:01</t>
        </is>
      </c>
      <c r="C11356" t="inlineStr">
        <is>
          <t>The reason for this inhibition
is so the fight/flight/freeze response</t>
        </is>
      </c>
      <c r="D11356">
        <f>HYPERLINK("https://www.youtube.com/watch?v=hyg7lcU4g8E&amp;t=181s", "Go to time")</f>
        <v/>
      </c>
    </row>
    <row r="11357">
      <c r="A11357">
        <f>HYPERLINK("https://www.youtube.com/watch?v=Bsp5JYNMAQE", "Video")</f>
        <v/>
      </c>
      <c r="B11357" t="inlineStr">
        <is>
          <t>0:35</t>
        </is>
      </c>
      <c r="C11357" t="inlineStr">
        <is>
          <t>other worlds inhabited by known human beings,</t>
        </is>
      </c>
      <c r="D11357">
        <f>HYPERLINK("https://www.youtube.com/watch?v=Bsp5JYNMAQE&amp;t=35s", "Go to time")</f>
        <v/>
      </c>
    </row>
    <row r="11358">
      <c r="A11358">
        <f>HYPERLINK("https://www.youtube.com/watch?v=Bsp5JYNMAQE", "Video")</f>
        <v/>
      </c>
      <c r="B11358" t="inlineStr">
        <is>
          <t>1:06</t>
        </is>
      </c>
      <c r="C11358" t="inlineStr">
        <is>
          <t>So, planets within such a habitable range</t>
        </is>
      </c>
      <c r="D11358">
        <f>HYPERLINK("https://www.youtube.com/watch?v=Bsp5JYNMAQE&amp;t=66s", "Go to time")</f>
        <v/>
      </c>
    </row>
    <row r="11359">
      <c r="A11359">
        <f>HYPERLINK("https://www.youtube.com/watch?v=Bsp5JYNMAQE", "Video")</f>
        <v/>
      </c>
      <c r="B11359" t="inlineStr">
        <is>
          <t>2:24</t>
        </is>
      </c>
      <c r="C11359" t="inlineStr">
        <is>
          <t>Evidence from orbit suggest past traces of water,</t>
        </is>
      </c>
      <c r="D11359">
        <f>HYPERLINK("https://www.youtube.com/watch?v=Bsp5JYNMAQE&amp;t=144s", "Go to time")</f>
        <v/>
      </c>
    </row>
    <row r="11360">
      <c r="A11360">
        <f>HYPERLINK("https://www.youtube.com/watch?v=zLAYGZeVTPQ", "Video")</f>
        <v/>
      </c>
      <c r="B11360" t="inlineStr">
        <is>
          <t>5:08</t>
        </is>
      </c>
      <c r="C11360" t="inlineStr">
        <is>
          <t>and the bittersweet compromise
between life and death.</t>
        </is>
      </c>
      <c r="D11360">
        <f>HYPERLINK("https://www.youtube.com/watch?v=zLAYGZeVTPQ&amp;t=308s", "Go to time")</f>
        <v/>
      </c>
    </row>
    <row r="11361">
      <c r="A11361">
        <f>HYPERLINK("https://www.youtube.com/watch?v=iEFz9KzOB1g", "Video")</f>
        <v/>
      </c>
      <c r="B11361" t="inlineStr">
        <is>
          <t>9:27</t>
        </is>
      </c>
      <c r="C11361" t="inlineStr">
        <is>
          <t>although your demeanor
is a bit aggravating.</t>
        </is>
      </c>
      <c r="D11361">
        <f>HYPERLINK("https://www.youtube.com/watch?v=iEFz9KzOB1g&amp;t=567s", "Go to time")</f>
        <v/>
      </c>
    </row>
    <row r="11362">
      <c r="A11362">
        <f>HYPERLINK("https://www.youtube.com/watch?v=7Lg4vjRY4Ts", "Video")</f>
        <v/>
      </c>
      <c r="B11362" t="inlineStr">
        <is>
          <t>3:03</t>
        </is>
      </c>
      <c r="C11362" t="inlineStr">
        <is>
          <t>represented the teetotalers
of the prohibition party.</t>
        </is>
      </c>
      <c r="D11362">
        <f>HYPERLINK("https://www.youtube.com/watch?v=7Lg4vjRY4Ts&amp;t=183s", "Go to time")</f>
        <v/>
      </c>
    </row>
    <row r="11363">
      <c r="A11363">
        <f>HYPERLINK("https://www.youtube.com/watch?v=2S6e11NBwiw", "Video")</f>
        <v/>
      </c>
      <c r="B11363" t="inlineStr">
        <is>
          <t>1:51</t>
        </is>
      </c>
      <c r="C11363" t="inlineStr">
        <is>
          <t>If we add some oxygen
and a little bit of energy,</t>
        </is>
      </c>
      <c r="D11363">
        <f>HYPERLINK("https://www.youtube.com/watch?v=2S6e11NBwiw&amp;t=111s", "Go to time")</f>
        <v/>
      </c>
    </row>
    <row r="11364">
      <c r="A11364">
        <f>HYPERLINK("https://www.youtube.com/watch?v=Z2vzrQWny_c", "Video")</f>
        <v/>
      </c>
      <c r="B11364" t="inlineStr">
        <is>
          <t>2:49</t>
        </is>
      </c>
      <c r="C11364" t="inlineStr">
        <is>
          <t>was no longer available 
to Earth’s inhabitants.</t>
        </is>
      </c>
      <c r="D11364">
        <f>HYPERLINK("https://www.youtube.com/watch?v=Z2vzrQWny_c&amp;t=169s", "Go to time")</f>
        <v/>
      </c>
    </row>
    <row r="11365">
      <c r="A11365">
        <f>HYPERLINK("https://www.youtube.com/watch?v=q8Ent5CXhfY", "Video")</f>
        <v/>
      </c>
      <c r="B11365" t="inlineStr">
        <is>
          <t>3:40</t>
        </is>
      </c>
      <c r="C11365" t="inlineStr">
        <is>
          <t>One of the most technically ambitious
projects in human history</t>
        </is>
      </c>
      <c r="D11365">
        <f>HYPERLINK("https://www.youtube.com/watch?v=q8Ent5CXhfY&amp;t=220s", "Go to time")</f>
        <v/>
      </c>
    </row>
    <row r="11366">
      <c r="A11366">
        <f>HYPERLINK("https://www.youtube.com/watch?v=g9Szzb2YBXY", "Video")</f>
        <v/>
      </c>
      <c r="B11366" t="inlineStr">
        <is>
          <t>0:06</t>
        </is>
      </c>
      <c r="C11366" t="inlineStr">
        <is>
          <t>If you were a jackrabbit hopping 
through the desert,</t>
        </is>
      </c>
      <c r="D11366">
        <f>HYPERLINK("https://www.youtube.com/watch?v=g9Szzb2YBXY&amp;t=6s", "Go to time")</f>
        <v/>
      </c>
    </row>
    <row r="11367">
      <c r="A11367">
        <f>HYPERLINK("https://www.youtube.com/watch?v=HGl3_92KW7I", "Video")</f>
        <v/>
      </c>
      <c r="B11367" t="inlineStr">
        <is>
          <t>0:38</t>
        </is>
      </c>
      <c r="C11367" t="inlineStr">
        <is>
          <t>or accidentally biting off
some of that paper plate.</t>
        </is>
      </c>
      <c r="D11367">
        <f>HYPERLINK("https://www.youtube.com/watch?v=HGl3_92KW7I&amp;t=38s", "Go to time")</f>
        <v/>
      </c>
    </row>
    <row r="11368">
      <c r="A11368">
        <f>HYPERLINK("https://www.youtube.com/watch?v=HGl3_92KW7I", "Video")</f>
        <v/>
      </c>
      <c r="B11368" t="inlineStr">
        <is>
          <t>0:46</t>
        </is>
      </c>
      <c r="C11368" t="inlineStr">
        <is>
          <t>a little bit about the math
of curved shapes</t>
        </is>
      </c>
      <c r="D11368">
        <f>HYPERLINK("https://www.youtube.com/watch?v=HGl3_92KW7I&amp;t=46s", "Go to time")</f>
        <v/>
      </c>
    </row>
    <row r="11369">
      <c r="A11369">
        <f>HYPERLINK("https://www.youtube.com/watch?v=fNUQ8RnuUFk", "Video")</f>
        <v/>
      </c>
      <c r="B11369" t="inlineStr">
        <is>
          <t>2:43</t>
        </is>
      </c>
      <c r="C11369" t="inlineStr">
        <is>
          <t>in possessing an arbitrary skill,</t>
        </is>
      </c>
      <c r="D11369">
        <f>HYPERLINK("https://www.youtube.com/watch?v=fNUQ8RnuUFk&amp;t=163s", "Go to time")</f>
        <v/>
      </c>
    </row>
    <row r="11370">
      <c r="A11370">
        <f>HYPERLINK("https://www.youtube.com/watch?v=QjVqIW281Qo", "Video")</f>
        <v/>
      </c>
      <c r="B11370" t="inlineStr">
        <is>
          <t>2:28</t>
        </is>
      </c>
      <c r="C11370" t="inlineStr">
        <is>
          <t>They’re able to zero in on a rabbit 
from more than three kilometers away.</t>
        </is>
      </c>
      <c r="D11370">
        <f>HYPERLINK("https://www.youtube.com/watch?v=QjVqIW281Qo&amp;t=148s", "Go to time")</f>
        <v/>
      </c>
    </row>
    <row r="11371">
      <c r="A11371">
        <f>HYPERLINK("https://www.youtube.com/watch?v=UjaAxUO6-Uw", "Video")</f>
        <v/>
      </c>
      <c r="B11371" t="inlineStr">
        <is>
          <t>3:00</t>
        </is>
      </c>
      <c r="C11371" t="inlineStr">
        <is>
          <t>An electron near the nucleus of an atom
exists in a spread out, wave-like orbit.</t>
        </is>
      </c>
      <c r="D11371">
        <f>HYPERLINK("https://www.youtube.com/watch?v=UjaAxUO6-Uw&amp;t=180s", "Go to time")</f>
        <v/>
      </c>
    </row>
    <row r="11372">
      <c r="A11372">
        <f>HYPERLINK("https://www.youtube.com/watch?v=vcPJkz-D5II", "Video")</f>
        <v/>
      </c>
      <c r="B11372" t="inlineStr">
        <is>
          <t>1:08</t>
        </is>
      </c>
      <c r="C11372" t="inlineStr">
        <is>
          <t>A penis deposits a bit of sperm</t>
        </is>
      </c>
      <c r="D11372">
        <f>HYPERLINK("https://www.youtube.com/watch?v=vcPJkz-D5II&amp;t=68s", "Go to time")</f>
        <v/>
      </c>
    </row>
    <row r="11373">
      <c r="A11373">
        <f>HYPERLINK("https://www.youtube.com/watch?v=wr3kUfW2fM0", "Video")</f>
        <v/>
      </c>
      <c r="B11373" t="inlineStr">
        <is>
          <t>0:17</t>
        </is>
      </c>
      <c r="C11373" t="inlineStr">
        <is>
          <t>bit-part actor, and wandering hippie.</t>
        </is>
      </c>
      <c r="D11373">
        <f>HYPERLINK("https://www.youtube.com/watch?v=wr3kUfW2fM0&amp;t=17s", "Go to time")</f>
        <v/>
      </c>
    </row>
    <row r="11374">
      <c r="A11374">
        <f>HYPERLINK("https://www.youtube.com/watch?v=Z3B-AaqjyjE", "Video")</f>
        <v/>
      </c>
      <c r="B11374" t="inlineStr">
        <is>
          <t>0:35</t>
        </is>
      </c>
      <c r="C11374" t="inlineStr">
        <is>
          <t>A stem cell is a bit like an infant,</t>
        </is>
      </c>
      <c r="D11374">
        <f>HYPERLINK("https://www.youtube.com/watch?v=Z3B-AaqjyjE&amp;t=35s", "Go to time")</f>
        <v/>
      </c>
    </row>
    <row r="11375">
      <c r="A11375">
        <f>HYPERLINK("https://www.youtube.com/watch?v=jVzbs81bDy0", "Video")</f>
        <v/>
      </c>
      <c r="B11375" t="inlineStr">
        <is>
          <t>3:40</t>
        </is>
      </c>
      <c r="C11375" t="inlineStr">
        <is>
          <t>And the second is an orbital chain
reaction of collisions.</t>
        </is>
      </c>
      <c r="D11375">
        <f>HYPERLINK("https://www.youtube.com/watch?v=jVzbs81bDy0&amp;t=220s", "Go to time")</f>
        <v/>
      </c>
    </row>
    <row r="11376">
      <c r="A11376">
        <f>HYPERLINK("https://www.youtube.com/watch?v=jVzbs81bDy0", "Video")</f>
        <v/>
      </c>
      <c r="B11376" t="inlineStr">
        <is>
          <t>3:51</t>
        </is>
      </c>
      <c r="C11376" t="inlineStr">
        <is>
          <t>and discarded equipment 
orbiting our planet</t>
        </is>
      </c>
      <c r="D11376">
        <f>HYPERLINK("https://www.youtube.com/watch?v=jVzbs81bDy0&amp;t=231s", "Go to time")</f>
        <v/>
      </c>
    </row>
    <row r="11377">
      <c r="A11377">
        <f>HYPERLINK("https://www.youtube.com/watch?v=jVzbs81bDy0", "Video")</f>
        <v/>
      </c>
      <c r="B11377" t="inlineStr">
        <is>
          <t>4:10</t>
        </is>
      </c>
      <c r="C11377" t="inlineStr">
        <is>
          <t>Space is huge, but many of the thousands
of satellites currently in orbit</t>
        </is>
      </c>
      <c r="D11377">
        <f>HYPERLINK("https://www.youtube.com/watch?v=jVzbs81bDy0&amp;t=250s", "Go to time")</f>
        <v/>
      </c>
    </row>
    <row r="11378">
      <c r="A11378">
        <f>HYPERLINK("https://www.youtube.com/watch?v=jVzbs81bDy0", "Video")</f>
        <v/>
      </c>
      <c r="B11378" t="inlineStr">
        <is>
          <t>4:15</t>
        </is>
      </c>
      <c r="C11378" t="inlineStr">
        <is>
          <t>share the same orbital highways 
for their specific purposes.</t>
        </is>
      </c>
      <c r="D11378">
        <f>HYPERLINK("https://www.youtube.com/watch?v=jVzbs81bDy0&amp;t=255s", "Go to time")</f>
        <v/>
      </c>
    </row>
    <row r="11379">
      <c r="A11379">
        <f>HYPERLINK("https://www.youtube.com/watch?v=jVzbs81bDy0", "Video")</f>
        <v/>
      </c>
      <c r="B11379" t="inlineStr">
        <is>
          <t>4:37</t>
        </is>
      </c>
      <c r="C11379" t="inlineStr">
        <is>
          <t>and cooperating to avoid 
an orbital tragedy of the commons.</t>
        </is>
      </c>
      <c r="D11379">
        <f>HYPERLINK("https://www.youtube.com/watch?v=jVzbs81bDy0&amp;t=277s", "Go to time")</f>
        <v/>
      </c>
    </row>
    <row r="11380">
      <c r="A11380">
        <f>HYPERLINK("https://www.youtube.com/watch?v=gBRcOLcEwF0", "Video")</f>
        <v/>
      </c>
      <c r="B11380" t="inlineStr">
        <is>
          <t>0:34</t>
        </is>
      </c>
      <c r="C11380" t="inlineStr">
        <is>
          <t>and wetland habitats,</t>
        </is>
      </c>
      <c r="D11380">
        <f>HYPERLINK("https://www.youtube.com/watch?v=gBRcOLcEwF0&amp;t=34s", "Go to time")</f>
        <v/>
      </c>
    </row>
    <row r="11381">
      <c r="A11381">
        <f>HYPERLINK("https://www.youtube.com/watch?v=gBRcOLcEwF0", "Video")</f>
        <v/>
      </c>
      <c r="B11381" t="inlineStr">
        <is>
          <t>3:21</t>
        </is>
      </c>
      <c r="C11381" t="inlineStr">
        <is>
          <t>The Great Lakes coastal habitats are being
degraded and increasingly populated,</t>
        </is>
      </c>
      <c r="D11381">
        <f>HYPERLINK("https://www.youtube.com/watch?v=gBRcOLcEwF0&amp;t=201s", "Go to time")</f>
        <v/>
      </c>
    </row>
    <row r="11382">
      <c r="A11382">
        <f>HYPERLINK("https://www.youtube.com/watch?v=gBRcOLcEwF0", "Video")</f>
        <v/>
      </c>
      <c r="B11382" t="inlineStr">
        <is>
          <t>4:10</t>
        </is>
      </c>
      <c r="C11382" t="inlineStr">
        <is>
          <t>protect coastal habitats,</t>
        </is>
      </c>
      <c r="D11382">
        <f>HYPERLINK("https://www.youtube.com/watch?v=gBRcOLcEwF0&amp;t=250s", "Go to time")</f>
        <v/>
      </c>
    </row>
    <row r="11383">
      <c r="A11383">
        <f>HYPERLINK("https://www.youtube.com/watch?v=XU5L4Sr93-g", "Video")</f>
        <v/>
      </c>
      <c r="B11383" t="inlineStr">
        <is>
          <t>0:11</t>
        </is>
      </c>
      <c r="C11383" t="inlineStr">
        <is>
          <t>nano-rabbits!</t>
        </is>
      </c>
      <c r="D11383">
        <f>HYPERLINK("https://www.youtube.com/watch?v=XU5L4Sr93-g&amp;t=11s", "Go to time")</f>
        <v/>
      </c>
    </row>
    <row r="11384">
      <c r="A11384">
        <f>HYPERLINK("https://www.youtube.com/watch?v=XU5L4Sr93-g", "Video")</f>
        <v/>
      </c>
      <c r="B11384" t="inlineStr">
        <is>
          <t>0:18</t>
        </is>
      </c>
      <c r="C11384" t="inlineStr">
        <is>
          <t>In your lab there are 36 habitat cells,</t>
        </is>
      </c>
      <c r="D11384">
        <f>HYPERLINK("https://www.youtube.com/watch?v=XU5L4Sr93-g&amp;t=18s", "Go to time")</f>
        <v/>
      </c>
    </row>
    <row r="11385">
      <c r="A11385">
        <f>HYPERLINK("https://www.youtube.com/watch?v=XU5L4Sr93-g", "Video")</f>
        <v/>
      </c>
      <c r="B11385" t="inlineStr">
        <is>
          <t>0:26</t>
        </is>
      </c>
      <c r="C11385" t="inlineStr">
        <is>
          <t>The first has one rabbit,</t>
        </is>
      </c>
      <c r="D11385">
        <f>HYPERLINK("https://www.youtube.com/watch?v=XU5L4Sr93-g&amp;t=26s", "Go to time")</f>
        <v/>
      </c>
    </row>
    <row r="11386">
      <c r="A11386">
        <f>HYPERLINK("https://www.youtube.com/watch?v=XU5L4Sr93-g", "Video")</f>
        <v/>
      </c>
      <c r="B11386" t="inlineStr">
        <is>
          <t>0:30</t>
        </is>
      </c>
      <c r="C11386" t="inlineStr">
        <is>
          <t>with eight rabbits in the last one.</t>
        </is>
      </c>
      <c r="D11386">
        <f>HYPERLINK("https://www.youtube.com/watch?v=XU5L4Sr93-g&amp;t=30s", "Go to time")</f>
        <v/>
      </c>
    </row>
    <row r="11387">
      <c r="A11387">
        <f>HYPERLINK("https://www.youtube.com/watch?v=XU5L4Sr93-g", "Video")</f>
        <v/>
      </c>
      <c r="B11387" t="inlineStr">
        <is>
          <t>0:37</t>
        </is>
      </c>
      <c r="C11387" t="inlineStr">
        <is>
          <t>The rabbits are hermaphroditic,</t>
        </is>
      </c>
      <c r="D11387">
        <f>HYPERLINK("https://www.youtube.com/watch?v=XU5L4Sr93-g&amp;t=37s", "Go to time")</f>
        <v/>
      </c>
    </row>
    <row r="11388">
      <c r="A11388">
        <f>HYPERLINK("https://www.youtube.com/watch?v=XU5L4Sr93-g", "Video")</f>
        <v/>
      </c>
      <c r="B11388" t="inlineStr">
        <is>
          <t>0:39</t>
        </is>
      </c>
      <c r="C11388" t="inlineStr">
        <is>
          <t>and each rabbit in a given 
cell will breed once</t>
        </is>
      </c>
      <c r="D11388">
        <f>HYPERLINK("https://www.youtube.com/watch?v=XU5L4Sr93-g&amp;t=39s", "Go to time")</f>
        <v/>
      </c>
    </row>
    <row r="11389">
      <c r="A11389">
        <f>HYPERLINK("https://www.youtube.com/watch?v=XU5L4Sr93-g", "Video")</f>
        <v/>
      </c>
      <c r="B11389" t="inlineStr">
        <is>
          <t>0:42</t>
        </is>
      </c>
      <c r="C11389" t="inlineStr">
        <is>
          <t>with every rabbit in the horizontally 
adjacent cells,</t>
        </is>
      </c>
      <c r="D11389">
        <f>HYPERLINK("https://www.youtube.com/watch?v=XU5L4Sr93-g&amp;t=42s", "Go to time")</f>
        <v/>
      </c>
    </row>
    <row r="11390">
      <c r="A11390">
        <f>HYPERLINK("https://www.youtube.com/watch?v=XU5L4Sr93-g", "Video")</f>
        <v/>
      </c>
      <c r="B11390" t="inlineStr">
        <is>
          <t>0:49</t>
        </is>
      </c>
      <c r="C11390" t="inlineStr">
        <is>
          <t>The newborn rabbits will 
drop into the cell</t>
        </is>
      </c>
      <c r="D11390">
        <f>HYPERLINK("https://www.youtube.com/watch?v=XU5L4Sr93-g&amp;t=49s", "Go to time")</f>
        <v/>
      </c>
    </row>
    <row r="11391">
      <c r="A11391">
        <f>HYPERLINK("https://www.youtube.com/watch?v=XU5L4Sr93-g", "Video")</f>
        <v/>
      </c>
      <c r="B11391" t="inlineStr">
        <is>
          <t>0:59</t>
        </is>
      </c>
      <c r="C11391" t="inlineStr">
        <is>
          <t>Each cell can hold 10^80 nano-rabbits –</t>
        </is>
      </c>
      <c r="D11391">
        <f>HYPERLINK("https://www.youtube.com/watch?v=XU5L4Sr93-g&amp;t=59s", "Go to time")</f>
        <v/>
      </c>
    </row>
    <row r="11392">
      <c r="A11392">
        <f>HYPERLINK("https://www.youtube.com/watch?v=XU5L4Sr93-g", "Video")</f>
        <v/>
      </c>
      <c r="B11392" t="inlineStr">
        <is>
          <t>1:13</t>
        </is>
      </c>
      <c r="C11392" t="inlineStr">
        <is>
          <t>for the count of rabbits 
in the bottom cell–</t>
        </is>
      </c>
      <c r="D11392">
        <f>HYPERLINK("https://www.youtube.com/watch?v=XU5L4Sr93-g&amp;t=73s", "Go to time")</f>
        <v/>
      </c>
    </row>
    <row r="11393">
      <c r="A11393">
        <f>HYPERLINK("https://www.youtube.com/watch?v=XU5L4Sr93-g", "Video")</f>
        <v/>
      </c>
      <c r="B11393" t="inlineStr">
        <is>
          <t>1:34</t>
        </is>
      </c>
      <c r="C11393" t="inlineStr">
        <is>
          <t>if the bottom cell will be able to hold 
all the rabbits –</t>
        </is>
      </c>
      <c r="D11393">
        <f>HYPERLINK("https://www.youtube.com/watch?v=XU5L4Sr93-g&amp;t=94s", "Go to time")</f>
        <v/>
      </c>
    </row>
    <row r="11394">
      <c r="A11394">
        <f>HYPERLINK("https://www.youtube.com/watch?v=XU5L4Sr93-g", "Video")</f>
        <v/>
      </c>
      <c r="B11394" t="inlineStr">
        <is>
          <t>1:52</t>
        </is>
      </c>
      <c r="C11394" t="inlineStr">
        <is>
          <t>at the end of the count of rabbits 
in the bottom habitat?</t>
        </is>
      </c>
      <c r="D11394">
        <f>HYPERLINK("https://www.youtube.com/watch?v=XU5L4Sr93-g&amp;t=112s", "Go to time")</f>
        <v/>
      </c>
    </row>
    <row r="11395">
      <c r="A11395">
        <f>HYPERLINK("https://www.youtube.com/watch?v=XU5L4Sr93-g", "Video")</f>
        <v/>
      </c>
      <c r="B11395" t="inlineStr">
        <is>
          <t>2:08</t>
        </is>
      </c>
      <c r="C11395" t="inlineStr">
        <is>
          <t>There isn’t enough time to calculate the 
exact number of rabbits in the final cell.</t>
        </is>
      </c>
      <c r="D11395">
        <f>HYPERLINK("https://www.youtube.com/watch?v=XU5L4Sr93-g&amp;t=128s", "Go to time")</f>
        <v/>
      </c>
    </row>
    <row r="11396">
      <c r="A11396">
        <f>HYPERLINK("https://www.youtube.com/watch?v=XU5L4Sr93-g", "Video")</f>
        <v/>
      </c>
      <c r="B11396" t="inlineStr">
        <is>
          <t>2:25</t>
        </is>
      </c>
      <c r="C11396" t="inlineStr">
        <is>
          <t>What we do know is that we arrive at the
number of rabbits in the bottom cell</t>
        </is>
      </c>
      <c r="D11396">
        <f>HYPERLINK("https://www.youtube.com/watch?v=XU5L4Sr93-g&amp;t=145s", "Go to time")</f>
        <v/>
      </c>
    </row>
    <row r="11397">
      <c r="A11397">
        <f>HYPERLINK("https://www.youtube.com/watch?v=XU5L4Sr93-g", "Video")</f>
        <v/>
      </c>
      <c r="B11397" t="inlineStr">
        <is>
          <t>2:33</t>
        </is>
      </c>
      <c r="C11397" t="inlineStr">
        <is>
          <t>The number of rabbits in each cell</t>
        </is>
      </c>
      <c r="D11397">
        <f>HYPERLINK("https://www.youtube.com/watch?v=XU5L4Sr93-g&amp;t=153s", "Go to time")</f>
        <v/>
      </c>
    </row>
    <row r="11398">
      <c r="A11398">
        <f>HYPERLINK("https://www.youtube.com/watch?v=XU5L4Sr93-g", "Video")</f>
        <v/>
      </c>
      <c r="B11398" t="inlineStr">
        <is>
          <t>2:34</t>
        </is>
      </c>
      <c r="C11398" t="inlineStr">
        <is>
          <t>is the product of the number of rabbits 
in each of the two cells above it.</t>
        </is>
      </c>
      <c r="D11398">
        <f>HYPERLINK("https://www.youtube.com/watch?v=XU5L4Sr93-g&amp;t=154s", "Go to time")</f>
        <v/>
      </c>
    </row>
    <row r="11399">
      <c r="A11399">
        <f>HYPERLINK("https://www.youtube.com/watch?v=XU5L4Sr93-g", "Video")</f>
        <v/>
      </c>
      <c r="B11399" t="inlineStr">
        <is>
          <t>2:52</t>
        </is>
      </c>
      <c r="C11399" t="inlineStr">
        <is>
          <t>Let’s calculate the number of rabbits 
in the second row</t>
        </is>
      </c>
      <c r="D11399">
        <f>HYPERLINK("https://www.youtube.com/watch?v=XU5L4Sr93-g&amp;t=172s", "Go to time")</f>
        <v/>
      </c>
    </row>
    <row r="11400">
      <c r="A11400">
        <f>HYPERLINK("https://www.youtube.com/watch?v=XU5L4Sr93-g", "Video")</f>
        <v/>
      </c>
      <c r="B11400" t="inlineStr">
        <is>
          <t>2:59</t>
        </is>
      </c>
      <c r="C11400" t="inlineStr">
        <is>
          <t>20 rabbits in the fourth cell 
and 30 in the fifth cell.</t>
        </is>
      </c>
      <c r="D11400">
        <f>HYPERLINK("https://www.youtube.com/watch?v=XU5L4Sr93-g&amp;t=179s", "Go to time")</f>
        <v/>
      </c>
    </row>
    <row r="11401">
      <c r="A11401">
        <f>HYPERLINK("https://www.youtube.com/watch?v=XU5L4Sr93-g", "Video")</f>
        <v/>
      </c>
      <c r="B11401" t="inlineStr">
        <is>
          <t>3:56</t>
        </is>
      </c>
      <c r="C11401" t="inlineStr">
        <is>
          <t>And if you’re not too stressed about 
the potential nano-rabbit apocalypse,</t>
        </is>
      </c>
      <c r="D11401">
        <f>HYPERLINK("https://www.youtube.com/watch?v=XU5L4Sr93-g&amp;t=236s", "Go to time")</f>
        <v/>
      </c>
    </row>
    <row r="11402">
      <c r="A11402">
        <f>HYPERLINK("https://www.youtube.com/watch?v=XU5L4Sr93-g", "Video")</f>
        <v/>
      </c>
      <c r="B11402" t="inlineStr">
        <is>
          <t>4:13</t>
        </is>
      </c>
      <c r="C11402" t="inlineStr">
        <is>
          <t>too big for the habitat to contain!</t>
        </is>
      </c>
      <c r="D11402">
        <f>HYPERLINK("https://www.youtube.com/watch?v=XU5L4Sr93-g&amp;t=253s", "Go to time")</f>
        <v/>
      </c>
    </row>
    <row r="11403">
      <c r="A11403">
        <f>HYPERLINK("https://www.youtube.com/watch?v=XU5L4Sr93-g", "Video")</f>
        <v/>
      </c>
      <c r="B11403" t="inlineStr">
        <is>
          <t>4:18</t>
        </is>
      </c>
      <c r="C11403" t="inlineStr">
        <is>
          <t>just as the seventh generation of rabbits 
was about to mature –</t>
        </is>
      </c>
      <c r="D11403">
        <f>HYPERLINK("https://www.youtube.com/watch?v=XU5L4Sr93-g&amp;t=258s", "Go to time")</f>
        <v/>
      </c>
    </row>
    <row r="11404">
      <c r="A11404">
        <f>HYPERLINK("https://www.youtube.com/watch?v=JX8rv_natkw", "Video")</f>
        <v/>
      </c>
      <c r="B11404" t="inlineStr">
        <is>
          <t>2:51</t>
        </is>
      </c>
      <c r="C11404" t="inlineStr">
        <is>
          <t>Even though they may go on 
a bit thick at first,</t>
        </is>
      </c>
      <c r="D11404">
        <f>HYPERLINK("https://www.youtube.com/watch?v=JX8rv_natkw&amp;t=171s", "Go to time")</f>
        <v/>
      </c>
    </row>
    <row r="11405">
      <c r="A11405">
        <f>HYPERLINK("https://www.youtube.com/watch?v=JX8rv_natkw", "Video")</f>
        <v/>
      </c>
      <c r="B11405" t="inlineStr">
        <is>
          <t>4:18</t>
        </is>
      </c>
      <c r="C11405" t="inlineStr">
        <is>
          <t>Taking a bit more time to check
can be well worth it</t>
        </is>
      </c>
      <c r="D11405">
        <f>HYPERLINK("https://www.youtube.com/watch?v=JX8rv_natkw&amp;t=258s", "Go to time")</f>
        <v/>
      </c>
    </row>
    <row r="11406">
      <c r="A11406">
        <f>HYPERLINK("https://www.youtube.com/watch?v=i0WH4SFpeB8", "Video")</f>
        <v/>
      </c>
      <c r="B11406" t="inlineStr">
        <is>
          <t>0:06</t>
        </is>
      </c>
      <c r="C11406" t="inlineStr">
        <is>
          <t>Your antivirus squad is up against
a particularly sadistic bit</t>
        </is>
      </c>
      <c r="D11406">
        <f>HYPERLINK("https://www.youtube.com/watch?v=i0WH4SFpeB8&amp;t=6s", "Go to time")</f>
        <v/>
      </c>
    </row>
    <row r="11407">
      <c r="A11407">
        <f>HYPERLINK("https://www.youtube.com/watch?v=i0WH4SFpeB8", "Video")</f>
        <v/>
      </c>
      <c r="B11407" t="inlineStr">
        <is>
          <t>1:34</t>
        </is>
      </c>
      <c r="C11407" t="inlineStr">
        <is>
          <t>we can represent each of the 4 disks
with a 2-bit binary number</t>
        </is>
      </c>
      <c r="D11407">
        <f>HYPERLINK("https://www.youtube.com/watch?v=i0WH4SFpeB8&amp;t=94s", "Go to time")</f>
        <v/>
      </c>
    </row>
    <row r="11408">
      <c r="A11408">
        <f>HYPERLINK("https://www.youtube.com/watch?v=i0WH4SFpeB8", "Video")</f>
        <v/>
      </c>
      <c r="B11408" t="inlineStr">
        <is>
          <t>3:19</t>
        </is>
      </c>
      <c r="C11408" t="inlineStr">
        <is>
          <t>we break the rules a bit 
and let this sum equal 22.</t>
        </is>
      </c>
      <c r="D11408">
        <f>HYPERLINK("https://www.youtube.com/watch?v=i0WH4SFpeB8&amp;t=199s", "Go to time")</f>
        <v/>
      </c>
    </row>
    <row r="11409">
      <c r="A11409">
        <f>HYPERLINK("https://www.youtube.com/watch?v=i0WH4SFpeB8", "Video")</f>
        <v/>
      </c>
      <c r="B11409" t="inlineStr">
        <is>
          <t>4:43</t>
        </is>
      </c>
      <c r="C11409" t="inlineStr">
        <is>
          <t>With 64 you could turn each activated disk
into a 6-bit binary number</t>
        </is>
      </c>
      <c r="D11409">
        <f>HYPERLINK("https://www.youtube.com/watch?v=i0WH4SFpeB8&amp;t=283s", "Go to time")</f>
        <v/>
      </c>
    </row>
    <row r="11410">
      <c r="A11410">
        <f>HYPERLINK("https://www.youtube.com/watch?v=86HB9uQ2ZS4", "Video")</f>
        <v/>
      </c>
      <c r="B11410" t="inlineStr">
        <is>
          <t>5:54</t>
        </is>
      </c>
      <c r="C11410" t="inlineStr">
        <is>
          <t>for me is a little bit like being in</t>
        </is>
      </c>
      <c r="D11410">
        <f>HYPERLINK("https://www.youtube.com/watch?v=86HB9uQ2ZS4&amp;t=354s", "Go to time")</f>
        <v/>
      </c>
    </row>
    <row r="11411">
      <c r="A11411">
        <f>HYPERLINK("https://www.youtube.com/watch?v=86HB9uQ2ZS4", "Video")</f>
        <v/>
      </c>
      <c r="B11411" t="inlineStr">
        <is>
          <t>8:46</t>
        </is>
      </c>
      <c r="C11411" t="inlineStr">
        <is>
          <t>really I said and I'm always a bit</t>
        </is>
      </c>
      <c r="D11411">
        <f>HYPERLINK("https://www.youtube.com/watch?v=86HB9uQ2ZS4&amp;t=526s", "Go to time")</f>
        <v/>
      </c>
    </row>
    <row r="11412">
      <c r="A11412">
        <f>HYPERLINK("https://www.youtube.com/watch?v=NB6rMkiNKtM", "Video")</f>
        <v/>
      </c>
      <c r="B11412" t="inlineStr">
        <is>
          <t>2:37</t>
        </is>
      </c>
      <c r="C11412" t="inlineStr">
        <is>
          <t>rabbit in a field eating grass and the</t>
        </is>
      </c>
      <c r="D11412">
        <f>HYPERLINK("https://www.youtube.com/watch?v=NB6rMkiNKtM&amp;t=157s", "Go to time")</f>
        <v/>
      </c>
    </row>
    <row r="11413">
      <c r="A11413">
        <f>HYPERLINK("https://www.youtube.com/watch?v=NB6rMkiNKtM", "Video")</f>
        <v/>
      </c>
      <c r="B11413" t="inlineStr">
        <is>
          <t>2:39</t>
        </is>
      </c>
      <c r="C11413" t="inlineStr">
        <is>
          <t>rabbit's going to see a fox that rabbit</t>
        </is>
      </c>
      <c r="D11413">
        <f>HYPERLINK("https://www.youtube.com/watch?v=NB6rMkiNKtM&amp;t=159s", "Go to time")</f>
        <v/>
      </c>
    </row>
    <row r="11414">
      <c r="A11414">
        <f>HYPERLINK("https://www.youtube.com/watch?v=NB6rMkiNKtM", "Video")</f>
        <v/>
      </c>
      <c r="B11414" t="inlineStr">
        <is>
          <t>2:48</t>
        </is>
      </c>
      <c r="C11414" t="inlineStr">
        <is>
          <t>rabbits that are good at making that</t>
        </is>
      </c>
      <c r="D11414">
        <f>HYPERLINK("https://www.youtube.com/watch?v=NB6rMkiNKtM&amp;t=168s", "Go to time")</f>
        <v/>
      </c>
    </row>
    <row r="11415">
      <c r="A11415">
        <f>HYPERLINK("https://www.youtube.com/watch?v=NB6rMkiNKtM", "Video")</f>
        <v/>
      </c>
      <c r="B11415" t="inlineStr">
        <is>
          <t>2:51</t>
        </is>
      </c>
      <c r="C11415" t="inlineStr">
        <is>
          <t>reproduce and the rabbits that are bad</t>
        </is>
      </c>
      <c r="D11415">
        <f>HYPERLINK("https://www.youtube.com/watch?v=NB6rMkiNKtM&amp;t=171s", "Go to time")</f>
        <v/>
      </c>
    </row>
    <row r="11416">
      <c r="A11416">
        <f>HYPERLINK("https://www.youtube.com/watch?v=-tX34V_XGeQ", "Video")</f>
        <v/>
      </c>
      <c r="B11416" t="inlineStr">
        <is>
          <t>0:30</t>
        </is>
      </c>
      <c r="C11416" t="inlineStr">
        <is>
          <t>And lest you think 
this is a bit far-fetched,</t>
        </is>
      </c>
      <c r="D11416">
        <f>HYPERLINK("https://www.youtube.com/watch?v=-tX34V_XGeQ&amp;t=30s", "Go to time")</f>
        <v/>
      </c>
    </row>
    <row r="11417">
      <c r="A11417">
        <f>HYPERLINK("https://www.youtube.com/watch?v=-tX34V_XGeQ", "Video")</f>
        <v/>
      </c>
      <c r="B11417" t="inlineStr">
        <is>
          <t>1:35</t>
        </is>
      </c>
      <c r="C11417" t="inlineStr">
        <is>
          <t>it was possible to make off 
with the town's chocolate rabbit as well."</t>
        </is>
      </c>
      <c r="D11417">
        <f>HYPERLINK("https://www.youtube.com/watch?v=-tX34V_XGeQ&amp;t=95s", "Go to time")</f>
        <v/>
      </c>
    </row>
    <row r="11418">
      <c r="A11418">
        <f>HYPERLINK("https://www.youtube.com/watch?v=b2gtOl7xMmc", "Video")</f>
        <v/>
      </c>
      <c r="B11418" t="inlineStr">
        <is>
          <t>2:07</t>
        </is>
      </c>
      <c r="C11418" t="inlineStr">
        <is>
          <t>and Helike and its inhabitants
sunk downwards into the Mediterranean Sea.</t>
        </is>
      </c>
      <c r="D11418">
        <f>HYPERLINK("https://www.youtube.com/watch?v=b2gtOl7xMmc&amp;t=127s", "Go to time")</f>
        <v/>
      </c>
    </row>
    <row r="11419">
      <c r="A11419">
        <f>HYPERLINK("https://www.youtube.com/watch?v=b2gtOl7xMmc", "Video")</f>
        <v/>
      </c>
      <c r="B11419" t="inlineStr">
        <is>
          <t>3:14</t>
        </is>
      </c>
      <c r="C11419" t="inlineStr">
        <is>
          <t>But the ancient inhabitants were able
to move gradually inland</t>
        </is>
      </c>
      <c r="D11419">
        <f>HYPERLINK("https://www.youtube.com/watch?v=b2gtOl7xMmc&amp;t=194s", "Go to time")</f>
        <v/>
      </c>
    </row>
    <row r="11420">
      <c r="A11420">
        <f>HYPERLINK("https://www.youtube.com/watch?v=b2gtOl7xMmc", "Video")</f>
        <v/>
      </c>
      <c r="B11420" t="inlineStr">
        <is>
          <t>3:52</t>
        </is>
      </c>
      <c r="C11420" t="inlineStr">
        <is>
          <t>like Pavlopetri's inhabitants.</t>
        </is>
      </c>
      <c r="D11420">
        <f>HYPERLINK("https://www.youtube.com/watch?v=b2gtOl7xMmc&amp;t=232s", "Go to time")</f>
        <v/>
      </c>
    </row>
    <row r="11421">
      <c r="A11421">
        <f>HYPERLINK("https://www.youtube.com/watch?v=2njn71TqkjA", "Video")</f>
        <v/>
      </c>
      <c r="B11421" t="inlineStr">
        <is>
          <t>2:29</t>
        </is>
      </c>
      <c r="C11421" t="inlineStr">
        <is>
          <t>Entire nations, like the Marshall Islands
and Tuvalu, are uninhabitable</t>
        </is>
      </c>
      <c r="D11421">
        <f>HYPERLINK("https://www.youtube.com/watch?v=2njn71TqkjA&amp;t=149s", "Go to time")</f>
        <v/>
      </c>
    </row>
    <row r="11422">
      <c r="A11422">
        <f>HYPERLINK("https://www.youtube.com/watch?v=2njn71TqkjA", "Video")</f>
        <v/>
      </c>
      <c r="B11422" t="inlineStr">
        <is>
          <t>3:10</t>
        </is>
      </c>
      <c r="C11422" t="inlineStr">
        <is>
          <t>Children learn about extinct sea life
which once inhabited the ocean’s reefs,</t>
        </is>
      </c>
      <c r="D11422">
        <f>HYPERLINK("https://www.youtube.com/watch?v=2njn71TqkjA&amp;t=190s", "Go to time")</f>
        <v/>
      </c>
    </row>
    <row r="11423">
      <c r="A11423">
        <f>HYPERLINK("https://www.youtube.com/watch?v=4KQeu_mTYTQ", "Video")</f>
        <v/>
      </c>
      <c r="B11423" t="inlineStr">
        <is>
          <t>2:34</t>
        </is>
      </c>
      <c r="C11423" t="inlineStr">
        <is>
          <t>In 1916, he arranged 
for a grand exhibition in New York.</t>
        </is>
      </c>
      <c r="D11423">
        <f>HYPERLINK("https://www.youtube.com/watch?v=4KQeu_mTYTQ&amp;t=154s", "Go to time")</f>
        <v/>
      </c>
    </row>
    <row r="11424">
      <c r="A11424">
        <f>HYPERLINK("https://www.youtube.com/watch?v=vPtzpjC7TF4", "Video")</f>
        <v/>
      </c>
      <c r="B11424" t="inlineStr">
        <is>
          <t>1:14</t>
        </is>
      </c>
      <c r="C11424" t="inlineStr">
        <is>
          <t>One such goal was to seek out meaning
despite the world’s arbitrary cruelty.</t>
        </is>
      </c>
      <c r="D11424">
        <f>HYPERLINK("https://www.youtube.com/watch?v=vPtzpjC7TF4&amp;t=74s", "Go to time")</f>
        <v/>
      </c>
    </row>
    <row r="11425">
      <c r="A11425">
        <f>HYPERLINK("https://www.youtube.com/watch?v=vPtzpjC7TF4", "Video")</f>
        <v/>
      </c>
      <c r="B11425" t="inlineStr">
        <is>
          <t>2:34</t>
        </is>
      </c>
      <c r="C11425" t="inlineStr">
        <is>
          <t>and the orderly society he inhabits,</t>
        </is>
      </c>
      <c r="D11425">
        <f>HYPERLINK("https://www.youtube.com/watch?v=vPtzpjC7TF4&amp;t=154s", "Go to time")</f>
        <v/>
      </c>
    </row>
    <row r="11426">
      <c r="A11426">
        <f>HYPERLINK("https://www.youtube.com/watch?v=ATbyOuk0bvE", "Video")</f>
        <v/>
      </c>
      <c r="B11426" t="inlineStr">
        <is>
          <t>3:41</t>
        </is>
      </c>
      <c r="C11426" t="inlineStr">
        <is>
          <t>okay this is a bit of a difficult image</t>
        </is>
      </c>
      <c r="D11426">
        <f>HYPERLINK("https://www.youtube.com/watch?v=ATbyOuk0bvE&amp;t=221s", "Go to time")</f>
        <v/>
      </c>
    </row>
    <row r="11427">
      <c r="A11427">
        <f>HYPERLINK("https://www.youtube.com/watch?v=ATbyOuk0bvE", "Video")</f>
        <v/>
      </c>
      <c r="B11427" t="inlineStr">
        <is>
          <t>11:28</t>
        </is>
      </c>
      <c r="C11427" t="inlineStr">
        <is>
          <t>great right just one little bit of</t>
        </is>
      </c>
      <c r="D11427">
        <f>HYPERLINK("https://www.youtube.com/watch?v=ATbyOuk0bvE&amp;t=688s", "Go to time")</f>
        <v/>
      </c>
    </row>
    <row r="11428">
      <c r="A11428">
        <f>HYPERLINK("https://www.youtube.com/watch?v=rI9yUJl00Ik", "Video")</f>
        <v/>
      </c>
      <c r="B11428" t="inlineStr">
        <is>
          <t>0:22</t>
        </is>
      </c>
      <c r="C11428" t="inlineStr">
        <is>
          <t>It may not be immediately clear 
why any creature would take bites</t>
        </is>
      </c>
      <c r="D11428">
        <f>HYPERLINK("https://www.youtube.com/watch?v=rI9yUJl00Ik&amp;t=22s", "Go to time")</f>
        <v/>
      </c>
    </row>
    <row r="11429">
      <c r="A11429">
        <f>HYPERLINK("https://www.youtube.com/watch?v=rI9yUJl00Ik", "Video")</f>
        <v/>
      </c>
      <c r="B11429" t="inlineStr">
        <is>
          <t>2:23</t>
        </is>
      </c>
      <c r="C11429" t="inlineStr">
        <is>
          <t>allowing them to consume every bit 
of seaweed covering a stony surface.</t>
        </is>
      </c>
      <c r="D11429">
        <f>HYPERLINK("https://www.youtube.com/watch?v=rI9yUJl00Ik&amp;t=143s", "Go to time")</f>
        <v/>
      </c>
    </row>
    <row r="11430">
      <c r="A11430">
        <f>HYPERLINK("https://www.youtube.com/watch?v=rI9yUJl00Ik", "Video")</f>
        <v/>
      </c>
      <c r="B11430" t="inlineStr">
        <is>
          <t>3:44</t>
        </is>
      </c>
      <c r="C11430" t="inlineStr">
        <is>
          <t>as well as other seaweed eaters, 
such as surgeonfish and rabbitfish.</t>
        </is>
      </c>
      <c r="D11430">
        <f>HYPERLINK("https://www.youtube.com/watch?v=rI9yUJl00Ik&amp;t=224s", "Go to time")</f>
        <v/>
      </c>
    </row>
    <row r="11431">
      <c r="A11431">
        <f>HYPERLINK("https://www.youtube.com/watch?v=7uiyz3139tE", "Video")</f>
        <v/>
      </c>
      <c r="B11431" t="inlineStr">
        <is>
          <t>3:37</t>
        </is>
      </c>
      <c r="C11431" t="inlineStr">
        <is>
          <t>mentioned only briefly in a 1912 obituary.</t>
        </is>
      </c>
      <c r="D11431">
        <f>HYPERLINK("https://www.youtube.com/watch?v=7uiyz3139tE&amp;t=217s", "Go to time")</f>
        <v/>
      </c>
    </row>
    <row r="11432">
      <c r="A11432">
        <f>HYPERLINK("https://www.youtube.com/watch?v=bOYIKJho18I", "Video")</f>
        <v/>
      </c>
      <c r="B11432" t="inlineStr">
        <is>
          <t>15:32</t>
        </is>
      </c>
      <c r="C11432" t="inlineStr">
        <is>
          <t>information Highway with 10 gigabits of</t>
        </is>
      </c>
      <c r="D11432">
        <f>HYPERLINK("https://www.youtube.com/watch?v=bOYIKJho18I&amp;t=932s", "Go to time")</f>
        <v/>
      </c>
    </row>
    <row r="11433">
      <c r="A11433">
        <f>HYPERLINK("https://www.youtube.com/watch?v=bOYIKJho18I", "Video")</f>
        <v/>
      </c>
      <c r="B11433" t="inlineStr">
        <is>
          <t>17:46</t>
        </is>
      </c>
      <c r="C11433" t="inlineStr">
        <is>
          <t>habitation on Mars and we have programs</t>
        </is>
      </c>
      <c r="D11433">
        <f>HYPERLINK("https://www.youtube.com/watch?v=bOYIKJho18I&amp;t=1066s", "Go to time")</f>
        <v/>
      </c>
    </row>
    <row r="11434">
      <c r="A11434">
        <f>HYPERLINK("https://www.youtube.com/watch?v=70cDSUI4XKE", "Video")</f>
        <v/>
      </c>
      <c r="B11434" t="inlineStr">
        <is>
          <t>0:13</t>
        </is>
      </c>
      <c r="C11434" t="inlineStr">
        <is>
          <t>in an orbiting satellite that keeps time
to the beat of an atomic clock</t>
        </is>
      </c>
      <c r="D11434">
        <f>HYPERLINK("https://www.youtube.com/watch?v=70cDSUI4XKE&amp;t=13s", "Go to time")</f>
        <v/>
      </c>
    </row>
    <row r="11435">
      <c r="A11435">
        <f>HYPERLINK("https://www.youtube.com/watch?v=70cDSUI4XKE", "Video")</f>
        <v/>
      </c>
      <c r="B11435" t="inlineStr">
        <is>
          <t>2:09</t>
        </is>
      </c>
      <c r="C11435" t="inlineStr">
        <is>
          <t>but they can't take on 
just any arbitrary amount.</t>
        </is>
      </c>
      <c r="D11435">
        <f>HYPERLINK("https://www.youtube.com/watch?v=70cDSUI4XKE&amp;t=129s", "Go to time")</f>
        <v/>
      </c>
    </row>
    <row r="11436">
      <c r="A11436">
        <f>HYPERLINK("https://www.youtube.com/watch?v=upp9-w6GPhU", "Video")</f>
        <v/>
      </c>
      <c r="B11436" t="inlineStr">
        <is>
          <t>0:25</t>
        </is>
      </c>
      <c r="C11436" t="inlineStr">
        <is>
          <t>Even if we break free 
from Earth's orbit</t>
        </is>
      </c>
      <c r="D11436">
        <f>HYPERLINK("https://www.youtube.com/watch?v=upp9-w6GPhU&amp;t=25s", "Go to time")</f>
        <v/>
      </c>
    </row>
    <row r="11437">
      <c r="A11437">
        <f>HYPERLINK("https://www.youtube.com/watch?v=KpVpJsDjWj8", "Video")</f>
        <v/>
      </c>
      <c r="B11437" t="inlineStr">
        <is>
          <t>2:51</t>
        </is>
      </c>
      <c r="C11437" t="inlineStr">
        <is>
          <t>the name we give to all 
those collective plastic bits,</t>
        </is>
      </c>
      <c r="D11437">
        <f>HYPERLINK("https://www.youtube.com/watch?v=KpVpJsDjWj8&amp;t=171s", "Go to time")</f>
        <v/>
      </c>
    </row>
    <row r="11438">
      <c r="A11438">
        <f>HYPERLINK("https://www.youtube.com/watch?v=KpVpJsDjWj8", "Video")</f>
        <v/>
      </c>
      <c r="B11438" t="inlineStr">
        <is>
          <t>3:20</t>
        </is>
      </c>
      <c r="C11438" t="inlineStr">
        <is>
          <t>Unfortunately for them,
tiny bits of floating plastic</t>
        </is>
      </c>
      <c r="D11438">
        <f>HYPERLINK("https://www.youtube.com/watch?v=KpVpJsDjWj8&amp;t=200s", "Go to time")</f>
        <v/>
      </c>
    </row>
    <row r="11439">
      <c r="A11439">
        <f>HYPERLINK("https://www.youtube.com/watch?v=KpVpJsDjWj8", "Video")</f>
        <v/>
      </c>
      <c r="B11439" t="inlineStr">
        <is>
          <t>3:23</t>
        </is>
      </c>
      <c r="C11439" t="inlineStr">
        <is>
          <t>look a lot like fish eggs
and other enticing bits of food.</t>
        </is>
      </c>
      <c r="D11439">
        <f>HYPERLINK("https://www.youtube.com/watch?v=KpVpJsDjWj8&amp;t=203s", "Go to time")</f>
        <v/>
      </c>
    </row>
    <row r="11440">
      <c r="A11440">
        <f>HYPERLINK("https://www.youtube.com/watch?v=KpVpJsDjWj8", "Video")</f>
        <v/>
      </c>
      <c r="B11440" t="inlineStr">
        <is>
          <t>3:29</t>
        </is>
      </c>
      <c r="C11440" t="inlineStr">
        <is>
          <t>a very different and terrible habit
of sticking around.</t>
        </is>
      </c>
      <c r="D11440">
        <f>HYPERLINK("https://www.youtube.com/watch?v=KpVpJsDjWj8&amp;t=209s", "Go to time")</f>
        <v/>
      </c>
    </row>
    <row r="11441">
      <c r="A11441">
        <f>HYPERLINK("https://www.youtube.com/watch?v=KpVpJsDjWj8", "Video")</f>
        <v/>
      </c>
      <c r="B11441" t="inlineStr">
        <is>
          <t>3:59</t>
        </is>
      </c>
      <c r="C11441" t="inlineStr">
        <is>
          <t>And that's how, bit by bit,
nurdles accomplish their goal,</t>
        </is>
      </c>
      <c r="D11441">
        <f>HYPERLINK("https://www.youtube.com/watch?v=KpVpJsDjWj8&amp;t=239s", "Go to time")</f>
        <v/>
      </c>
    </row>
    <row r="11442">
      <c r="A11442">
        <f>HYPERLINK("https://www.youtube.com/watch?v=B6n_xSP1fxA", "Video")</f>
        <v/>
      </c>
      <c r="B11442" t="inlineStr">
        <is>
          <t>2:19</t>
        </is>
      </c>
      <c r="C11442" t="inlineStr">
        <is>
          <t>little bit of the broccoli and go M</t>
        </is>
      </c>
      <c r="D11442">
        <f>HYPERLINK("https://www.youtube.com/watch?v=B6n_xSP1fxA&amp;t=139s", "Go to time")</f>
        <v/>
      </c>
    </row>
    <row r="11443">
      <c r="A11443">
        <f>HYPERLINK("https://www.youtube.com/watch?v=B6n_xSP1fxA", "Video")</f>
        <v/>
      </c>
      <c r="B11443" t="inlineStr">
        <is>
          <t>2:27</t>
        </is>
      </c>
      <c r="C11443" t="inlineStr">
        <is>
          <t>then she would take a little bit of the</t>
        </is>
      </c>
      <c r="D11443">
        <f>HYPERLINK("https://www.youtube.com/watch?v=B6n_xSP1fxA&amp;t=147s", "Go to time")</f>
        <v/>
      </c>
    </row>
    <row r="11444">
      <c r="A11444">
        <f>HYPERLINK("https://www.youtube.com/watch?v=B6n_xSP1fxA", "Video")</f>
        <v/>
      </c>
      <c r="B11444" t="inlineStr">
        <is>
          <t>10:41</t>
        </is>
      </c>
      <c r="C11444" t="inlineStr">
        <is>
          <t>Works in a bit of a strange way because</t>
        </is>
      </c>
      <c r="D11444">
        <f>HYPERLINK("https://www.youtube.com/watch?v=B6n_xSP1fxA&amp;t=641s", "Go to time")</f>
        <v/>
      </c>
    </row>
    <row r="11445">
      <c r="A11445">
        <f>HYPERLINK("https://www.youtube.com/watch?v=B6n_xSP1fxA", "Video")</f>
        <v/>
      </c>
      <c r="B11445" t="inlineStr">
        <is>
          <t>16:25</t>
        </is>
      </c>
      <c r="C11445" t="inlineStr">
        <is>
          <t>inhibitory Parts haven't come on yet so</t>
        </is>
      </c>
      <c r="D11445">
        <f>HYPERLINK("https://www.youtube.com/watch?v=B6n_xSP1fxA&amp;t=985s", "Go to time")</f>
        <v/>
      </c>
    </row>
    <row r="11446">
      <c r="A11446">
        <f>HYPERLINK("https://www.youtube.com/watch?v=MF7EbUGlaOU", "Video")</f>
        <v/>
      </c>
      <c r="B11446" t="inlineStr">
        <is>
          <t>1:40</t>
        </is>
      </c>
      <c r="C11446" t="inlineStr">
        <is>
          <t>and prohibited the return of Tutsi
families that had fled years earlier.</t>
        </is>
      </c>
      <c r="D11446">
        <f>HYPERLINK("https://www.youtube.com/watch?v=MF7EbUGlaOU&amp;t=100s", "Go to time")</f>
        <v/>
      </c>
    </row>
    <row r="11447">
      <c r="A11447">
        <f>HYPERLINK("https://www.youtube.com/watch?v=Olni0KKdZqc", "Video")</f>
        <v/>
      </c>
      <c r="B11447" t="inlineStr">
        <is>
          <t>1:32</t>
        </is>
      </c>
      <c r="C11447" t="inlineStr">
        <is>
          <t>audience and just a bit terrified that</t>
        </is>
      </c>
      <c r="D11447">
        <f>HYPERLINK("https://www.youtube.com/watch?v=Olni0KKdZqc&amp;t=92s", "Go to time")</f>
        <v/>
      </c>
    </row>
    <row r="11448">
      <c r="A11448">
        <f>HYPERLINK("https://www.youtube.com/watch?v=Olni0KKdZqc", "Video")</f>
        <v/>
      </c>
      <c r="B11448" t="inlineStr">
        <is>
          <t>3:24</t>
        </is>
      </c>
      <c r="C11448" t="inlineStr">
        <is>
          <t>students succeeded and it's a little bit</t>
        </is>
      </c>
      <c r="D11448">
        <f>HYPERLINK("https://www.youtube.com/watch?v=Olni0KKdZqc&amp;t=204s", "Go to time")</f>
        <v/>
      </c>
    </row>
    <row r="11449">
      <c r="A11449">
        <f>HYPERLINK("https://www.youtube.com/watch?v=Z8wLQ3NCBgg", "Video")</f>
        <v/>
      </c>
      <c r="B11449" t="inlineStr">
        <is>
          <t>1:19</t>
        </is>
      </c>
      <c r="C11449" t="inlineStr">
        <is>
          <t>mosquitos, whose nasty bites
are not just annoying</t>
        </is>
      </c>
      <c r="D11449">
        <f>HYPERLINK("https://www.youtube.com/watch?v=Z8wLQ3NCBgg&amp;t=79s", "Go to time")</f>
        <v/>
      </c>
    </row>
    <row r="11450">
      <c r="A11450">
        <f>HYPERLINK("https://www.youtube.com/watch?v=Z8wLQ3NCBgg", "Video")</f>
        <v/>
      </c>
      <c r="B11450" t="inlineStr">
        <is>
          <t>3:34</t>
        </is>
      </c>
      <c r="C11450" t="inlineStr">
        <is>
          <t>keeping them healthy,
protecting their habitats,</t>
        </is>
      </c>
      <c r="D11450">
        <f>HYPERLINK("https://www.youtube.com/watch?v=Z8wLQ3NCBgg&amp;t=214s", "Go to time")</f>
        <v/>
      </c>
    </row>
    <row r="11451">
      <c r="A11451">
        <f>HYPERLINK("https://www.youtube.com/watch?v=Z8wLQ3NCBgg", "Video")</f>
        <v/>
      </c>
      <c r="B11451" t="inlineStr">
        <is>
          <t>4:04</t>
        </is>
      </c>
      <c r="C11451" t="inlineStr">
        <is>
          <t>Climate change and habitat destruction</t>
        </is>
      </c>
      <c r="D11451">
        <f>HYPERLINK("https://www.youtube.com/watch?v=Z8wLQ3NCBgg&amp;t=244s", "Go to time")</f>
        <v/>
      </c>
    </row>
    <row r="11452">
      <c r="A11452">
        <f>HYPERLINK("https://www.youtube.com/watch?v=q2TewSL_Egk", "Video")</f>
        <v/>
      </c>
      <c r="B11452" t="inlineStr">
        <is>
          <t>1:31</t>
        </is>
      </c>
      <c r="C11452" t="inlineStr">
        <is>
          <t>really well-meaning but a bit naive. I'd</t>
        </is>
      </c>
      <c r="D11452">
        <f>HYPERLINK("https://www.youtube.com/watch?v=q2TewSL_Egk&amp;t=91s", "Go to time")</f>
        <v/>
      </c>
    </row>
    <row r="11453">
      <c r="A11453">
        <f>HYPERLINK("https://www.youtube.com/watch?v=q2TewSL_Egk", "Video")</f>
        <v/>
      </c>
      <c r="B11453" t="inlineStr">
        <is>
          <t>9:57</t>
        </is>
      </c>
      <c r="C11453" t="inlineStr">
        <is>
          <t>mine. Um and they provide habitats for</t>
        </is>
      </c>
      <c r="D11453">
        <f>HYPERLINK("https://www.youtube.com/watch?v=q2TewSL_Egk&amp;t=597s", "Go to time")</f>
        <v/>
      </c>
    </row>
    <row r="11454">
      <c r="A11454">
        <f>HYPERLINK("https://www.youtube.com/watch?v=q2TewSL_Egk", "Video")</f>
        <v/>
      </c>
      <c r="B11454" t="inlineStr">
        <is>
          <t>11:50</t>
        </is>
      </c>
      <c r="C11454" t="inlineStr">
        <is>
          <t>tiny little bit. You have no clue. Um</t>
        </is>
      </c>
      <c r="D11454">
        <f>HYPERLINK("https://www.youtube.com/watch?v=q2TewSL_Egk&amp;t=710s", "Go to time")</f>
        <v/>
      </c>
    </row>
    <row r="11455">
      <c r="A11455">
        <f>HYPERLINK("https://www.youtube.com/watch?v=lsdgdgJb3IM", "Video")</f>
        <v/>
      </c>
      <c r="B11455" t="inlineStr">
        <is>
          <t>2:30</t>
        </is>
      </c>
      <c r="C11455" t="inlineStr">
        <is>
          <t>productivity you can see a little bit of</t>
        </is>
      </c>
      <c r="D11455">
        <f>HYPERLINK("https://www.youtube.com/watch?v=lsdgdgJb3IM&amp;t=150s", "Go to time")</f>
        <v/>
      </c>
    </row>
    <row r="11456">
      <c r="A11456">
        <f>HYPERLINK("https://www.youtube.com/watch?v=s_LxZx42sIk", "Video")</f>
        <v/>
      </c>
      <c r="B11456" t="inlineStr">
        <is>
          <t>2:07</t>
        </is>
      </c>
      <c r="C11456" t="inlineStr">
        <is>
          <t>and a bit of motion to mimic blood flow.</t>
        </is>
      </c>
      <c r="D11456">
        <f>HYPERLINK("https://www.youtube.com/watch?v=s_LxZx42sIk&amp;t=127s", "Go to time")</f>
        <v/>
      </c>
    </row>
    <row r="11457">
      <c r="A11457">
        <f>HYPERLINK("https://www.youtube.com/watch?v=BGxYMTftuzw", "Video")</f>
        <v/>
      </c>
      <c r="B11457" t="inlineStr">
        <is>
          <t>2:30</t>
        </is>
      </c>
      <c r="C11457" t="inlineStr">
        <is>
          <t>a vaguely defined set 
of customs, habits, and ideas</t>
        </is>
      </c>
      <c r="D11457">
        <f>HYPERLINK("https://www.youtube.com/watch?v=BGxYMTftuzw&amp;t=150s", "Go to time")</f>
        <v/>
      </c>
    </row>
    <row r="11458">
      <c r="A11458">
        <f>HYPERLINK("https://www.youtube.com/watch?v=BGxYMTftuzw", "Video")</f>
        <v/>
      </c>
      <c r="B11458" t="inlineStr">
        <is>
          <t>4:36</t>
        </is>
      </c>
      <c r="C11458" t="inlineStr">
        <is>
          <t>mandatory mango exhibitions 
organized by the government.</t>
        </is>
      </c>
      <c r="D11458">
        <f>HYPERLINK("https://www.youtube.com/watch?v=BGxYMTftuzw&amp;t=276s", "Go to time")</f>
        <v/>
      </c>
    </row>
    <row r="11459">
      <c r="A11459">
        <f>HYPERLINK("https://www.youtube.com/watch?v=wujEE3PRVUo", "Video")</f>
        <v/>
      </c>
      <c r="B11459" t="inlineStr">
        <is>
          <t>2:04</t>
        </is>
      </c>
      <c r="C11459" t="inlineStr">
        <is>
          <t>Standing even just a bit off
to the side</t>
        </is>
      </c>
      <c r="D11459">
        <f>HYPERLINK("https://www.youtube.com/watch?v=wujEE3PRVUo&amp;t=124s", "Go to time")</f>
        <v/>
      </c>
    </row>
    <row r="11460">
      <c r="A11460">
        <f>HYPERLINK("https://www.youtube.com/watch?v=UtNHCwmWYhY", "Video")</f>
        <v/>
      </c>
      <c r="B11460" t="inlineStr">
        <is>
          <t>1:59</t>
        </is>
      </c>
      <c r="C11460" t="inlineStr">
        <is>
          <t>satellites orbiting the Earth these are</t>
        </is>
      </c>
      <c r="D11460">
        <f>HYPERLINK("https://www.youtube.com/watch?v=UtNHCwmWYhY&amp;t=119s", "Go to time")</f>
        <v/>
      </c>
    </row>
    <row r="11461">
      <c r="A11461">
        <f>HYPERLINK("https://www.youtube.com/watch?v=UtNHCwmWYhY", "Video")</f>
        <v/>
      </c>
      <c r="B11461" t="inlineStr">
        <is>
          <t>2:02</t>
        </is>
      </c>
      <c r="C11461" t="inlineStr">
        <is>
          <t>orbiters we haven't included military</t>
        </is>
      </c>
      <c r="D11461">
        <f>HYPERLINK("https://www.youtube.com/watch?v=UtNHCwmWYhY&amp;t=122s", "Go to time")</f>
        <v/>
      </c>
    </row>
    <row r="11462">
      <c r="A11462">
        <f>HYPERLINK("https://www.youtube.com/watch?v=UtNHCwmWYhY", "Video")</f>
        <v/>
      </c>
      <c r="B11462" t="inlineStr">
        <is>
          <t>3:23</t>
        </is>
      </c>
      <c r="C11462" t="inlineStr">
        <is>
          <t>Dawn orbiting Vesta and we have over</t>
        </is>
      </c>
      <c r="D11462">
        <f>HYPERLINK("https://www.youtube.com/watch?v=UtNHCwmWYhY&amp;t=203s", "Go to time")</f>
        <v/>
      </c>
    </row>
    <row r="11463">
      <c r="A11463">
        <f>HYPERLINK("https://www.youtube.com/watch?v=UtNHCwmWYhY", "Video")</f>
        <v/>
      </c>
      <c r="B11463" t="inlineStr">
        <is>
          <t>4:09</t>
        </is>
      </c>
      <c r="C11463" t="inlineStr">
        <is>
          <t>Vesta and here we have Dawn orbiting</t>
        </is>
      </c>
      <c r="D11463">
        <f>HYPERLINK("https://www.youtube.com/watch?v=UtNHCwmWYhY&amp;t=249s", "Go to time")</f>
        <v/>
      </c>
    </row>
    <row r="11464">
      <c r="A11464">
        <f>HYPERLINK("https://www.youtube.com/watch?v=JAeIeYLlvTU", "Video")</f>
        <v/>
      </c>
      <c r="B11464" t="inlineStr">
        <is>
          <t>2:19</t>
        </is>
      </c>
      <c r="C11464" t="inlineStr">
        <is>
          <t>deployment on a bitter cold morning in</t>
        </is>
      </c>
      <c r="D11464">
        <f>HYPERLINK("https://www.youtube.com/watch?v=JAeIeYLlvTU&amp;t=139s", "Go to time")</f>
        <v/>
      </c>
    </row>
    <row r="11465">
      <c r="A11465">
        <f>HYPERLINK("https://www.youtube.com/watch?v=JAeIeYLlvTU", "Video")</f>
        <v/>
      </c>
      <c r="B11465" t="inlineStr">
        <is>
          <t>4:35</t>
        </is>
      </c>
      <c r="C11465" t="inlineStr">
        <is>
          <t>a little bit of support from the</t>
        </is>
      </c>
      <c r="D11465">
        <f>HYPERLINK("https://www.youtube.com/watch?v=JAeIeYLlvTU&amp;t=275s", "Go to time")</f>
        <v/>
      </c>
    </row>
    <row r="11466">
      <c r="A11466">
        <f>HYPERLINK("https://www.youtube.com/watch?v=j5Sl8LyI7k8", "Video")</f>
        <v/>
      </c>
      <c r="B11466" t="inlineStr">
        <is>
          <t>4:15</t>
        </is>
      </c>
      <c r="C11466" t="inlineStr">
        <is>
          <t>putting their sleeping habits out 
of sync with traditional sleeping hours.</t>
        </is>
      </c>
      <c r="D11466">
        <f>HYPERLINK("https://www.youtube.com/watch?v=j5Sl8LyI7k8&amp;t=255s", "Go to time")</f>
        <v/>
      </c>
    </row>
    <row r="11467">
      <c r="A11467">
        <f>HYPERLINK("https://www.youtube.com/watch?v=V5APNzLl2zU", "Video")</f>
        <v/>
      </c>
      <c r="B11467" t="inlineStr">
        <is>
          <t>7:14</t>
        </is>
      </c>
      <c r="C11467" t="inlineStr">
        <is>
          <t>and I like to exhibit these paintings in</t>
        </is>
      </c>
      <c r="D11467">
        <f>HYPERLINK("https://www.youtube.com/watch?v=V5APNzLl2zU&amp;t=434s", "Go to time")</f>
        <v/>
      </c>
    </row>
    <row r="11468">
      <c r="A11468">
        <f>HYPERLINK("https://www.youtube.com/watch?v=V5APNzLl2zU", "Video")</f>
        <v/>
      </c>
      <c r="B11468" t="inlineStr">
        <is>
          <t>7:17</t>
        </is>
      </c>
      <c r="C11468" t="inlineStr">
        <is>
          <t>the exhibition Hall without labels and</t>
        </is>
      </c>
      <c r="D11468">
        <f>HYPERLINK("https://www.youtube.com/watch?v=V5APNzLl2zU&amp;t=437s", "Go to time")</f>
        <v/>
      </c>
    </row>
    <row r="11469">
      <c r="A11469">
        <f>HYPERLINK("https://www.youtube.com/watch?v=VP0fd2be71s", "Video")</f>
        <v/>
      </c>
      <c r="B11469" t="inlineStr">
        <is>
          <t>3:21</t>
        </is>
      </c>
      <c r="C11469" t="inlineStr">
        <is>
          <t>For example, the idea that the curse
could be transmitted through bites</t>
        </is>
      </c>
      <c r="D11469">
        <f>HYPERLINK("https://www.youtube.com/watch?v=VP0fd2be71s&amp;t=201s", "Go to time")</f>
        <v/>
      </c>
    </row>
    <row r="11470">
      <c r="A11470">
        <f>HYPERLINK("https://www.youtube.com/watch?v=xfZhb6lmxjk", "Video")</f>
        <v/>
      </c>
      <c r="B11470" t="inlineStr">
        <is>
          <t>3:09</t>
        </is>
      </c>
      <c r="C11470" t="inlineStr">
        <is>
          <t>Unfortunately, matching donors 
and recipients is a bit more complicated</t>
        </is>
      </c>
      <c r="D11470">
        <f>HYPERLINK("https://www.youtube.com/watch?v=xfZhb6lmxjk&amp;t=189s", "Go to time")</f>
        <v/>
      </c>
    </row>
    <row r="11471">
      <c r="A11471">
        <f>HYPERLINK("https://www.youtube.com/watch?v=ylS_Uff2oMM", "Video")</f>
        <v/>
      </c>
      <c r="B11471" t="inlineStr">
        <is>
          <t>1:51</t>
        </is>
      </c>
      <c r="C11471" t="inlineStr">
        <is>
          <t>and bitterly criticized 
the conditions in its stables.</t>
        </is>
      </c>
      <c r="D11471">
        <f>HYPERLINK("https://www.youtube.com/watch?v=ylS_Uff2oMM&amp;t=111s", "Go to time")</f>
        <v/>
      </c>
    </row>
    <row r="11472">
      <c r="A11472">
        <f>HYPERLINK("https://www.youtube.com/watch?v=pHLP5CZMnL4", "Video")</f>
        <v/>
      </c>
      <c r="B11472" t="inlineStr">
        <is>
          <t>4:41</t>
        </is>
      </c>
      <c r="C11472" t="inlineStr">
        <is>
          <t>bite into that cheese rind,</t>
        </is>
      </c>
      <c r="D11472">
        <f>HYPERLINK("https://www.youtube.com/watch?v=pHLP5CZMnL4&amp;t=281s", "Go to time")</f>
        <v/>
      </c>
    </row>
    <row r="11473">
      <c r="A11473">
        <f>HYPERLINK("https://www.youtube.com/watch?v=eTYsIePy5zg", "Video")</f>
        <v/>
      </c>
      <c r="B11473" t="inlineStr">
        <is>
          <t>0:44</t>
        </is>
      </c>
      <c r="C11473" t="inlineStr">
        <is>
          <t>They just plonked places down in arbitrary
locations without any consistent scale.</t>
        </is>
      </c>
      <c r="D11473">
        <f>HYPERLINK("https://www.youtube.com/watch?v=eTYsIePy5zg&amp;t=44s", "Go to time")</f>
        <v/>
      </c>
    </row>
    <row r="11474">
      <c r="A11474">
        <f>HYPERLINK("https://www.youtube.com/watch?v=lkdLg0Nq4SQ", "Video")</f>
        <v/>
      </c>
      <c r="B11474" t="inlineStr">
        <is>
          <t>0:37</t>
        </is>
      </c>
      <c r="C11474" t="inlineStr">
        <is>
          <t>99% of them live in a range of habitats
where they play important ecological roles</t>
        </is>
      </c>
      <c r="D11474">
        <f>HYPERLINK("https://www.youtube.com/watch?v=lkdLg0Nq4SQ&amp;t=37s", "Go to time")</f>
        <v/>
      </c>
    </row>
    <row r="11475">
      <c r="A11475">
        <f>HYPERLINK("https://www.youtube.com/watch?v=lkdLg0Nq4SQ", "Video")</f>
        <v/>
      </c>
      <c r="B11475" t="inlineStr">
        <is>
          <t>4:33</t>
        </is>
      </c>
      <c r="C11475" t="inlineStr">
        <is>
          <t>also jeopardize the habitats and buffets 
we provide roaches.</t>
        </is>
      </c>
      <c r="D11475">
        <f>HYPERLINK("https://www.youtube.com/watch?v=lkdLg0Nq4SQ&amp;t=273s", "Go to time")</f>
        <v/>
      </c>
    </row>
    <row r="11476">
      <c r="A11476">
        <f>HYPERLINK("https://www.youtube.com/watch?v=4HZCPTiyAVY", "Video")</f>
        <v/>
      </c>
      <c r="B11476" t="inlineStr">
        <is>
          <t>0:34</t>
        </is>
      </c>
      <c r="C11476" t="inlineStr">
        <is>
          <t>and earwax evacuation remains
a popular hygienic habit today.</t>
        </is>
      </c>
      <c r="D11476">
        <f>HYPERLINK("https://www.youtube.com/watch?v=4HZCPTiyAVY&amp;t=34s", "Go to time")</f>
        <v/>
      </c>
    </row>
    <row r="11477">
      <c r="A11477">
        <f>HYPERLINK("https://www.youtube.com/watch?v=FsMWbVrjucg", "Video")</f>
        <v/>
      </c>
      <c r="B11477" t="inlineStr">
        <is>
          <t>1:01</t>
        </is>
      </c>
      <c r="C11477" t="inlineStr">
        <is>
          <t>So are ums and uhs 
just a habit we can’t break?</t>
        </is>
      </c>
      <c r="D11477">
        <f>HYPERLINK("https://www.youtube.com/watch?v=FsMWbVrjucg&amp;t=61s", "Go to time")</f>
        <v/>
      </c>
    </row>
    <row r="11478">
      <c r="A11478">
        <f>HYPERLINK("https://www.youtube.com/watch?v=ulHWR0Dp6Rk", "Video")</f>
        <v/>
      </c>
      <c r="B11478" t="inlineStr">
        <is>
          <t>2:22</t>
        </is>
      </c>
      <c r="C11478" t="inlineStr">
        <is>
          <t>Chichen Itza’s inhabitants crafted
sharp tools and precious ornaments.</t>
        </is>
      </c>
      <c r="D11478">
        <f>HYPERLINK("https://www.youtube.com/watch?v=ulHWR0Dp6Rk&amp;t=142s", "Go to time")</f>
        <v/>
      </c>
    </row>
    <row r="11479">
      <c r="A11479">
        <f>HYPERLINK("https://www.youtube.com/watch?v=ulHWR0Dp6Rk", "Video")</f>
        <v/>
      </c>
      <c r="B11479" t="inlineStr">
        <is>
          <t>3:52</t>
        </is>
      </c>
      <c r="C11479" t="inlineStr">
        <is>
          <t>the sacred paradise realm inhabited
by gods and ancestors.</t>
        </is>
      </c>
      <c r="D11479">
        <f>HYPERLINK("https://www.youtube.com/watch?v=ulHWR0Dp6Rk&amp;t=232s", "Go to time")</f>
        <v/>
      </c>
    </row>
    <row r="11480">
      <c r="A11480">
        <f>HYPERLINK("https://www.youtube.com/watch?v=lSXNqsOoURg", "Video")</f>
        <v/>
      </c>
      <c r="B11480" t="inlineStr">
        <is>
          <t>4:42</t>
        </is>
      </c>
      <c r="C11480" t="inlineStr">
        <is>
          <t>as they continue to suffer
from habitat destruction in Asia,</t>
        </is>
      </c>
      <c r="D11480">
        <f>HYPERLINK("https://www.youtube.com/watch?v=lSXNqsOoURg&amp;t=282s", "Go to time")</f>
        <v/>
      </c>
    </row>
    <row r="11481">
      <c r="A11481">
        <f>HYPERLINK("https://www.youtube.com/watch?v=yg16u_bzjPE", "Video")</f>
        <v/>
      </c>
      <c r="B11481" t="inlineStr">
        <is>
          <t>0:50</t>
        </is>
      </c>
      <c r="C11481" t="inlineStr">
        <is>
          <t>or stick to a moral code that prohibits
causing someone's death?</t>
        </is>
      </c>
      <c r="D11481">
        <f>HYPERLINK("https://www.youtube.com/watch?v=yg16u_bzjPE&amp;t=50s", "Go to time")</f>
        <v/>
      </c>
    </row>
    <row r="11482">
      <c r="A11482">
        <f>HYPERLINK("https://www.youtube.com/watch?v=yg16u_bzjPE", "Video")</f>
        <v/>
      </c>
      <c r="B11482" t="inlineStr">
        <is>
          <t>1:33</t>
        </is>
      </c>
      <c r="C11482" t="inlineStr">
        <is>
          <t>which we can see by changing
the trolley problem a bit.</t>
        </is>
      </c>
      <c r="D11482">
        <f>HYPERLINK("https://www.youtube.com/watch?v=yg16u_bzjPE&amp;t=93s", "Go to time")</f>
        <v/>
      </c>
    </row>
    <row r="11483">
      <c r="A11483">
        <f>HYPERLINK("https://www.youtube.com/watch?v=MhvjCWfy-lw", "Video")</f>
        <v/>
      </c>
      <c r="B11483" t="inlineStr">
        <is>
          <t>1:10</t>
        </is>
      </c>
      <c r="C11483" t="inlineStr">
        <is>
          <t>Now, with a little bit of rearranging,</t>
        </is>
      </c>
      <c r="D11483">
        <f>HYPERLINK("https://www.youtube.com/watch?v=MhvjCWfy-lw&amp;t=70s", "Go to time")</f>
        <v/>
      </c>
    </row>
    <row r="11484">
      <c r="A11484">
        <f>HYPERLINK("https://www.youtube.com/watch?v=MhvjCWfy-lw", "Video")</f>
        <v/>
      </c>
      <c r="B11484" t="inlineStr">
        <is>
          <t>2:01</t>
        </is>
      </c>
      <c r="C11484" t="inlineStr">
        <is>
          <t>With a little bit of rearranging,</t>
        </is>
      </c>
      <c r="D11484">
        <f>HYPERLINK("https://www.youtube.com/watch?v=MhvjCWfy-lw&amp;t=121s", "Go to time")</f>
        <v/>
      </c>
    </row>
    <row r="11485">
      <c r="A11485">
        <f>HYPERLINK("https://www.youtube.com/watch?v=TfVmW6sNux8", "Video")</f>
        <v/>
      </c>
      <c r="B11485" t="inlineStr">
        <is>
          <t>0:12</t>
        </is>
      </c>
      <c r="C11485" t="inlineStr">
        <is>
          <t>But there are no hobbits, dwarves,
or Valkyries in this tale.</t>
        </is>
      </c>
      <c r="D11485">
        <f>HYPERLINK("https://www.youtube.com/watch?v=TfVmW6sNux8&amp;t=12s", "Go to time")</f>
        <v/>
      </c>
    </row>
    <row r="11486">
      <c r="A11486">
        <f>HYPERLINK("https://www.youtube.com/watch?v=TfVmW6sNux8", "Video")</f>
        <v/>
      </c>
      <c r="B11486" t="inlineStr">
        <is>
          <t>3:39</t>
        </is>
      </c>
      <c r="C11486" t="inlineStr">
        <is>
          <t>Spirit is righteous, ambitious,
and the source of bold action,</t>
        </is>
      </c>
      <c r="D11486">
        <f>HYPERLINK("https://www.youtube.com/watch?v=TfVmW6sNux8&amp;t=219s", "Go to time")</f>
        <v/>
      </c>
    </row>
    <row r="11487">
      <c r="A11487">
        <f>HYPERLINK("https://www.youtube.com/watch?v=dv9sgFHS2Do", "Video")</f>
        <v/>
      </c>
      <c r="B11487" t="inlineStr">
        <is>
          <t>0:37</t>
        </is>
      </c>
      <c r="C11487" t="inlineStr">
        <is>
          <t>a dead-end street a little bit
lit by teeth—my heart, a clam</t>
        </is>
      </c>
      <c r="D11487">
        <f>HYPERLINK("https://www.youtube.com/watch?v=dv9sgFHS2Do&amp;t=37s", "Go to time")</f>
        <v/>
      </c>
    </row>
    <row r="11488">
      <c r="A11488">
        <f>HYPERLINK("https://www.youtube.com/watch?v=BJpPkOZKROc", "Video")</f>
        <v/>
      </c>
      <c r="B11488" t="inlineStr">
        <is>
          <t>1:58</t>
        </is>
      </c>
      <c r="C11488" t="inlineStr">
        <is>
          <t>but they only exhibit one sex at a time.</t>
        </is>
      </c>
      <c r="D11488">
        <f>HYPERLINK("https://www.youtube.com/watch?v=BJpPkOZKROc&amp;t=118s", "Go to time")</f>
        <v/>
      </c>
    </row>
    <row r="11489">
      <c r="A11489">
        <f>HYPERLINK("https://www.youtube.com/watch?v=EoYSToa2Yfw", "Video")</f>
        <v/>
      </c>
      <c r="B11489" t="inlineStr">
        <is>
          <t>1:31</t>
        </is>
      </c>
      <c r="C11489" t="inlineStr">
        <is>
          <t>in the table's shape 
by pulling it apart a bit,</t>
        </is>
      </c>
      <c r="D11489">
        <f>HYPERLINK("https://www.youtube.com/watch?v=EoYSToa2Yfw&amp;t=91s", "Go to time")</f>
        <v/>
      </c>
    </row>
    <row r="11490">
      <c r="A11490">
        <f>HYPERLINK("https://www.youtube.com/watch?v=sOBshvAknpQ", "Video")</f>
        <v/>
      </c>
      <c r="B11490" t="inlineStr">
        <is>
          <t>0:28</t>
        </is>
      </c>
      <c r="C11490" t="inlineStr">
        <is>
          <t>when these creatures, called trilobites, 
prospered.</t>
        </is>
      </c>
      <c r="D11490">
        <f>HYPERLINK("https://www.youtube.com/watch?v=sOBshvAknpQ&amp;t=28s", "Go to time")</f>
        <v/>
      </c>
    </row>
    <row r="11491">
      <c r="A11491">
        <f>HYPERLINK("https://www.youtube.com/watch?v=sOBshvAknpQ", "Video")</f>
        <v/>
      </c>
      <c r="B11491" t="inlineStr">
        <is>
          <t>0:40</t>
        </is>
      </c>
      <c r="C11491" t="inlineStr">
        <is>
          <t>trilobites are some of the most successful
lifeforms in Earth’s history.</t>
        </is>
      </c>
      <c r="D11491">
        <f>HYPERLINK("https://www.youtube.com/watch?v=sOBshvAknpQ&amp;t=40s", "Go to time")</f>
        <v/>
      </c>
    </row>
    <row r="11492">
      <c r="A11492">
        <f>HYPERLINK("https://www.youtube.com/watch?v=sOBshvAknpQ", "Video")</f>
        <v/>
      </c>
      <c r="B11492" t="inlineStr">
        <is>
          <t>0:57</t>
        </is>
      </c>
      <c r="C11492" t="inlineStr">
        <is>
          <t>trilobites had a unique perspective
on the ancient world.</t>
        </is>
      </c>
      <c r="D11492">
        <f>HYPERLINK("https://www.youtube.com/watch?v=sOBshvAknpQ&amp;t=57s", "Go to time")</f>
        <v/>
      </c>
    </row>
    <row r="11493">
      <c r="A11493">
        <f>HYPERLINK("https://www.youtube.com/watch?v=sOBshvAknpQ", "Video")</f>
        <v/>
      </c>
      <c r="B11493" t="inlineStr">
        <is>
          <t>1:02</t>
        </is>
      </c>
      <c r="C11493" t="inlineStr">
        <is>
          <t>For almost all of Earth’s history before 
the rise of the trilobites,</t>
        </is>
      </c>
      <c r="D11493">
        <f>HYPERLINK("https://www.youtube.com/watch?v=sOBshvAknpQ&amp;t=62s", "Go to time")</f>
        <v/>
      </c>
    </row>
    <row r="11494">
      <c r="A11494">
        <f>HYPERLINK("https://www.youtube.com/watch?v=sOBshvAknpQ", "Video")</f>
        <v/>
      </c>
      <c r="B11494" t="inlineStr">
        <is>
          <t>1:40</t>
        </is>
      </c>
      <c r="C11494" t="inlineStr">
        <is>
          <t>Trilobites were an important
part of this surge.</t>
        </is>
      </c>
      <c r="D11494">
        <f>HYPERLINK("https://www.youtube.com/watch?v=sOBshvAknpQ&amp;t=100s", "Go to time")</f>
        <v/>
      </c>
    </row>
    <row r="11495">
      <c r="A11495">
        <f>HYPERLINK("https://www.youtube.com/watch?v=sOBshvAknpQ", "Video")</f>
        <v/>
      </c>
      <c r="B11495" t="inlineStr">
        <is>
          <t>1:45</t>
        </is>
      </c>
      <c r="C11495" t="inlineStr">
        <is>
          <t>All trilobites had three lengthwise lobes,</t>
        </is>
      </c>
      <c r="D11495">
        <f>HYPERLINK("https://www.youtube.com/watch?v=sOBshvAknpQ&amp;t=105s", "Go to time")</f>
        <v/>
      </c>
    </row>
    <row r="11496">
      <c r="A11496">
        <f>HYPERLINK("https://www.youtube.com/watch?v=sOBshvAknpQ", "Video")</f>
        <v/>
      </c>
      <c r="B11496" t="inlineStr">
        <is>
          <t>2:05</t>
        </is>
      </c>
      <c r="C11496" t="inlineStr">
        <is>
          <t>Many trilobites plowed or burrowed into
the sea floor while others swam freely.</t>
        </is>
      </c>
      <c r="D11496">
        <f>HYPERLINK("https://www.youtube.com/watch?v=sOBshvAknpQ&amp;t=125s", "Go to time")</f>
        <v/>
      </c>
    </row>
    <row r="11497">
      <c r="A11497">
        <f>HYPERLINK("https://www.youtube.com/watch?v=sOBshvAknpQ", "Video")</f>
        <v/>
      </c>
      <c r="B11497" t="inlineStr">
        <is>
          <t>2:33</t>
        </is>
      </c>
      <c r="C11497" t="inlineStr">
        <is>
          <t>trilobites had compound eyes 
composed of many tiny lenses.</t>
        </is>
      </c>
      <c r="D11497">
        <f>HYPERLINK("https://www.youtube.com/watch?v=sOBshvAknpQ&amp;t=153s", "Go to time")</f>
        <v/>
      </c>
    </row>
    <row r="11498">
      <c r="A11498">
        <f>HYPERLINK("https://www.youtube.com/watch?v=sOBshvAknpQ", "Video")</f>
        <v/>
      </c>
      <c r="B11498" t="inlineStr">
        <is>
          <t>2:44</t>
        </is>
      </c>
      <c r="C11498" t="inlineStr">
        <is>
          <t>These lenses allowed trilobites
to form sharp images</t>
        </is>
      </c>
      <c r="D11498">
        <f>HYPERLINK("https://www.youtube.com/watch?v=sOBshvAknpQ&amp;t=164s", "Go to time")</f>
        <v/>
      </c>
    </row>
    <row r="11499">
      <c r="A11499">
        <f>HYPERLINK("https://www.youtube.com/watch?v=sOBshvAknpQ", "Video")</f>
        <v/>
      </c>
      <c r="B11499" t="inlineStr">
        <is>
          <t>3:08</t>
        </is>
      </c>
      <c r="C11499" t="inlineStr">
        <is>
          <t>And some trilobites had pillar-like eyes
that may have offered 360 degree views,</t>
        </is>
      </c>
      <c r="D11499">
        <f>HYPERLINK("https://www.youtube.com/watch?v=sOBshvAknpQ&amp;t=188s", "Go to time")</f>
        <v/>
      </c>
    </row>
    <row r="11500">
      <c r="A11500">
        <f>HYPERLINK("https://www.youtube.com/watch?v=sOBshvAknpQ", "Video")</f>
        <v/>
      </c>
      <c r="B11500" t="inlineStr">
        <is>
          <t>3:20</t>
        </is>
      </c>
      <c r="C11500" t="inlineStr">
        <is>
          <t>trilobites were vulnerable 
to environmental changes and predators.</t>
        </is>
      </c>
      <c r="D11500">
        <f>HYPERLINK("https://www.youtube.com/watch?v=sOBshvAknpQ&amp;t=200s", "Go to time")</f>
        <v/>
      </c>
    </row>
    <row r="11501">
      <c r="A11501">
        <f>HYPERLINK("https://www.youtube.com/watch?v=sOBshvAknpQ", "Video")</f>
        <v/>
      </c>
      <c r="B11501" t="inlineStr">
        <is>
          <t>3:30</t>
        </is>
      </c>
      <c r="C11501" t="inlineStr">
        <is>
          <t>radically changing some of their habitats.</t>
        </is>
      </c>
      <c r="D11501">
        <f>HYPERLINK("https://www.youtube.com/watch?v=sOBshvAknpQ&amp;t=210s", "Go to time")</f>
        <v/>
      </c>
    </row>
    <row r="11502">
      <c r="A11502">
        <f>HYPERLINK("https://www.youtube.com/watch?v=sOBshvAknpQ", "Video")</f>
        <v/>
      </c>
      <c r="B11502" t="inlineStr">
        <is>
          <t>3:33</t>
        </is>
      </c>
      <c r="C11502" t="inlineStr">
        <is>
          <t>This was the beginning of what would prove
to be the trilobite’s long demise.</t>
        </is>
      </c>
      <c r="D11502">
        <f>HYPERLINK("https://www.youtube.com/watch?v=sOBshvAknpQ&amp;t=213s", "Go to time")</f>
        <v/>
      </c>
    </row>
    <row r="11503">
      <c r="A11503">
        <f>HYPERLINK("https://www.youtube.com/watch?v=sOBshvAknpQ", "Video")</f>
        <v/>
      </c>
      <c r="B11503" t="inlineStr">
        <is>
          <t>3:44</t>
        </is>
      </c>
      <c r="C11503" t="inlineStr">
        <is>
          <t>Trilobites developed spiky ornamentation</t>
        </is>
      </c>
      <c r="D11503">
        <f>HYPERLINK("https://www.youtube.com/watch?v=sOBshvAknpQ&amp;t=224s", "Go to time")</f>
        <v/>
      </c>
    </row>
    <row r="11504">
      <c r="A11504">
        <f>HYPERLINK("https://www.youtube.com/watch?v=sOBshvAknpQ", "Video")</f>
        <v/>
      </c>
      <c r="B11504" t="inlineStr">
        <is>
          <t>4:01</t>
        </is>
      </c>
      <c r="C11504" t="inlineStr">
        <is>
          <t>Trilobite diversity dwindled, 
and come about 360 million years ago,</t>
        </is>
      </c>
      <c r="D11504">
        <f>HYPERLINK("https://www.youtube.com/watch?v=sOBshvAknpQ&amp;t=241s", "Go to time")</f>
        <v/>
      </c>
    </row>
    <row r="11505">
      <c r="A11505">
        <f>HYPERLINK("https://www.youtube.com/watch?v=sOBshvAknpQ", "Video")</f>
        <v/>
      </c>
      <c r="B11505" t="inlineStr">
        <is>
          <t>4:07</t>
        </is>
      </c>
      <c r="C11505" t="inlineStr">
        <is>
          <t>only one of the 10 former 
trilobite orders remained.</t>
        </is>
      </c>
      <c r="D11505">
        <f>HYPERLINK("https://www.youtube.com/watch?v=sOBshvAknpQ&amp;t=247s", "Go to time")</f>
        <v/>
      </c>
    </row>
    <row r="11506">
      <c r="A11506">
        <f>HYPERLINK("https://www.youtube.com/watch?v=sOBshvAknpQ", "Video")</f>
        <v/>
      </c>
      <c r="B11506" t="inlineStr">
        <is>
          <t>4:18</t>
        </is>
      </c>
      <c r="C11506" t="inlineStr">
        <is>
          <t>This catastrophic period finished
the trilobites off—</t>
        </is>
      </c>
      <c r="D11506">
        <f>HYPERLINK("https://www.youtube.com/watch?v=sOBshvAknpQ&amp;t=258s", "Go to time")</f>
        <v/>
      </c>
    </row>
    <row r="11507">
      <c r="A11507">
        <f>HYPERLINK("https://www.youtube.com/watch?v=sOBshvAknpQ", "Video")</f>
        <v/>
      </c>
      <c r="B11507" t="inlineStr">
        <is>
          <t>4:26</t>
        </is>
      </c>
      <c r="C11507" t="inlineStr">
        <is>
          <t>But trilobites left a remarkable 
record behind.</t>
        </is>
      </c>
      <c r="D11507">
        <f>HYPERLINK("https://www.youtube.com/watch?v=sOBshvAknpQ&amp;t=266s", "Go to time")</f>
        <v/>
      </c>
    </row>
    <row r="11508">
      <c r="A11508">
        <f>HYPERLINK("https://www.youtube.com/watch?v=sOBshvAknpQ", "Video")</f>
        <v/>
      </c>
      <c r="B11508" t="inlineStr">
        <is>
          <t>4:38</t>
        </is>
      </c>
      <c r="C11508" t="inlineStr">
        <is>
          <t>We’ve found trilobite fossils 
on every single continent—</t>
        </is>
      </c>
      <c r="D11508">
        <f>HYPERLINK("https://www.youtube.com/watch?v=sOBshvAknpQ&amp;t=278s", "Go to time")</f>
        <v/>
      </c>
    </row>
    <row r="11509">
      <c r="A11509">
        <f>HYPERLINK("https://www.youtube.com/watch?v=sOBshvAknpQ", "Video")</f>
        <v/>
      </c>
      <c r="B11509" t="inlineStr">
        <is>
          <t>4:45</t>
        </is>
      </c>
      <c r="C11509" t="inlineStr">
        <is>
          <t>Trilobites have no direct descendants,</t>
        </is>
      </c>
      <c r="D11509">
        <f>HYPERLINK("https://www.youtube.com/watch?v=sOBshvAknpQ&amp;t=285s", "Go to time")</f>
        <v/>
      </c>
    </row>
    <row r="11510">
      <c r="A11510">
        <f>HYPERLINK("https://www.youtube.com/watch?v=sOBshvAknpQ", "Video")</f>
        <v/>
      </c>
      <c r="B11510" t="inlineStr">
        <is>
          <t>4:57</t>
        </is>
      </c>
      <c r="C11510" t="inlineStr">
        <is>
          <t>we might say that, although Earth may 
no longer be the planet of the trilobites,</t>
        </is>
      </c>
      <c r="D11510">
        <f>HYPERLINK("https://www.youtube.com/watch?v=sOBshvAknpQ&amp;t=297s", "Go to time")</f>
        <v/>
      </c>
    </row>
    <row r="11511">
      <c r="A11511">
        <f>HYPERLINK("https://www.youtube.com/watch?v=sbCvQbBi2G8", "Video")</f>
        <v/>
      </c>
      <c r="B11511" t="inlineStr">
        <is>
          <t>2:23</t>
        </is>
      </c>
      <c r="C11511" t="inlineStr">
        <is>
          <t>a brain region responsible 
for cognitive control and inhibition,</t>
        </is>
      </c>
      <c r="D11511">
        <f>HYPERLINK("https://www.youtube.com/watch?v=sbCvQbBi2G8&amp;t=143s", "Go to time")</f>
        <v/>
      </c>
    </row>
    <row r="11512">
      <c r="A11512">
        <f>HYPERLINK("https://www.youtube.com/watch?v=dRSPy3ZwpBk", "Video")</f>
        <v/>
      </c>
      <c r="B11512" t="inlineStr">
        <is>
          <t>5:07</t>
        </is>
      </c>
      <c r="C11512" t="inlineStr">
        <is>
          <t>mom and dad kick in and help you out a bit more, right?</t>
        </is>
      </c>
      <c r="D11512">
        <f>HYPERLINK("https://www.youtube.com/watch?v=dRSPy3ZwpBk&amp;t=307s", "Go to time")</f>
        <v/>
      </c>
    </row>
    <row r="11513">
      <c r="A11513">
        <f>HYPERLINK("https://www.youtube.com/watch?v=qfITRYcnP84", "Video")</f>
        <v/>
      </c>
      <c r="B11513" t="inlineStr">
        <is>
          <t>1:19</t>
        </is>
      </c>
      <c r="C11513" t="inlineStr">
        <is>
          <t>Aniconism prohibits any visual depiction of the divine.</t>
        </is>
      </c>
      <c r="D11513">
        <f>HYPERLINK("https://www.youtube.com/watch?v=qfITRYcnP84&amp;t=79s", "Go to time")</f>
        <v/>
      </c>
    </row>
    <row r="11514">
      <c r="A11514">
        <f>HYPERLINK("https://www.youtube.com/watch?v=qfITRYcnP84", "Video")</f>
        <v/>
      </c>
      <c r="B11514" t="inlineStr">
        <is>
          <t>1:47</t>
        </is>
      </c>
      <c r="C11514" t="inlineStr">
        <is>
          <t>where the depiction of Allah or the Prophet Muhammad is prohibited,</t>
        </is>
      </c>
      <c r="D11514">
        <f>HYPERLINK("https://www.youtube.com/watch?v=qfITRYcnP84&amp;t=107s", "Go to time")</f>
        <v/>
      </c>
    </row>
    <row r="11515">
      <c r="A11515">
        <f>HYPERLINK("https://www.youtube.com/watch?v=qfITRYcnP84", "Video")</f>
        <v/>
      </c>
      <c r="B11515" t="inlineStr">
        <is>
          <t>3:41</t>
        </is>
      </c>
      <c r="C11515" t="inlineStr">
        <is>
          <t>Exhibits are organized by curators,</t>
        </is>
      </c>
      <c r="D11515">
        <f>HYPERLINK("https://www.youtube.com/watch?v=qfITRYcnP84&amp;t=221s", "Go to time")</f>
        <v/>
      </c>
    </row>
    <row r="11516">
      <c r="A11516">
        <f>HYPERLINK("https://www.youtube.com/watch?v=25LW_PG2ZuI", "Video")</f>
        <v/>
      </c>
      <c r="B11516" t="inlineStr">
        <is>
          <t>3:27</t>
        </is>
      </c>
      <c r="C11516" t="inlineStr">
        <is>
          <t>creating reservoirs and habitats 
for local wildlife.</t>
        </is>
      </c>
      <c r="D11516">
        <f>HYPERLINK("https://www.youtube.com/watch?v=25LW_PG2ZuI&amp;t=207s", "Go to time")</f>
        <v/>
      </c>
    </row>
    <row r="11517">
      <c r="A11517">
        <f>HYPERLINK("https://www.youtube.com/watch?v=RX-upJeSm7w", "Video")</f>
        <v/>
      </c>
      <c r="B11517" t="inlineStr">
        <is>
          <t>0:48</t>
        </is>
      </c>
      <c r="C11517" t="inlineStr">
        <is>
          <t>online search histories, spending habits,
and history of marriage and divorce.</t>
        </is>
      </c>
      <c r="D11517">
        <f>HYPERLINK("https://www.youtube.com/watch?v=RX-upJeSm7w&amp;t=48s", "Go to time")</f>
        <v/>
      </c>
    </row>
    <row r="11518">
      <c r="A11518">
        <f>HYPERLINK("https://www.youtube.com/watch?v=p5v7h4wQDPg", "Video")</f>
        <v/>
      </c>
      <c r="B11518" t="inlineStr">
        <is>
          <t>2:53</t>
        </is>
      </c>
      <c r="C11518" t="inlineStr">
        <is>
          <t>bit of this problem. And the answer to</t>
        </is>
      </c>
      <c r="D11518">
        <f>HYPERLINK("https://www.youtube.com/watch?v=p5v7h4wQDPg&amp;t=173s", "Go to time")</f>
        <v/>
      </c>
    </row>
    <row r="11519">
      <c r="A11519">
        <f>HYPERLINK("https://www.youtube.com/watch?v=BN9yqF6Um98", "Video")</f>
        <v/>
      </c>
      <c r="B11519" t="inlineStr">
        <is>
          <t>2:48</t>
        </is>
      </c>
      <c r="C11519" t="inlineStr">
        <is>
          <t>which is largely responsible 
for inhibition and cognitive control,</t>
        </is>
      </c>
      <c r="D11519">
        <f>HYPERLINK("https://www.youtube.com/watch?v=BN9yqF6Um98&amp;t=168s", "Go to time")</f>
        <v/>
      </c>
    </row>
    <row r="11520">
      <c r="A11520">
        <f>HYPERLINK("https://www.youtube.com/watch?v=BN9yqF6Um98", "Video")</f>
        <v/>
      </c>
      <c r="B11520" t="inlineStr">
        <is>
          <t>3:07</t>
        </is>
      </c>
      <c r="C11520" t="inlineStr">
        <is>
          <t>the decrease in inhibition and cognitive
control might lead to wild associations—</t>
        </is>
      </c>
      <c r="D11520">
        <f>HYPERLINK("https://www.youtube.com/watch?v=BN9yqF6Um98&amp;t=187s", "Go to time")</f>
        <v/>
      </c>
    </row>
    <row r="11521">
      <c r="A11521">
        <f>HYPERLINK("https://www.youtube.com/watch?v=D9tTi-CDjDU", "Video")</f>
        <v/>
      </c>
      <c r="B11521" t="inlineStr">
        <is>
          <t>4:40</t>
        </is>
      </c>
      <c r="C11521" t="inlineStr">
        <is>
          <t>As we continue to encroach 
on other animals’ habitats,</t>
        </is>
      </c>
      <c r="D11521">
        <f>HYPERLINK("https://www.youtube.com/watch?v=D9tTi-CDjDU&amp;t=280s", "Go to time")</f>
        <v/>
      </c>
    </row>
    <row r="11522">
      <c r="A11522">
        <f>HYPERLINK("https://www.youtube.com/watch?v=SgLO10cUC1M", "Video")</f>
        <v/>
      </c>
      <c r="B11522" t="inlineStr">
        <is>
          <t>0:07</t>
        </is>
      </c>
      <c r="C11522" t="inlineStr">
        <is>
          <t>Astronomers have discovered thousands of
planets orbiting stars other than the Sun.</t>
        </is>
      </c>
      <c r="D11522">
        <f>HYPERLINK("https://www.youtube.com/watch?v=SgLO10cUC1M&amp;t=7s", "Go to time")</f>
        <v/>
      </c>
    </row>
    <row r="11523">
      <c r="A11523">
        <f>HYPERLINK("https://www.youtube.com/watch?v=SgLO10cUC1M", "Video")</f>
        <v/>
      </c>
      <c r="B11523" t="inlineStr">
        <is>
          <t>0:14</t>
        </is>
      </c>
      <c r="C11523" t="inlineStr">
        <is>
          <t>at different orbital distances 
from their stars.</t>
        </is>
      </c>
      <c r="D11523">
        <f>HYPERLINK("https://www.youtube.com/watch?v=SgLO10cUC1M&amp;t=14s", "Go to time")</f>
        <v/>
      </c>
    </row>
    <row r="11524">
      <c r="A11524">
        <f>HYPERLINK("https://www.youtube.com/watch?v=SgLO10cUC1M", "Video")</f>
        <v/>
      </c>
      <c r="B11524" t="inlineStr">
        <is>
          <t>0:28</t>
        </is>
      </c>
      <c r="C11524" t="inlineStr">
        <is>
          <t>and orbits not too close
and too far away from its parent star,</t>
        </is>
      </c>
      <c r="D11524">
        <f>HYPERLINK("https://www.youtube.com/watch?v=SgLO10cUC1M&amp;t=28s", "Go to time")</f>
        <v/>
      </c>
    </row>
    <row r="11525">
      <c r="A11525">
        <f>HYPERLINK("https://www.youtube.com/watch?v=SgLO10cUC1M", "Video")</f>
        <v/>
      </c>
      <c r="B11525" t="inlineStr">
        <is>
          <t>0:39</t>
        </is>
      </c>
      <c r="C11525" t="inlineStr">
        <is>
          <t>Astronomers discover these potentially
habitable planets,</t>
        </is>
      </c>
      <c r="D11525">
        <f>HYPERLINK("https://www.youtube.com/watch?v=SgLO10cUC1M&amp;t=39s", "Go to time")</f>
        <v/>
      </c>
    </row>
    <row r="11526">
      <c r="A11526">
        <f>HYPERLINK("https://www.youtube.com/watch?v=SgLO10cUC1M", "Video")</f>
        <v/>
      </c>
      <c r="B11526" t="inlineStr">
        <is>
          <t>2:54</t>
        </is>
      </c>
      <c r="C11526" t="inlineStr">
        <is>
          <t>In 1990, both Voyager spacecraft
passed beyond the orbit of Pluto.</t>
        </is>
      </c>
      <c r="D11526">
        <f>HYPERLINK("https://www.youtube.com/watch?v=SgLO10cUC1M&amp;t=174s", "Go to time")</f>
        <v/>
      </c>
    </row>
    <row r="11527">
      <c r="A11527">
        <f>HYPERLINK("https://www.youtube.com/watch?v=MMmOLN5zBLY", "Video")</f>
        <v/>
      </c>
      <c r="B11527" t="inlineStr">
        <is>
          <t>2:57</t>
        </is>
      </c>
      <c r="C11527" t="inlineStr">
        <is>
          <t>exhibit less emotional bias
and a more rational approach</t>
        </is>
      </c>
      <c r="D11527">
        <f>HYPERLINK("https://www.youtube.com/watch?v=MMmOLN5zBLY&amp;t=177s", "Go to time")</f>
        <v/>
      </c>
    </row>
    <row r="11528">
      <c r="A11528">
        <f>HYPERLINK("https://www.youtube.com/watch?v=ZNMwhaSHK9Q", "Video")</f>
        <v/>
      </c>
      <c r="B11528" t="inlineStr">
        <is>
          <t>0:32</t>
        </is>
      </c>
      <c r="C11528" t="inlineStr">
        <is>
          <t>zealous ambition,</t>
        </is>
      </c>
      <c r="D11528">
        <f>HYPERLINK("https://www.youtube.com/watch?v=ZNMwhaSHK9Q&amp;t=32s", "Go to time")</f>
        <v/>
      </c>
    </row>
    <row r="11529">
      <c r="A11529">
        <f>HYPERLINK("https://www.youtube.com/watch?v=CMQLdJa64Wk", "Video")</f>
        <v/>
      </c>
      <c r="B11529" t="inlineStr">
        <is>
          <t>3:45</t>
        </is>
      </c>
      <c r="C11529" t="inlineStr">
        <is>
          <t>They believe that even though markets may 
exhibit inefficiencies at any given point,</t>
        </is>
      </c>
      <c r="D11529">
        <f>HYPERLINK("https://www.youtube.com/watch?v=CMQLdJa64Wk&amp;t=225s", "Go to time")</f>
        <v/>
      </c>
    </row>
    <row r="11530">
      <c r="A11530">
        <f>HYPERLINK("https://www.youtube.com/watch?v=4TQETLZZmcM", "Video")</f>
        <v/>
      </c>
      <c r="B11530" t="inlineStr">
        <is>
          <t>5:16</t>
        </is>
      </c>
      <c r="C11530" t="inlineStr">
        <is>
          <t>bits and pieces of the entire experience</t>
        </is>
      </c>
      <c r="D11530">
        <f>HYPERLINK("https://www.youtube.com/watch?v=4TQETLZZmcM&amp;t=316s", "Go to time")</f>
        <v/>
      </c>
    </row>
    <row r="11531">
      <c r="A11531">
        <f>HYPERLINK("https://www.youtube.com/watch?v=4TQETLZZmcM", "Video")</f>
        <v/>
      </c>
      <c r="B11531" t="inlineStr">
        <is>
          <t>11:11</t>
        </is>
      </c>
      <c r="C11531" t="inlineStr">
        <is>
          <t>numbers and here I became a bit</t>
        </is>
      </c>
      <c r="D11531">
        <f>HYPERLINK("https://www.youtube.com/watch?v=4TQETLZZmcM&amp;t=671s", "Go to time")</f>
        <v/>
      </c>
    </row>
    <row r="11532">
      <c r="A11532">
        <f>HYPERLINK("https://www.youtube.com/watch?v=AcmarVpo2xE", "Video")</f>
        <v/>
      </c>
      <c r="B11532" t="inlineStr">
        <is>
          <t>1:03</t>
        </is>
      </c>
      <c r="C11532" t="inlineStr">
        <is>
          <t>patients might bite their tongues
or even break bones.</t>
        </is>
      </c>
      <c r="D11532">
        <f>HYPERLINK("https://www.youtube.com/watch?v=AcmarVpo2xE&amp;t=63s", "Go to time")</f>
        <v/>
      </c>
    </row>
    <row r="11533">
      <c r="A11533">
        <f>HYPERLINK("https://www.youtube.com/watch?v=HoXyw909Qu0", "Video")</f>
        <v/>
      </c>
      <c r="B11533" t="inlineStr">
        <is>
          <t>0:13</t>
        </is>
      </c>
      <c r="C11533" t="inlineStr">
        <is>
          <t>Imagine you and a friend are 
strolling through an art exhibit</t>
        </is>
      </c>
      <c r="D11533">
        <f>HYPERLINK("https://www.youtube.com/watch?v=HoXyw909Qu0&amp;t=13s", "Go to time")</f>
        <v/>
      </c>
    </row>
    <row r="11534">
      <c r="A11534">
        <f>HYPERLINK("https://www.youtube.com/watch?v=b0IbXG0hnOk", "Video")</f>
        <v/>
      </c>
      <c r="B11534" t="inlineStr">
        <is>
          <t>1:41</t>
        </is>
      </c>
      <c r="C11534" t="inlineStr">
        <is>
          <t>Vibration is where it gets a bit tricky.</t>
        </is>
      </c>
      <c r="D11534">
        <f>HYPERLINK("https://www.youtube.com/watch?v=b0IbXG0hnOk&amp;t=101s", "Go to time")</f>
        <v/>
      </c>
    </row>
    <row r="11535">
      <c r="A11535">
        <f>HYPERLINK("https://www.youtube.com/watch?v=AhsIF-cmoQQ", "Video")</f>
        <v/>
      </c>
      <c r="B11535" t="inlineStr">
        <is>
          <t>1:25</t>
        </is>
      </c>
      <c r="C11535" t="inlineStr">
        <is>
          <t>that overlapped each other
a little bit on both ends.</t>
        </is>
      </c>
      <c r="D11535">
        <f>HYPERLINK("https://www.youtube.com/watch?v=AhsIF-cmoQQ&amp;t=85s", "Go to time")</f>
        <v/>
      </c>
    </row>
    <row r="11536">
      <c r="A11536">
        <f>HYPERLINK("https://www.youtube.com/watch?v=AhsIF-cmoQQ", "Video")</f>
        <v/>
      </c>
      <c r="B11536" t="inlineStr">
        <is>
          <t>1:41</t>
        </is>
      </c>
      <c r="C11536" t="inlineStr">
        <is>
          <t>Using the overlapping bits as a guide,</t>
        </is>
      </c>
      <c r="D11536">
        <f>HYPERLINK("https://www.youtube.com/watch?v=AhsIF-cmoQQ&amp;t=101s", "Go to time")</f>
        <v/>
      </c>
    </row>
    <row r="11537">
      <c r="A11537">
        <f>HYPERLINK("https://www.youtube.com/watch?v=AhsIF-cmoQQ", "Video")</f>
        <v/>
      </c>
      <c r="B11537" t="inlineStr">
        <is>
          <t>2:04</t>
        </is>
      </c>
      <c r="C11537" t="inlineStr">
        <is>
          <t>In each case, the fragments 
were arbitrarily broken up</t>
        </is>
      </c>
      <c r="D11537">
        <f>HYPERLINK("https://www.youtube.com/watch?v=AhsIF-cmoQQ&amp;t=124s", "Go to time")</f>
        <v/>
      </c>
    </row>
    <row r="11538">
      <c r="A11538">
        <f>HYPERLINK("https://www.youtube.com/watch?v=AhsIF-cmoQQ", "Video")</f>
        <v/>
      </c>
      <c r="B11538" t="inlineStr">
        <is>
          <t>2:48</t>
        </is>
      </c>
      <c r="C11538" t="inlineStr">
        <is>
          <t>into a giant heap 
of small, overlapping bits.</t>
        </is>
      </c>
      <c r="D11538">
        <f>HYPERLINK("https://www.youtube.com/watch?v=AhsIF-cmoQQ&amp;t=168s", "Go to time")</f>
        <v/>
      </c>
    </row>
    <row r="11539">
      <c r="A11539">
        <f>HYPERLINK("https://www.youtube.com/watch?v=AhsIF-cmoQQ", "Video")</f>
        <v/>
      </c>
      <c r="B11539" t="inlineStr">
        <is>
          <t>2:52</t>
        </is>
      </c>
      <c r="C11539" t="inlineStr">
        <is>
          <t>Once these bits were sequenced
via the Sanger method,</t>
        </is>
      </c>
      <c r="D11539">
        <f>HYPERLINK("https://www.youtube.com/watch?v=AhsIF-cmoQQ&amp;t=172s", "Go to time")</f>
        <v/>
      </c>
    </row>
    <row r="11540">
      <c r="A11540">
        <f>HYPERLINK("https://www.youtube.com/watch?v=AhsIF-cmoQQ", "Video")</f>
        <v/>
      </c>
      <c r="B11540" t="inlineStr">
        <is>
          <t>4:39</t>
        </is>
      </c>
      <c r="C11540" t="inlineStr">
        <is>
          <t>for the next generation 
of ambitious research initiatives.</t>
        </is>
      </c>
      <c r="D11540">
        <f>HYPERLINK("https://www.youtube.com/watch?v=AhsIF-cmoQQ&amp;t=279s", "Go to time")</f>
        <v/>
      </c>
    </row>
    <row r="11541">
      <c r="A11541">
        <f>HYPERLINK("https://www.youtube.com/watch?v=GyN2RhbhiEU", "Video")</f>
        <v/>
      </c>
      <c r="B11541" t="inlineStr">
        <is>
          <t>1:25</t>
        </is>
      </c>
      <c r="C11541" t="inlineStr">
        <is>
          <t>to explain the nature of planetary orbits.</t>
        </is>
      </c>
      <c r="D11541">
        <f>HYPERLINK("https://www.youtube.com/watch?v=GyN2RhbhiEU&amp;t=85s", "Go to time")</f>
        <v/>
      </c>
    </row>
    <row r="11542">
      <c r="A11542">
        <f>HYPERLINK("https://www.youtube.com/watch?v=me6NciKf3Bk", "Video")</f>
        <v/>
      </c>
      <c r="B11542" t="inlineStr">
        <is>
          <t>1:48</t>
        </is>
      </c>
      <c r="C11542" t="inlineStr">
        <is>
          <t>habits it helps them suggest books for</t>
        </is>
      </c>
      <c r="D11542">
        <f>HYPERLINK("https://www.youtube.com/watch?v=me6NciKf3Bk&amp;t=108s", "Go to time")</f>
        <v/>
      </c>
    </row>
    <row r="11543">
      <c r="A11543">
        <f>HYPERLINK("https://www.youtube.com/watch?v=me6NciKf3Bk", "Video")</f>
        <v/>
      </c>
      <c r="B11543" t="inlineStr">
        <is>
          <t>2:34</t>
        </is>
      </c>
      <c r="C11543" t="inlineStr">
        <is>
          <t>bit further the visualization you see</t>
        </is>
      </c>
      <c r="D11543">
        <f>HYPERLINK("https://www.youtube.com/watch?v=me6NciKf3Bk&amp;t=154s", "Go to time")</f>
        <v/>
      </c>
    </row>
    <row r="11544">
      <c r="A11544">
        <f>HYPERLINK("https://www.youtube.com/watch?v=me6NciKf3Bk", "Video")</f>
        <v/>
      </c>
      <c r="B11544" t="inlineStr">
        <is>
          <t>3:58</t>
        </is>
      </c>
      <c r="C11544" t="inlineStr">
        <is>
          <t>bites into breakfast</t>
        </is>
      </c>
      <c r="D11544">
        <f>HYPERLINK("https://www.youtube.com/watch?v=me6NciKf3Bk&amp;t=238s", "Go to time")</f>
        <v/>
      </c>
    </row>
    <row r="11545">
      <c r="A11545">
        <f>HYPERLINK("https://www.youtube.com/watch?v=RDA64eUoxag", "Video")</f>
        <v/>
      </c>
      <c r="B11545" t="inlineStr">
        <is>
          <t>2:17</t>
        </is>
      </c>
      <c r="C11545" t="inlineStr">
        <is>
          <t>with Observations on their Habits.”</t>
        </is>
      </c>
      <c r="D11545">
        <f>HYPERLINK("https://www.youtube.com/watch?v=RDA64eUoxag&amp;t=137s", "Go to time")</f>
        <v/>
      </c>
    </row>
    <row r="11546">
      <c r="A11546">
        <f>HYPERLINK("https://www.youtube.com/watch?v=2YuFNymq_M0", "Video")</f>
        <v/>
      </c>
      <c r="B11546" t="inlineStr">
        <is>
          <t>0:35</t>
        </is>
      </c>
      <c r="C11546" t="inlineStr">
        <is>
          <t>Forests don’t usually come to mind
as a habitat for sharks.</t>
        </is>
      </c>
      <c r="D11546">
        <f>HYPERLINK("https://www.youtube.com/watch?v=2YuFNymq_M0&amp;t=35s", "Go to time")</f>
        <v/>
      </c>
    </row>
    <row r="11547">
      <c r="A11547">
        <f>HYPERLINK("https://www.youtube.com/watch?v=2YuFNymq_M0", "Video")</f>
        <v/>
      </c>
      <c r="B11547" t="inlineStr">
        <is>
          <t>5:18</t>
        </is>
      </c>
      <c r="C11547" t="inlineStr">
        <is>
          <t>So, like the sharks that inhabit them,</t>
        </is>
      </c>
      <c r="D11547">
        <f>HYPERLINK("https://www.youtube.com/watch?v=2YuFNymq_M0&amp;t=318s", "Go to time")</f>
        <v/>
      </c>
    </row>
    <row r="11548">
      <c r="A11548">
        <f>HYPERLINK("https://www.youtube.com/watch?v=3L31XDIbIFI", "Video")</f>
        <v/>
      </c>
      <c r="B11548" t="inlineStr">
        <is>
          <t>15:14</t>
        </is>
      </c>
      <c r="C11548" t="inlineStr">
        <is>
          <t>a little bit blurred by the fact that</t>
        </is>
      </c>
      <c r="D11548">
        <f>HYPERLINK("https://www.youtube.com/watch?v=3L31XDIbIFI&amp;t=914s", "Go to time")</f>
        <v/>
      </c>
    </row>
    <row r="11549">
      <c r="A11549">
        <f>HYPERLINK("https://www.youtube.com/watch?v=hz6GULbowAk", "Video")</f>
        <v/>
      </c>
      <c r="B11549" t="inlineStr">
        <is>
          <t>0:27</t>
        </is>
      </c>
      <c r="C11549" t="inlineStr">
        <is>
          <t>bitterness 
is detected at the tongue’s base,</t>
        </is>
      </c>
      <c r="D11549">
        <f>HYPERLINK("https://www.youtube.com/watch?v=hz6GULbowAk&amp;t=27s", "Go to time")</f>
        <v/>
      </c>
    </row>
    <row r="11550">
      <c r="A11550">
        <f>HYPERLINK("https://www.youtube.com/watch?v=hz6GULbowAk", "Video")</f>
        <v/>
      </c>
      <c r="B11550" t="inlineStr">
        <is>
          <t>1:16</t>
        </is>
      </c>
      <c r="C11550" t="inlineStr">
        <is>
          <t>Using sucrose for sweet, 
quinine sulfate for bitter,</t>
        </is>
      </c>
      <c r="D11550">
        <f>HYPERLINK("https://www.youtube.com/watch?v=hz6GULbowAk&amp;t=76s", "Go to time")</f>
        <v/>
      </c>
    </row>
    <row r="11551">
      <c r="A11551">
        <f>HYPERLINK("https://www.youtube.com/watch?v=hz6GULbowAk", "Video")</f>
        <v/>
      </c>
      <c r="B11551" t="inlineStr">
        <is>
          <t>1:47</t>
        </is>
      </c>
      <c r="C11551" t="inlineStr">
        <is>
          <t>bitter flavors were strongest at the back;
salt was strongest in this area,</t>
        </is>
      </c>
      <c r="D11551">
        <f>HYPERLINK("https://www.youtube.com/watch?v=hz6GULbowAk&amp;t=107s", "Go to time")</f>
        <v/>
      </c>
    </row>
    <row r="11552">
      <c r="A11552">
        <f>HYPERLINK("https://www.youtube.com/watch?v=hz6GULbowAk", "Video")</f>
        <v/>
      </c>
      <c r="B11552" t="inlineStr">
        <is>
          <t>4:49</t>
        </is>
      </c>
      <c r="C11552" t="inlineStr">
        <is>
          <t>because misconceptions 
can leave a bitter taste</t>
        </is>
      </c>
      <c r="D11552">
        <f>HYPERLINK("https://www.youtube.com/watch?v=hz6GULbowAk&amp;t=289s", "Go to time")</f>
        <v/>
      </c>
    </row>
    <row r="11553">
      <c r="A11553">
        <f>HYPERLINK("https://www.youtube.com/watch?v=r1BhsWsmjco", "Video")</f>
        <v/>
      </c>
      <c r="B11553" t="inlineStr">
        <is>
          <t>1:41</t>
        </is>
      </c>
      <c r="C11553" t="inlineStr">
        <is>
          <t>Since the Roman government largely 
prohibited working with human cadavers,</t>
        </is>
      </c>
      <c r="D11553">
        <f>HYPERLINK("https://www.youtube.com/watch?v=r1BhsWsmjco&amp;t=101s", "Go to time")</f>
        <v/>
      </c>
    </row>
    <row r="11554">
      <c r="A11554">
        <f>HYPERLINK("https://www.youtube.com/watch?v=tbkiYideS-4", "Video")</f>
        <v/>
      </c>
      <c r="B11554" t="inlineStr">
        <is>
          <t>0:24</t>
        </is>
      </c>
      <c r="C11554" t="inlineStr">
        <is>
          <t>When one of his three heads bites 
down on the soul in front of it,</t>
        </is>
      </c>
      <c r="D11554">
        <f>HYPERLINK("https://www.youtube.com/watch?v=tbkiYideS-4&amp;t=24s", "Go to time")</f>
        <v/>
      </c>
    </row>
    <row r="11555">
      <c r="A11555">
        <f>HYPERLINK("https://www.youtube.com/watch?v=tbkiYideS-4", "Video")</f>
        <v/>
      </c>
      <c r="B11555" t="inlineStr">
        <is>
          <t>0:41</t>
        </is>
      </c>
      <c r="C11555" t="inlineStr">
        <is>
          <t>Each of the dog’s heads has an equal
chance of being the one to bite each time,</t>
        </is>
      </c>
      <c r="D11555">
        <f>HYPERLINK("https://www.youtube.com/watch?v=tbkiYideS-4&amp;t=41s", "Go to time")</f>
        <v/>
      </c>
    </row>
    <row r="11556">
      <c r="A11556">
        <f>HYPERLINK("https://www.youtube.com/watch?v=tbkiYideS-4", "Video")</f>
        <v/>
      </c>
      <c r="B11556" t="inlineStr">
        <is>
          <t>0:47</t>
        </is>
      </c>
      <c r="C11556" t="inlineStr">
        <is>
          <t>and no two ever bite simultaneously.</t>
        </is>
      </c>
      <c r="D11556">
        <f>HYPERLINK("https://www.youtube.com/watch?v=tbkiYideS-4&amp;t=47s", "Go to time")</f>
        <v/>
      </c>
    </row>
    <row r="11557">
      <c r="A11557">
        <f>HYPERLINK("https://www.youtube.com/watch?v=9wSOt3z_-YY", "Video")</f>
        <v/>
      </c>
      <c r="B11557" t="inlineStr">
        <is>
          <t>3:44</t>
        </is>
      </c>
      <c r="C11557" t="inlineStr">
        <is>
          <t>she bitterly renewed her vows.</t>
        </is>
      </c>
      <c r="D11557">
        <f>HYPERLINK("https://www.youtube.com/watch?v=9wSOt3z_-YY&amp;t=224s", "Go to time")</f>
        <v/>
      </c>
    </row>
    <row r="11558">
      <c r="A11558">
        <f>HYPERLINK("https://www.youtube.com/watch?v=LgBj48s1SA8", "Video")</f>
        <v/>
      </c>
      <c r="B11558" t="inlineStr">
        <is>
          <t>0:06</t>
        </is>
      </c>
      <c r="C11558" t="inlineStr">
        <is>
          <t>A rabbit attempts to play a church organ,</t>
        </is>
      </c>
      <c r="D11558">
        <f>HYPERLINK("https://www.youtube.com/watch?v=LgBj48s1SA8&amp;t=6s", "Go to time")</f>
        <v/>
      </c>
    </row>
    <row r="11559">
      <c r="A11559">
        <f>HYPERLINK("https://www.youtube.com/watch?v=LgBj48s1SA8", "Video")</f>
        <v/>
      </c>
      <c r="B11559" t="inlineStr">
        <is>
          <t>1:07</t>
        </is>
      </c>
      <c r="C11559" t="inlineStr">
        <is>
          <t>Rabbits, meanwhile, could represent 
human’s lustful natures—</t>
        </is>
      </c>
      <c r="D11559">
        <f>HYPERLINK("https://www.youtube.com/watch?v=LgBj48s1SA8&amp;t=67s", "Go to time")</f>
        <v/>
      </c>
    </row>
    <row r="11560">
      <c r="A11560">
        <f>HYPERLINK("https://www.youtube.com/watch?v=PLmmb2f1fDk", "Video")</f>
        <v/>
      </c>
      <c r="B11560" t="inlineStr">
        <is>
          <t>2:28</t>
        </is>
      </c>
      <c r="C11560" t="inlineStr">
        <is>
          <t>animals like mice and rabbits were
injected with human urine</t>
        </is>
      </c>
      <c r="D11560">
        <f>HYPERLINK("https://www.youtube.com/watch?v=PLmmb2f1fDk&amp;t=148s", "Go to time")</f>
        <v/>
      </c>
    </row>
    <row r="11561">
      <c r="A11561">
        <f>HYPERLINK("https://www.youtube.com/watch?v=PLmmb2f1fDk", "Video")</f>
        <v/>
      </c>
      <c r="B11561" t="inlineStr">
        <is>
          <t>3:10</t>
        </is>
      </c>
      <c r="C11561" t="inlineStr">
        <is>
          <t>Better still, these frogs were abundant
in their native habitat,</t>
        </is>
      </c>
      <c r="D11561">
        <f>HYPERLINK("https://www.youtube.com/watch?v=PLmmb2f1fDk&amp;t=190s", "Go to time")</f>
        <v/>
      </c>
    </row>
    <row r="11562">
      <c r="A11562">
        <f>HYPERLINK("https://www.youtube.com/watch?v=Q6ZEf6UZyco", "Video")</f>
        <v/>
      </c>
      <c r="B11562" t="inlineStr">
        <is>
          <t>3:37</t>
        </is>
      </c>
      <c r="C11562" t="inlineStr">
        <is>
          <t>They’d swarm in an orbit 
around a black hole,</t>
        </is>
      </c>
      <c r="D11562">
        <f>HYPERLINK("https://www.youtube.com/watch?v=Q6ZEf6UZyco&amp;t=217s", "Go to time")</f>
        <v/>
      </c>
    </row>
    <row r="11563">
      <c r="A11563">
        <f>HYPERLINK("https://www.youtube.com/watch?v=Q6ZEf6UZyco", "Video")</f>
        <v/>
      </c>
      <c r="B11563" t="inlineStr">
        <is>
          <t>4:05</t>
        </is>
      </c>
      <c r="C11563" t="inlineStr">
        <is>
          <t>and might be disrupted by stars orbiting
the black hole.</t>
        </is>
      </c>
      <c r="D11563">
        <f>HYPERLINK("https://www.youtube.com/watch?v=Q6ZEf6UZyco&amp;t=245s", "Go to time")</f>
        <v/>
      </c>
    </row>
    <row r="11564">
      <c r="A11564">
        <f>HYPERLINK("https://www.youtube.com/watch?v=WJoSHQvniDY", "Video")</f>
        <v/>
      </c>
      <c r="B11564" t="inlineStr">
        <is>
          <t>7:36</t>
        </is>
      </c>
      <c r="C11564" t="inlineStr">
        <is>
          <t>out a little bit but because you don't</t>
        </is>
      </c>
      <c r="D11564">
        <f>HYPERLINK("https://www.youtube.com/watch?v=WJoSHQvniDY&amp;t=456s", "Go to time")</f>
        <v/>
      </c>
    </row>
    <row r="11565">
      <c r="A11565">
        <f>HYPERLINK("https://www.youtube.com/watch?v=WJoSHQvniDY", "Video")</f>
        <v/>
      </c>
      <c r="B11565" t="inlineStr">
        <is>
          <t>12:09</t>
        </is>
      </c>
      <c r="C11565" t="inlineStr">
        <is>
          <t>mobility and also the bitterness and</t>
        </is>
      </c>
      <c r="D11565">
        <f>HYPERLINK("https://www.youtube.com/watch?v=WJoSHQvniDY&amp;t=729s", "Go to time")</f>
        <v/>
      </c>
    </row>
    <row r="11566">
      <c r="A11566">
        <f>HYPERLINK("https://www.youtube.com/watch?v=WJoSHQvniDY", "Video")</f>
        <v/>
      </c>
      <c r="B11566" t="inlineStr">
        <is>
          <t>14:20</t>
        </is>
      </c>
      <c r="C11566" t="inlineStr">
        <is>
          <t>they're a little bit lost in terms of</t>
        </is>
      </c>
      <c r="D11566">
        <f>HYPERLINK("https://www.youtube.com/watch?v=WJoSHQvniDY&amp;t=860s", "Go to time")</f>
        <v/>
      </c>
    </row>
    <row r="11567">
      <c r="A11567">
        <f>HYPERLINK("https://www.youtube.com/watch?v=ZZZ6QB5TSfk", "Video")</f>
        <v/>
      </c>
      <c r="B11567" t="inlineStr">
        <is>
          <t>1:29</t>
        </is>
      </c>
      <c r="C11567" t="inlineStr">
        <is>
          <t>hundreds of different cultures
prohibit it.</t>
        </is>
      </c>
      <c r="D11567">
        <f>HYPERLINK("https://www.youtube.com/watch?v=ZZZ6QB5TSfk&amp;t=89s", "Go to time")</f>
        <v/>
      </c>
    </row>
    <row r="11568">
      <c r="A11568">
        <f>HYPERLINK("https://www.youtube.com/watch?v=zGoBFU1q4g0", "Video")</f>
        <v/>
      </c>
      <c r="B11568" t="inlineStr">
        <is>
          <t>2:54</t>
        </is>
      </c>
      <c r="C11568" t="inlineStr">
        <is>
          <t>humans were already using sharpened flint
to remove bits of rotten teeth.</t>
        </is>
      </c>
      <c r="D11568">
        <f>HYPERLINK("https://www.youtube.com/watch?v=zGoBFU1q4g0&amp;t=174s", "Go to time")</f>
        <v/>
      </c>
    </row>
    <row r="11569">
      <c r="A11569">
        <f>HYPERLINK("https://www.youtube.com/watch?v=Op3AYaJc0Xw", "Video")</f>
        <v/>
      </c>
      <c r="B11569" t="inlineStr">
        <is>
          <t>1:50</t>
        </is>
      </c>
      <c r="C11569" t="inlineStr">
        <is>
          <t>the halfway point of the Earth's
yearlong orbit around the Sun.</t>
        </is>
      </c>
      <c r="D11569">
        <f>HYPERLINK("https://www.youtube.com/watch?v=Op3AYaJc0Xw&amp;t=110s", "Go to time")</f>
        <v/>
      </c>
    </row>
    <row r="11570">
      <c r="A11570">
        <f>HYPERLINK("https://www.youtube.com/watch?v=2ivZ6GSaK1M", "Video")</f>
        <v/>
      </c>
      <c r="B11570" t="inlineStr">
        <is>
          <t>2:12</t>
        </is>
      </c>
      <c r="C11570" t="inlineStr">
        <is>
          <t>and helping them cope with habitats
that other creatures can't.</t>
        </is>
      </c>
      <c r="D11570">
        <f>HYPERLINK("https://www.youtube.com/watch?v=2ivZ6GSaK1M&amp;t=132s", "Go to time")</f>
        <v/>
      </c>
    </row>
    <row r="11571">
      <c r="A11571">
        <f>HYPERLINK("https://www.youtube.com/watch?v=2ivZ6GSaK1M", "Video")</f>
        <v/>
      </c>
      <c r="B11571" t="inlineStr">
        <is>
          <t>2:24</t>
        </is>
      </c>
      <c r="C11571" t="inlineStr">
        <is>
          <t>millions of insects can inhabit
a small space</t>
        </is>
      </c>
      <c r="D11571">
        <f>HYPERLINK("https://www.youtube.com/watch?v=2ivZ6GSaK1M&amp;t=144s", "Go to time")</f>
        <v/>
      </c>
    </row>
    <row r="11572">
      <c r="A11572">
        <f>HYPERLINK("https://www.youtube.com/watch?v=2ivZ6GSaK1M", "Video")</f>
        <v/>
      </c>
      <c r="B11572" t="inlineStr">
        <is>
          <t>2:57</t>
        </is>
      </c>
      <c r="C11572" t="inlineStr">
        <is>
          <t>Mosquitos and biting flies feed on blood,</t>
        </is>
      </c>
      <c r="D11572">
        <f>HYPERLINK("https://www.youtube.com/watch?v=2ivZ6GSaK1M&amp;t=177s", "Go to time")</f>
        <v/>
      </c>
    </row>
    <row r="11573">
      <c r="A11573">
        <f>HYPERLINK("https://www.youtube.com/watch?v=aRRE5TEnfsA", "Video")</f>
        <v/>
      </c>
      <c r="B11573" t="inlineStr">
        <is>
          <t>8:19</t>
        </is>
      </c>
      <c r="C11573" t="inlineStr">
        <is>
          <t>disastrous habit of large companies to</t>
        </is>
      </c>
      <c r="D11573">
        <f>HYPERLINK("https://www.youtube.com/watch?v=aRRE5TEnfsA&amp;t=499s", "Go to time")</f>
        <v/>
      </c>
    </row>
    <row r="11574">
      <c r="A11574">
        <f>HYPERLINK("https://www.youtube.com/watch?v=rQ0EKiCt6H8", "Video")</f>
        <v/>
      </c>
      <c r="B11574" t="inlineStr">
        <is>
          <t>0:25</t>
        </is>
      </c>
      <c r="C11574" t="inlineStr">
        <is>
          <t>and the inhabitants of oasis cities
like Mecca and Medina.</t>
        </is>
      </c>
      <c r="D11574">
        <f>HYPERLINK("https://www.youtube.com/watch?v=rQ0EKiCt6H8&amp;t=25s", "Go to time")</f>
        <v/>
      </c>
    </row>
    <row r="11575">
      <c r="A11575">
        <f>HYPERLINK("https://www.youtube.com/watch?v=1JXq9779zwU", "Video")</f>
        <v/>
      </c>
      <c r="B11575" t="inlineStr">
        <is>
          <t>0:06</t>
        </is>
      </c>
      <c r="C11575" t="inlineStr">
        <is>
          <t>Somewhere between the orbits 
of Mars and Jupiter,</t>
        </is>
      </c>
      <c r="D11575">
        <f>HYPERLINK("https://www.youtube.com/watch?v=1JXq9779zwU&amp;t=6s", "Go to time")</f>
        <v/>
      </c>
    </row>
    <row r="11576">
      <c r="A11576">
        <f>HYPERLINK("https://www.youtube.com/watch?v=1JXq9779zwU", "Video")</f>
        <v/>
      </c>
      <c r="B11576" t="inlineStr">
        <is>
          <t>2:09</t>
        </is>
      </c>
      <c r="C11576" t="inlineStr">
        <is>
          <t>Dust and gas orbiting our young Sun 
cooled and collided</t>
        </is>
      </c>
      <c r="D11576">
        <f>HYPERLINK("https://www.youtube.com/watch?v=1JXq9779zwU&amp;t=129s", "Go to time")</f>
        <v/>
      </c>
    </row>
    <row r="11577">
      <c r="A11577">
        <f>HYPERLINK("https://www.youtube.com/watch?v=1JXq9779zwU", "Video")</f>
        <v/>
      </c>
      <c r="B11577" t="inlineStr">
        <is>
          <t>2:17</t>
        </is>
      </c>
      <c r="C11577" t="inlineStr">
        <is>
          <t>As these continued to orbit,
some combined to grow larger,</t>
        </is>
      </c>
      <c r="D11577">
        <f>HYPERLINK("https://www.youtube.com/watch?v=1JXq9779zwU&amp;t=137s", "Go to time")</f>
        <v/>
      </c>
    </row>
    <row r="11578">
      <c r="A11578">
        <f>HYPERLINK("https://www.youtube.com/watch?v=1JXq9779zwU", "Video")</f>
        <v/>
      </c>
      <c r="B11578" t="inlineStr">
        <is>
          <t>3:08</t>
        </is>
      </c>
      <c r="C11578" t="inlineStr">
        <is>
          <t>To do that, NASA’s robotic orbiter 
will be equipped</t>
        </is>
      </c>
      <c r="D11578">
        <f>HYPERLINK("https://www.youtube.com/watch?v=1JXq9779zwU&amp;t=188s", "Go to time")</f>
        <v/>
      </c>
    </row>
    <row r="11579">
      <c r="A11579">
        <f>HYPERLINK("https://www.youtube.com/watch?v=1JXq9779zwU", "Video")</f>
        <v/>
      </c>
      <c r="B11579" t="inlineStr">
        <is>
          <t>3:50</t>
        </is>
      </c>
      <c r="C11579" t="inlineStr">
        <is>
          <t>to discover our own planet’s innermost 
secrets in an orbit far, far away.</t>
        </is>
      </c>
      <c r="D11579">
        <f>HYPERLINK("https://www.youtube.com/watch?v=1JXq9779zwU&amp;t=230s", "Go to time")</f>
        <v/>
      </c>
    </row>
    <row r="11580">
      <c r="A11580">
        <f>HYPERLINK("https://www.youtube.com/watch?v=Ie8qJuXYN7w", "Video")</f>
        <v/>
      </c>
      <c r="B11580" t="inlineStr">
        <is>
          <t>1:56</t>
        </is>
      </c>
      <c r="C11580" t="inlineStr">
        <is>
          <t>Martha had a secret ambition</t>
        </is>
      </c>
      <c r="D11580">
        <f>HYPERLINK("https://www.youtube.com/watch?v=Ie8qJuXYN7w&amp;t=116s", "Go to time")</f>
        <v/>
      </c>
    </row>
    <row r="11581">
      <c r="A11581">
        <f>HYPERLINK("https://www.youtube.com/watch?v=Ie8qJuXYN7w", "Video")</f>
        <v/>
      </c>
      <c r="B11581" t="inlineStr">
        <is>
          <t>3:18</t>
        </is>
      </c>
      <c r="C11581" t="inlineStr">
        <is>
          <t>Her ambition was now propelled</t>
        </is>
      </c>
      <c r="D11581">
        <f>HYPERLINK("https://www.youtube.com/watch?v=Ie8qJuXYN7w&amp;t=198s", "Go to time")</f>
        <v/>
      </c>
    </row>
    <row r="11582">
      <c r="A11582">
        <f>HYPERLINK("https://www.youtube.com/watch?v=rD5goS69LT4", "Video")</f>
        <v/>
      </c>
      <c r="B11582" t="inlineStr">
        <is>
          <t>0:58</t>
        </is>
      </c>
      <c r="C11582" t="inlineStr">
        <is>
          <t>Along the way, it asks important questions
about ambition,</t>
        </is>
      </c>
      <c r="D11582">
        <f>HYPERLINK("https://www.youtube.com/watch?v=rD5goS69LT4&amp;t=58s", "Go to time")</f>
        <v/>
      </c>
    </row>
    <row r="11583">
      <c r="A11583">
        <f>HYPERLINK("https://www.youtube.com/watch?v=rD5goS69LT4", "Video")</f>
        <v/>
      </c>
      <c r="B11583" t="inlineStr">
        <is>
          <t>4:24</t>
        </is>
      </c>
      <c r="C11583" t="inlineStr">
        <is>
          <t>But Shakespeare saves the juiciest
bit of all for Macbeth himself.</t>
        </is>
      </c>
      <c r="D11583">
        <f>HYPERLINK("https://www.youtube.com/watch?v=rD5goS69LT4&amp;t=264s", "Go to time")</f>
        <v/>
      </c>
    </row>
    <row r="11584">
      <c r="A11584">
        <f>HYPERLINK("https://www.youtube.com/watch?v=Ltbi0uHZpOs", "Video")</f>
        <v/>
      </c>
      <c r="B11584" t="inlineStr">
        <is>
          <t>3:08</t>
        </is>
      </c>
      <c r="C11584" t="inlineStr">
        <is>
          <t>who's going to buy your Ribbit it's</t>
        </is>
      </c>
      <c r="D11584">
        <f>HYPERLINK("https://www.youtube.com/watch?v=Ltbi0uHZpOs&amp;t=188s", "Go to time")</f>
        <v/>
      </c>
    </row>
    <row r="11585">
      <c r="A11585">
        <f>HYPERLINK("https://www.youtube.com/watch?v=Ltbi0uHZpOs", "Video")</f>
        <v/>
      </c>
      <c r="B11585" t="inlineStr">
        <is>
          <t>6:50</t>
        </is>
      </c>
      <c r="C11585" t="inlineStr">
        <is>
          <t>little bit it's a broad patent now can</t>
        </is>
      </c>
      <c r="D11585">
        <f>HYPERLINK("https://www.youtube.com/watch?v=Ltbi0uHZpOs&amp;t=410s", "Go to time")</f>
        <v/>
      </c>
    </row>
    <row r="11586">
      <c r="A11586">
        <f>HYPERLINK("https://www.youtube.com/watch?v=ztoUaJFEi8M", "Video")</f>
        <v/>
      </c>
      <c r="B11586" t="inlineStr">
        <is>
          <t>1:07</t>
        </is>
      </c>
      <c r="C11586" t="inlineStr">
        <is>
          <t>and ensured that the Earth’s inhabitants
were bonded to each other</t>
        </is>
      </c>
      <c r="D11586">
        <f>HYPERLINK("https://www.youtube.com/watch?v=ztoUaJFEi8M&amp;t=67s", "Go to time")</f>
        <v/>
      </c>
    </row>
    <row r="11587">
      <c r="A11587">
        <f>HYPERLINK("https://www.youtube.com/watch?v=O18-FA83BaM", "Video")</f>
        <v/>
      </c>
      <c r="B11587" t="inlineStr">
        <is>
          <t>1:05</t>
        </is>
      </c>
      <c r="C11587" t="inlineStr">
        <is>
          <t>inhabited by the world’s two other
Gorgons, Stheno and Euryale.</t>
        </is>
      </c>
      <c r="D11587">
        <f>HYPERLINK("https://www.youtube.com/watch?v=O18-FA83BaM&amp;t=65s", "Go to time")</f>
        <v/>
      </c>
    </row>
    <row r="11588">
      <c r="A11588">
        <f>HYPERLINK("https://www.youtube.com/watch?v=uOuwOc5l1AA", "Video")</f>
        <v/>
      </c>
      <c r="B11588" t="inlineStr">
        <is>
          <t>0:36</t>
        </is>
      </c>
      <c r="C11588" t="inlineStr">
        <is>
          <t>But they also showcased the destructive
whirlwind of profiteering and ambition</t>
        </is>
      </c>
      <c r="D11588">
        <f>HYPERLINK("https://www.youtube.com/watch?v=uOuwOc5l1AA&amp;t=36s", "Go to time")</f>
        <v/>
      </c>
    </row>
    <row r="11589">
      <c r="A11589">
        <f>HYPERLINK("https://www.youtube.com/watch?v=uOuwOc5l1AA", "Video")</f>
        <v/>
      </c>
      <c r="B11589" t="inlineStr">
        <is>
          <t>3:45</t>
        </is>
      </c>
      <c r="C11589" t="inlineStr">
        <is>
          <t>to further Marsh’s scientific ambitions.</t>
        </is>
      </c>
      <c r="D11589">
        <f>HYPERLINK("https://www.youtube.com/watch?v=uOuwOc5l1AA&amp;t=225s", "Go to time")</f>
        <v/>
      </c>
    </row>
    <row r="11590">
      <c r="A11590">
        <f>HYPERLINK("https://www.youtube.com/watch?v=wteUW2sL7bc", "Video")</f>
        <v/>
      </c>
      <c r="B11590" t="inlineStr">
        <is>
          <t>0:55</t>
        </is>
      </c>
      <c r="C11590" t="inlineStr">
        <is>
          <t>In each group, also known as a bit,</t>
        </is>
      </c>
      <c r="D11590">
        <f>HYPERLINK("https://www.youtube.com/watch?v=wteUW2sL7bc&amp;t=55s", "Go to time")</f>
        <v/>
      </c>
    </row>
    <row r="11591">
      <c r="A11591">
        <f>HYPERLINK("https://www.youtube.com/watch?v=wteUW2sL7bc", "Video")</f>
        <v/>
      </c>
      <c r="B11591" t="inlineStr">
        <is>
          <t>1:08</t>
        </is>
      </c>
      <c r="C11591" t="inlineStr">
        <is>
          <t>by converting strings of bits 
into electrical current</t>
        </is>
      </c>
      <c r="D11591">
        <f>HYPERLINK("https://www.youtube.com/watch?v=wteUW2sL7bc&amp;t=68s", "Go to time")</f>
        <v/>
      </c>
    </row>
    <row r="11592">
      <c r="A11592">
        <f>HYPERLINK("https://www.youtube.com/watch?v=wteUW2sL7bc", "Video")</f>
        <v/>
      </c>
      <c r="B11592" t="inlineStr">
        <is>
          <t>1:40</t>
        </is>
      </c>
      <c r="C11592" t="inlineStr">
        <is>
          <t>For example, a letter is represented
in one byte, or eight bits,</t>
        </is>
      </c>
      <c r="D11592">
        <f>HYPERLINK("https://www.youtube.com/watch?v=wteUW2sL7bc&amp;t=100s", "Go to time")</f>
        <v/>
      </c>
    </row>
    <row r="11593">
      <c r="A11593">
        <f>HYPERLINK("https://www.youtube.com/watch?v=wteUW2sL7bc", "Video")</f>
        <v/>
      </c>
      <c r="B11593" t="inlineStr">
        <is>
          <t>1:47</t>
        </is>
      </c>
      <c r="C11593" t="inlineStr">
        <is>
          <t>each of which is 8 million bits.</t>
        </is>
      </c>
      <c r="D11593">
        <f>HYPERLINK("https://www.youtube.com/watch?v=wteUW2sL7bc&amp;t=107s", "Go to time")</f>
        <v/>
      </c>
    </row>
    <row r="11594">
      <c r="A11594">
        <f>HYPERLINK("https://www.youtube.com/watch?v=wteUW2sL7bc", "Video")</f>
        <v/>
      </c>
      <c r="B11594" t="inlineStr">
        <is>
          <t>1:50</t>
        </is>
      </c>
      <c r="C11594" t="inlineStr">
        <is>
          <t>Because each bit must be written onto
a physical area of the disc,</t>
        </is>
      </c>
      <c r="D11594">
        <f>HYPERLINK("https://www.youtube.com/watch?v=wteUW2sL7bc&amp;t=110s", "Go to time")</f>
        <v/>
      </c>
    </row>
    <row r="11595">
      <c r="A11595">
        <f>HYPERLINK("https://www.youtube.com/watch?v=wteUW2sL7bc", "Video")</f>
        <v/>
      </c>
      <c r="B11595" t="inlineStr">
        <is>
          <t>1:58</t>
        </is>
      </c>
      <c r="C11595" t="inlineStr">
        <is>
          <t>or how many bits can be squeezed
into one square inch.</t>
        </is>
      </c>
      <c r="D11595">
        <f>HYPERLINK("https://www.youtube.com/watch?v=wteUW2sL7bc&amp;t=118s", "Go to time")</f>
        <v/>
      </c>
    </row>
    <row r="11596">
      <c r="A11596">
        <f>HYPERLINK("https://www.youtube.com/watch?v=wteUW2sL7bc", "Video")</f>
        <v/>
      </c>
      <c r="B11596" t="inlineStr">
        <is>
          <t>2:03</t>
        </is>
      </c>
      <c r="C11596" t="inlineStr">
        <is>
          <t>The areal density of a modern hard drive
is about 600 gigabits per square inch,</t>
        </is>
      </c>
      <c r="D11596">
        <f>HYPERLINK("https://www.youtube.com/watch?v=wteUW2sL7bc&amp;t=123s", "Go to time")</f>
        <v/>
      </c>
    </row>
    <row r="11597">
      <c r="A11597">
        <f>HYPERLINK("https://www.youtube.com/watch?v=wteUW2sL7bc", "Video")</f>
        <v/>
      </c>
      <c r="B11597" t="inlineStr">
        <is>
          <t>2:39</t>
        </is>
      </c>
      <c r="C11597" t="inlineStr">
        <is>
          <t>Bits could also be packed closer together
thanks to mathematical algorithms</t>
        </is>
      </c>
      <c r="D11597">
        <f>HYPERLINK("https://www.youtube.com/watch?v=wteUW2sL7bc&amp;t=159s", "Go to time")</f>
        <v/>
      </c>
    </row>
    <row r="11598">
      <c r="A11598">
        <f>HYPERLINK("https://www.youtube.com/watch?v=wteUW2sL7bc", "Video")</f>
        <v/>
      </c>
      <c r="B11598" t="inlineStr">
        <is>
          <t>2:46</t>
        </is>
      </c>
      <c r="C11598" t="inlineStr">
        <is>
          <t>and find the most likely bit sequences
from each chunk of read-back signal.</t>
        </is>
      </c>
      <c r="D11598">
        <f>HYPERLINK("https://www.youtube.com/watch?v=wteUW2sL7bc&amp;t=166s", "Go to time")</f>
        <v/>
      </c>
    </row>
    <row r="11599">
      <c r="A11599">
        <f>HYPERLINK("https://www.youtube.com/watch?v=wteUW2sL7bc", "Video")</f>
        <v/>
      </c>
      <c r="B11599" t="inlineStr">
        <is>
          <t>3:23</t>
        </is>
      </c>
      <c r="C11599" t="inlineStr">
        <is>
          <t>But at around 100 gigabits 
per square inch,</t>
        </is>
      </c>
      <c r="D11599">
        <f>HYPERLINK("https://www.youtube.com/watch?v=wteUW2sL7bc&amp;t=203s", "Go to time")</f>
        <v/>
      </c>
    </row>
    <row r="11600">
      <c r="A11600">
        <f>HYPERLINK("https://www.youtube.com/watch?v=wteUW2sL7bc", "Video")</f>
        <v/>
      </c>
      <c r="B11600" t="inlineStr">
        <is>
          <t>3:41</t>
        </is>
      </c>
      <c r="C11600" t="inlineStr">
        <is>
          <t>and can cause bits 
to switch unintentionally,</t>
        </is>
      </c>
      <c r="D11600">
        <f>HYPERLINK("https://www.youtube.com/watch?v=wteUW2sL7bc&amp;t=221s", "Go to time")</f>
        <v/>
      </c>
    </row>
    <row r="11601">
      <c r="A11601">
        <f>HYPERLINK("https://www.youtube.com/watch?v=wteUW2sL7bc", "Video")</f>
        <v/>
      </c>
      <c r="B11601" t="inlineStr">
        <is>
          <t>3:55</t>
        </is>
      </c>
      <c r="C11601" t="inlineStr">
        <is>
          <t>allowing areal density to approach
one terabit per square inch.</t>
        </is>
      </c>
      <c r="D11601">
        <f>HYPERLINK("https://www.youtube.com/watch?v=wteUW2sL7bc&amp;t=235s", "Go to time")</f>
        <v/>
      </c>
    </row>
    <row r="11602">
      <c r="A11602">
        <f>HYPERLINK("https://www.youtube.com/watch?v=wteUW2sL7bc", "Video")</f>
        <v/>
      </c>
      <c r="B11602" t="inlineStr">
        <is>
          <t>4:28</t>
        </is>
      </c>
      <c r="C11602" t="inlineStr">
        <is>
          <t>bit-patterned media,</t>
        </is>
      </c>
      <c r="D11602">
        <f>HYPERLINK("https://www.youtube.com/watch?v=wteUW2sL7bc&amp;t=268s", "Go to time")</f>
        <v/>
      </c>
    </row>
    <row r="11603">
      <c r="A11603">
        <f>HYPERLINK("https://www.youtube.com/watch?v=wteUW2sL7bc", "Video")</f>
        <v/>
      </c>
      <c r="B11603" t="inlineStr">
        <is>
          <t>4:30</t>
        </is>
      </c>
      <c r="C11603" t="inlineStr">
        <is>
          <t>where bit locations are arranged 
in separate, nano-sized structures,</t>
        </is>
      </c>
      <c r="D11603">
        <f>HYPERLINK("https://www.youtube.com/watch?v=wteUW2sL7bc&amp;t=270s", "Go to time")</f>
        <v/>
      </c>
    </row>
    <row r="11604">
      <c r="A11604">
        <f>HYPERLINK("https://www.youtube.com/watch?v=wteUW2sL7bc", "Video")</f>
        <v/>
      </c>
      <c r="B11604" t="inlineStr">
        <is>
          <t>4:35</t>
        </is>
      </c>
      <c r="C11604" t="inlineStr">
        <is>
          <t>potentially allowing for areal densities
of twenty terabits per square inch</t>
        </is>
      </c>
      <c r="D11604">
        <f>HYPERLINK("https://www.youtube.com/watch?v=wteUW2sL7bc&amp;t=275s", "Go to time")</f>
        <v/>
      </c>
    </row>
    <row r="11605">
      <c r="A11605">
        <f>HYPERLINK("https://www.youtube.com/watch?v=PRg5RNU_JLk", "Video")</f>
        <v/>
      </c>
      <c r="B11605" t="inlineStr">
        <is>
          <t>4:27</t>
        </is>
      </c>
      <c r="C11605" t="inlineStr">
        <is>
          <t>By slowing the light in a modulator 
arm only a tiny bit,</t>
        </is>
      </c>
      <c r="D11605">
        <f>HYPERLINK("https://www.youtube.com/watch?v=PRg5RNU_JLk&amp;t=267s", "Go to time")</f>
        <v/>
      </c>
    </row>
    <row r="11606">
      <c r="A11606">
        <f>HYPERLINK("https://www.youtube.com/watch?v=bH3O69BscYg", "Video")</f>
        <v/>
      </c>
      <c r="B11606" t="inlineStr">
        <is>
          <t>4:06</t>
        </is>
      </c>
      <c r="C11606" t="inlineStr">
        <is>
          <t>For example, the Australian lungfish
lives in a habitat</t>
        </is>
      </c>
      <c r="D11606">
        <f>HYPERLINK("https://www.youtube.com/watch?v=bH3O69BscYg&amp;t=246s", "Go to time")</f>
        <v/>
      </c>
    </row>
    <row r="11607">
      <c r="A11607">
        <f>HYPERLINK("https://www.youtube.com/watch?v=fSznVBd37Uo", "Video")</f>
        <v/>
      </c>
      <c r="B11607" t="inlineStr">
        <is>
          <t>1:40</t>
        </is>
      </c>
      <c r="C11607" t="inlineStr">
        <is>
          <t>decided to do a bit more so we went to</t>
        </is>
      </c>
      <c r="D11607">
        <f>HYPERLINK("https://www.youtube.com/watch?v=fSznVBd37Uo&amp;t=100s", "Go to time")</f>
        <v/>
      </c>
    </row>
    <row r="11608">
      <c r="A11608">
        <f>HYPERLINK("https://www.youtube.com/watch?v=Ts3LIirgDbU", "Video")</f>
        <v/>
      </c>
      <c r="B11608" t="inlineStr">
        <is>
          <t>3:49</t>
        </is>
      </c>
      <c r="C11608" t="inlineStr">
        <is>
          <t>On the way back towards the camp,
two of the five men succumbed to frostbite</t>
        </is>
      </c>
      <c r="D11608">
        <f>HYPERLINK("https://www.youtube.com/watch?v=Ts3LIirgDbU&amp;t=229s", "Go to time")</f>
        <v/>
      </c>
    </row>
    <row r="11609">
      <c r="A11609">
        <f>HYPERLINK("https://www.youtube.com/watch?v=x24KoVNliMk", "Video")</f>
        <v/>
      </c>
      <c r="B11609" t="inlineStr">
        <is>
          <t>0:12</t>
        </is>
      </c>
      <c r="C11609" t="inlineStr">
        <is>
          <t>and I want to tell you a little bit</t>
        </is>
      </c>
      <c r="D11609">
        <f>HYPERLINK("https://www.youtube.com/watch?v=x24KoVNliMk&amp;t=12s", "Go to time")</f>
        <v/>
      </c>
    </row>
    <row r="11610">
      <c r="A11610">
        <f>HYPERLINK("https://www.youtube.com/watch?v=x24KoVNliMk", "Video")</f>
        <v/>
      </c>
      <c r="B11610" t="inlineStr">
        <is>
          <t>3:24</t>
        </is>
      </c>
      <c r="C11610" t="inlineStr">
        <is>
          <t>The story went a bit like this:</t>
        </is>
      </c>
      <c r="D11610">
        <f>HYPERLINK("https://www.youtube.com/watch?v=x24KoVNliMk&amp;t=204s", "Go to time")</f>
        <v/>
      </c>
    </row>
    <row r="11611">
      <c r="A11611">
        <f>HYPERLINK("https://www.youtube.com/watch?v=7H3ksmxwpWc", "Video")</f>
        <v/>
      </c>
      <c r="B11611" t="inlineStr">
        <is>
          <t>0:23</t>
        </is>
      </c>
      <c r="C11611" t="inlineStr">
        <is>
          <t>for the most amount of time
spent orbiting our planet,</t>
        </is>
      </c>
      <c r="D11611">
        <f>HYPERLINK("https://www.youtube.com/watch?v=7H3ksmxwpWc&amp;t=23s", "Go to time")</f>
        <v/>
      </c>
    </row>
    <row r="11612">
      <c r="A11612">
        <f>HYPERLINK("https://www.youtube.com/watch?v=7H3ksmxwpWc", "Video")</f>
        <v/>
      </c>
      <c r="B11612" t="inlineStr">
        <is>
          <t>3:18</t>
        </is>
      </c>
      <c r="C11612" t="inlineStr">
        <is>
          <t>For astronauts orbiting
the Earth for 800 days,</t>
        </is>
      </c>
      <c r="D11612">
        <f>HYPERLINK("https://www.youtube.com/watch?v=7H3ksmxwpWc&amp;t=198s", "Go to time")</f>
        <v/>
      </c>
    </row>
    <row r="11613">
      <c r="A11613">
        <f>HYPERLINK("https://www.youtube.com/watch?v=7H3ksmxwpWc", "Video")</f>
        <v/>
      </c>
      <c r="B11613" t="inlineStr">
        <is>
          <t>4:15</t>
        </is>
      </c>
      <c r="C11613" t="inlineStr">
        <is>
          <t>or inhabiting a permanent colony on Mars.</t>
        </is>
      </c>
      <c r="D11613">
        <f>HYPERLINK("https://www.youtube.com/watch?v=7H3ksmxwpWc&amp;t=255s", "Go to time")</f>
        <v/>
      </c>
    </row>
    <row r="11614">
      <c r="A11614">
        <f>HYPERLINK("https://www.youtube.com/watch?v=FwGH4gulLX4", "Video")</f>
        <v/>
      </c>
      <c r="B11614" t="inlineStr">
        <is>
          <t>2:35</t>
        </is>
      </c>
      <c r="C11614" t="inlineStr">
        <is>
          <t>and expand the snowflake outwards,
bit by bit.</t>
        </is>
      </c>
      <c r="D11614">
        <f>HYPERLINK("https://www.youtube.com/watch?v=FwGH4gulLX4&amp;t=155s", "Go to time")</f>
        <v/>
      </c>
    </row>
    <row r="11615">
      <c r="A11615">
        <f>HYPERLINK("https://www.youtube.com/watch?v=5FXnPL2EaEU", "Video")</f>
        <v/>
      </c>
      <c r="B11615" t="inlineStr">
        <is>
          <t>1:02</t>
        </is>
      </c>
      <c r="C11615" t="inlineStr">
        <is>
          <t>And perhaps the soil’s most important 
inhabitants are microbes,</t>
        </is>
      </c>
      <c r="D11615">
        <f>HYPERLINK("https://www.youtube.com/watch?v=5FXnPL2EaEU&amp;t=62s", "Go to time")</f>
        <v/>
      </c>
    </row>
    <row r="11616">
      <c r="A11616">
        <f>HYPERLINK("https://www.youtube.com/watch?v=Okph9wt8I0A", "Video")</f>
        <v/>
      </c>
      <c r="B11616" t="inlineStr">
        <is>
          <t>4:09</t>
        </is>
      </c>
      <c r="C11616" t="inlineStr">
        <is>
          <t>many Greek-speaking inhabitants 
of the Eastern Mediterranean</t>
        </is>
      </c>
      <c r="D11616">
        <f>HYPERLINK("https://www.youtube.com/watch?v=Okph9wt8I0A&amp;t=249s", "Go to time")</f>
        <v/>
      </c>
    </row>
    <row r="11617">
      <c r="A11617">
        <f>HYPERLINK("https://www.youtube.com/watch?v=c_g1BMVFcuw", "Video")</f>
        <v/>
      </c>
      <c r="B11617" t="inlineStr">
        <is>
          <t>2:53</t>
        </is>
      </c>
      <c r="C11617" t="inlineStr">
        <is>
          <t>but with this ambitious 
and contentious goal,</t>
        </is>
      </c>
      <c r="D11617">
        <f>HYPERLINK("https://www.youtube.com/watch?v=c_g1BMVFcuw&amp;t=173s", "Go to time")</f>
        <v/>
      </c>
    </row>
    <row r="11618">
      <c r="A11618">
        <f>HYPERLINK("https://www.youtube.com/watch?v=c_g1BMVFcuw", "Video")</f>
        <v/>
      </c>
      <c r="B11618" t="inlineStr">
        <is>
          <t>3:18</t>
        </is>
      </c>
      <c r="C11618" t="inlineStr">
        <is>
          <t>An early win, even if it's not 
as ambitious as the ultimate goal,</t>
        </is>
      </c>
      <c r="D11618">
        <f>HYPERLINK("https://www.youtube.com/watch?v=c_g1BMVFcuw&amp;t=198s", "Go to time")</f>
        <v/>
      </c>
    </row>
    <row r="11619">
      <c r="A11619">
        <f>HYPERLINK("https://www.youtube.com/watch?v=dkP8NUwB2io", "Video")</f>
        <v/>
      </c>
      <c r="B11619" t="inlineStr">
        <is>
          <t>0:42</t>
        </is>
      </c>
      <c r="C11619" t="inlineStr">
        <is>
          <t>Schools of fish exhibit 
complex swarming behaviors</t>
        </is>
      </c>
      <c r="D11619">
        <f>HYPERLINK("https://www.youtube.com/watch?v=dkP8NUwB2io&amp;t=42s", "Go to time")</f>
        <v/>
      </c>
    </row>
    <row r="11620">
      <c r="A11620">
        <f>HYPERLINK("https://www.youtube.com/watch?v=dkP8NUwB2io", "Video")</f>
        <v/>
      </c>
      <c r="B11620" t="inlineStr">
        <is>
          <t>3:52</t>
        </is>
      </c>
      <c r="C11620" t="inlineStr">
        <is>
          <t>and keep all those silly little habits
that everyone likes about you.</t>
        </is>
      </c>
      <c r="D11620">
        <f>HYPERLINK("https://www.youtube.com/watch?v=dkP8NUwB2io&amp;t=232s", "Go to time")</f>
        <v/>
      </c>
    </row>
    <row r="11621">
      <c r="A11621">
        <f>HYPERLINK("https://www.youtube.com/watch?v=dkP8NUwB2io", "Video")</f>
        <v/>
      </c>
      <c r="B11621" t="inlineStr">
        <is>
          <t>4:05</t>
        </is>
      </c>
      <c r="C11621" t="inlineStr">
        <is>
          <t>is to either excite or inhibit
other neurons.</t>
        </is>
      </c>
      <c r="D11621">
        <f>HYPERLINK("https://www.youtube.com/watch?v=dkP8NUwB2io&amp;t=245s", "Go to time")</f>
        <v/>
      </c>
    </row>
    <row r="11622">
      <c r="A11622">
        <f>HYPERLINK("https://www.youtube.com/watch?v=dkP8NUwB2io", "Video")</f>
        <v/>
      </c>
      <c r="B11622" t="inlineStr">
        <is>
          <t>4:20</t>
        </is>
      </c>
      <c r="C11622" t="inlineStr">
        <is>
          <t>and disinhibition,</t>
        </is>
      </c>
      <c r="D11622">
        <f>HYPERLINK("https://www.youtube.com/watch?v=dkP8NUwB2io&amp;t=260s", "Go to time")</f>
        <v/>
      </c>
    </row>
    <row r="11623">
      <c r="A11623">
        <f>HYPERLINK("https://www.youtube.com/watch?v=dkP8NUwB2io", "Video")</f>
        <v/>
      </c>
      <c r="B11623" t="inlineStr">
        <is>
          <t>4:22</t>
        </is>
      </c>
      <c r="C11623" t="inlineStr">
        <is>
          <t>where two inhibitory neurons
can actually activate another neuron</t>
        </is>
      </c>
      <c r="D11623">
        <f>HYPERLINK("https://www.youtube.com/watch?v=dkP8NUwB2io&amp;t=262s", "Go to time")</f>
        <v/>
      </c>
    </row>
    <row r="11624">
      <c r="A11624">
        <f>HYPERLINK("https://www.youtube.com/watch?v=dkP8NUwB2io", "Video")</f>
        <v/>
      </c>
      <c r="B11624" t="inlineStr">
        <is>
          <t>4:26</t>
        </is>
      </c>
      <c r="C11624" t="inlineStr">
        <is>
          <t>by removing inhibitory brakes.</t>
        </is>
      </c>
      <c r="D11624">
        <f>HYPERLINK("https://www.youtube.com/watch?v=dkP8NUwB2io&amp;t=266s", "Go to time")</f>
        <v/>
      </c>
    </row>
    <row r="11625">
      <c r="A11625">
        <f>HYPERLINK("https://www.youtube.com/watch?v=dkP8NUwB2io", "Video")</f>
        <v/>
      </c>
      <c r="B11625" t="inlineStr">
        <is>
          <t>5:28</t>
        </is>
      </c>
      <c r="C11625" t="inlineStr">
        <is>
          <t>a complex system will fall into
the same habits over and over again,</t>
        </is>
      </c>
      <c r="D11625">
        <f>HYPERLINK("https://www.youtube.com/watch?v=dkP8NUwB2io&amp;t=328s", "Go to time")</f>
        <v/>
      </c>
    </row>
    <row r="11626">
      <c r="A11626">
        <f>HYPERLINK("https://www.youtube.com/watch?v=eU2Efwlbm8s", "Video")</f>
        <v/>
      </c>
      <c r="B11626" t="inlineStr">
        <is>
          <t>1:17</t>
        </is>
      </c>
      <c r="C11626" t="inlineStr">
        <is>
          <t>and its borders are full of ecotones—
transition areas between habitats—</t>
        </is>
      </c>
      <c r="D11626">
        <f>HYPERLINK("https://www.youtube.com/watch?v=eU2Efwlbm8s&amp;t=77s", "Go to time")</f>
        <v/>
      </c>
    </row>
    <row r="11627">
      <c r="A11627">
        <f>HYPERLINK("https://www.youtube.com/watch?v=v6Agqm4K7Ok", "Video")</f>
        <v/>
      </c>
      <c r="B11627" t="inlineStr">
        <is>
          <t>3:04</t>
        </is>
      </c>
      <c r="C11627" t="inlineStr">
        <is>
          <t>venturing into new habitats 
with the help of our leftover bridges.</t>
        </is>
      </c>
      <c r="D11627">
        <f>HYPERLINK("https://www.youtube.com/watch?v=v6Agqm4K7Ok&amp;t=184s", "Go to time")</f>
        <v/>
      </c>
    </row>
    <row r="11628">
      <c r="A11628">
        <f>HYPERLINK("https://www.youtube.com/watch?v=v6Agqm4K7Ok", "Video")</f>
        <v/>
      </c>
      <c r="B11628" t="inlineStr">
        <is>
          <t>3:13</t>
        </is>
      </c>
      <c r="C11628" t="inlineStr">
        <is>
          <t>Cockroaches continue to thrive 
in their native tropical habitats,</t>
        </is>
      </c>
      <c r="D11628">
        <f>HYPERLINK("https://www.youtube.com/watch?v=v6Agqm4K7Ok&amp;t=193s", "Go to time")</f>
        <v/>
      </c>
    </row>
    <row r="11629">
      <c r="A11629">
        <f>HYPERLINK("https://www.youtube.com/watch?v=may2s9j4RLk", "Video")</f>
        <v/>
      </c>
      <c r="B11629" t="inlineStr">
        <is>
          <t>1:16</t>
        </is>
      </c>
      <c r="C11629" t="inlineStr">
        <is>
          <t>The rabbit, 
too small to battle the current,</t>
        </is>
      </c>
      <c r="D11629">
        <f>HYPERLINK("https://www.youtube.com/watch?v=may2s9j4RLk&amp;t=76s", "Go to time")</f>
        <v/>
      </c>
    </row>
    <row r="11630">
      <c r="A11630">
        <f>HYPERLINK("https://www.youtube.com/watch?v=may2s9j4RLk", "Video")</f>
        <v/>
      </c>
      <c r="B11630" t="inlineStr">
        <is>
          <t>3:44</t>
        </is>
      </c>
      <c r="C11630" t="inlineStr">
        <is>
          <t>you may discover that you're a cat,
not a rabbit,</t>
        </is>
      </c>
      <c r="D11630">
        <f>HYPERLINK("https://www.youtube.com/watch?v=may2s9j4RLk&amp;t=224s", "Go to time")</f>
        <v/>
      </c>
    </row>
    <row r="11631">
      <c r="A11631">
        <f>HYPERLINK("https://www.youtube.com/watch?v=Gomg-PrQUTk", "Video")</f>
        <v/>
      </c>
      <c r="B11631" t="inlineStr">
        <is>
          <t>0:16</t>
        </is>
      </c>
      <c r="C11631" t="inlineStr">
        <is>
          <t>I want to talk to you today a little bit</t>
        </is>
      </c>
      <c r="D11631">
        <f>HYPERLINK("https://www.youtube.com/watch?v=Gomg-PrQUTk&amp;t=16s", "Go to time")</f>
        <v/>
      </c>
    </row>
    <row r="11632">
      <c r="A11632">
        <f>HYPERLINK("https://www.youtube.com/watch?v=Gomg-PrQUTk", "Video")</f>
        <v/>
      </c>
      <c r="B11632" t="inlineStr">
        <is>
          <t>2:42</t>
        </is>
      </c>
      <c r="C11632" t="inlineStr">
        <is>
          <t>bit and I would crunch it for long</t>
        </is>
      </c>
      <c r="D11632">
        <f>HYPERLINK("https://www.youtube.com/watch?v=Gomg-PrQUTk&amp;t=162s", "Go to time")</f>
        <v/>
      </c>
    </row>
    <row r="11633">
      <c r="A11633">
        <f>HYPERLINK("https://www.youtube.com/watch?v=Gomg-PrQUTk", "Video")</f>
        <v/>
      </c>
      <c r="B11633" t="inlineStr">
        <is>
          <t>2:52</t>
        </is>
      </c>
      <c r="C11633" t="inlineStr">
        <is>
          <t>hurting people a little bit I would ask</t>
        </is>
      </c>
      <c r="D11633">
        <f>HYPERLINK("https://www.youtube.com/watch?v=Gomg-PrQUTk&amp;t=172s", "Go to time")</f>
        <v/>
      </c>
    </row>
    <row r="11634">
      <c r="A11634">
        <f>HYPERLINK("https://www.youtube.com/watch?v=Gomg-PrQUTk", "Video")</f>
        <v/>
      </c>
      <c r="B11634" t="inlineStr">
        <is>
          <t>5:41</t>
        </is>
      </c>
      <c r="C11634" t="inlineStr">
        <is>
          <t>bit now in the economic theory cheating</t>
        </is>
      </c>
      <c r="D11634">
        <f>HYPERLINK("https://www.youtube.com/watch?v=Gomg-PrQUTk&amp;t=341s", "Go to time")</f>
        <v/>
      </c>
    </row>
    <row r="11635">
      <c r="A11635">
        <f>HYPERLINK("https://www.youtube.com/watch?v=Gomg-PrQUTk", "Video")</f>
        <v/>
      </c>
      <c r="B11635" t="inlineStr">
        <is>
          <t>6:22</t>
        </is>
      </c>
      <c r="C11635" t="inlineStr">
        <is>
          <t>still buy a little bit what about the</t>
        </is>
      </c>
      <c r="D11635">
        <f>HYPERLINK("https://www.youtube.com/watch?v=Gomg-PrQUTk&amp;t=382s", "Go to time")</f>
        <v/>
      </c>
    </row>
    <row r="11636">
      <c r="A11636">
        <f>HYPERLINK("https://www.youtube.com/watch?v=Gomg-PrQUTk", "Video")</f>
        <v/>
      </c>
      <c r="B11636" t="inlineStr">
        <is>
          <t>6:46</t>
        </is>
      </c>
      <c r="C11636" t="inlineStr">
        <is>
          <t>little bit and they were unsensitive to</t>
        </is>
      </c>
      <c r="D11636">
        <f>HYPERLINK("https://www.youtube.com/watch?v=Gomg-PrQUTk&amp;t=406s", "Go to time")</f>
        <v/>
      </c>
    </row>
    <row r="11637">
      <c r="A11637">
        <f>HYPERLINK("https://www.youtube.com/watch?v=Gomg-PrQUTk", "Video")</f>
        <v/>
      </c>
      <c r="B11637" t="inlineStr">
        <is>
          <t>7:07</t>
        </is>
      </c>
      <c r="C11637" t="inlineStr">
        <is>
          <t>could cheat a little bit and still feel</t>
        </is>
      </c>
      <c r="D11637">
        <f>HYPERLINK("https://www.youtube.com/watch?v=Gomg-PrQUTk&amp;t=427s", "Go to time")</f>
        <v/>
      </c>
    </row>
    <row r="11638">
      <c r="A11638">
        <f>HYPERLINK("https://www.youtube.com/watch?v=Gomg-PrQUTk", "Video")</f>
        <v/>
      </c>
      <c r="B11638" t="inlineStr">
        <is>
          <t>10:50</t>
        </is>
      </c>
      <c r="C11638" t="inlineStr">
        <is>
          <t>cheat just by a little bit all the same</t>
        </is>
      </c>
      <c r="D11638">
        <f>HYPERLINK("https://www.youtube.com/watch?v=Gomg-PrQUTk&amp;t=650s", "Go to time")</f>
        <v/>
      </c>
    </row>
    <row r="11639">
      <c r="A11639">
        <f>HYPERLINK("https://www.youtube.com/watch?v=Gomg-PrQUTk", "Video")</f>
        <v/>
      </c>
      <c r="B11639" t="inlineStr">
        <is>
          <t>12:40</t>
        </is>
      </c>
      <c r="C11639" t="inlineStr">
        <is>
          <t>honesty goes up a little bit like the</t>
        </is>
      </c>
      <c r="D11639">
        <f>HYPERLINK("https://www.youtube.com/watch?v=Gomg-PrQUTk&amp;t=760s", "Go to time")</f>
        <v/>
      </c>
    </row>
    <row r="11640">
      <c r="A11640">
        <f>HYPERLINK("https://www.youtube.com/watch?v=Gomg-PrQUTk", "Video")</f>
        <v/>
      </c>
      <c r="B11640" t="inlineStr">
        <is>
          <t>12:53</t>
        </is>
      </c>
      <c r="C11640" t="inlineStr">
        <is>
          <t>cheat they cheat just by a little bit</t>
        </is>
      </c>
      <c r="D11640">
        <f>HYPERLINK("https://www.youtube.com/watch?v=Gomg-PrQUTk&amp;t=773s", "Go to time")</f>
        <v/>
      </c>
    </row>
    <row r="11641">
      <c r="A11641">
        <f>HYPERLINK("https://www.youtube.com/watch?v=UgMxLAi-odI", "Video")</f>
        <v/>
      </c>
      <c r="B11641" t="inlineStr">
        <is>
          <t>2:12</t>
        </is>
      </c>
      <c r="C11641" t="inlineStr">
        <is>
          <t>or build a giant sunshade
in Earth’s orbit.</t>
        </is>
      </c>
      <c r="D11641">
        <f>HYPERLINK("https://www.youtube.com/watch?v=UgMxLAi-odI&amp;t=132s", "Go to time")</f>
        <v/>
      </c>
    </row>
    <row r="11642">
      <c r="A11642">
        <f>HYPERLINK("https://www.youtube.com/watch?v=zzu2POfYv0Y", "Video")</f>
        <v/>
      </c>
      <c r="B11642" t="inlineStr">
        <is>
          <t>1:03</t>
        </is>
      </c>
      <c r="C11642" t="inlineStr">
        <is>
          <t>This is starting to sound a bit confusing
with all the variables,</t>
        </is>
      </c>
      <c r="D11642">
        <f>HYPERLINK("https://www.youtube.com/watch?v=zzu2POfYv0Y&amp;t=63s", "Go to time")</f>
        <v/>
      </c>
    </row>
    <row r="11643">
      <c r="A11643">
        <f>HYPERLINK("https://www.youtube.com/watch?v=bVMVxJJ7P8M", "Video")</f>
        <v/>
      </c>
      <c r="B11643" t="inlineStr">
        <is>
          <t>1:59</t>
        </is>
      </c>
      <c r="C11643" t="inlineStr">
        <is>
          <t>and adults exhibit about as much 
individual recognition of their offspring</t>
        </is>
      </c>
      <c r="D11643">
        <f>HYPERLINK("https://www.youtube.com/watch?v=bVMVxJJ7P8M&amp;t=119s", "Go to time")</f>
        <v/>
      </c>
    </row>
    <row r="11644">
      <c r="A11644">
        <f>HYPERLINK("https://www.youtube.com/watch?v=wUEl8KrMz14", "Video")</f>
        <v/>
      </c>
      <c r="B11644" t="inlineStr">
        <is>
          <t>4:08</t>
        </is>
      </c>
      <c r="C11644" t="inlineStr">
        <is>
          <t>So what seems like such a harmless habit</t>
        </is>
      </c>
      <c r="D11644">
        <f>HYPERLINK("https://www.youtube.com/watch?v=wUEl8KrMz14&amp;t=248s", "Go to time")</f>
        <v/>
      </c>
    </row>
    <row r="11645">
      <c r="A11645">
        <f>HYPERLINK("https://www.youtube.com/watch?v=3M3L4VIZv-U", "Video")</f>
        <v/>
      </c>
      <c r="B11645" t="inlineStr">
        <is>
          <t>2:10</t>
        </is>
      </c>
      <c r="C11645" t="inlineStr">
        <is>
          <t>for whom Earth’s inhabitants 
are mere playthings.</t>
        </is>
      </c>
      <c r="D11645">
        <f>HYPERLINK("https://www.youtube.com/watch?v=3M3L4VIZv-U&amp;t=130s", "Go to time")</f>
        <v/>
      </c>
    </row>
    <row r="11646">
      <c r="A11646">
        <f>HYPERLINK("https://www.youtube.com/watch?v=Ze4Qmpq48AQ", "Video")</f>
        <v/>
      </c>
      <c r="B11646" t="inlineStr">
        <is>
          <t>0:06</t>
        </is>
      </c>
      <c r="C11646" t="inlineStr">
        <is>
          <t>It begins with a bit of discomfort</t>
        </is>
      </c>
      <c r="D11646">
        <f>HYPERLINK("https://www.youtube.com/watch?v=Ze4Qmpq48AQ&amp;t=6s", "Go to time")</f>
        <v/>
      </c>
    </row>
    <row r="11647">
      <c r="A11647">
        <f>HYPERLINK("https://www.youtube.com/watch?v=Ze4Qmpq48AQ", "Video")</f>
        <v/>
      </c>
      <c r="B11647" t="inlineStr">
        <is>
          <t>0:28</t>
        </is>
      </c>
      <c r="C11647" t="inlineStr">
        <is>
          <t>How bad is this habit,
and how long can our bodies withstand it?</t>
        </is>
      </c>
      <c r="D11647">
        <f>HYPERLINK("https://www.youtube.com/watch?v=Ze4Qmpq48AQ&amp;t=28s", "Go to time")</f>
        <v/>
      </c>
    </row>
    <row r="11648">
      <c r="A11648">
        <f>HYPERLINK("https://www.youtube.com/watch?v=Ze4Qmpq48AQ", "Video")</f>
        <v/>
      </c>
      <c r="B11648" t="inlineStr">
        <is>
          <t>3:32</t>
        </is>
      </c>
      <c r="C11648" t="inlineStr">
        <is>
          <t>it's not a great habit to hold your pee.</t>
        </is>
      </c>
      <c r="D11648">
        <f>HYPERLINK("https://www.youtube.com/watch?v=Ze4Qmpq48AQ&amp;t=212s", "Go to time")</f>
        <v/>
      </c>
    </row>
    <row r="11649">
      <c r="A11649">
        <f>HYPERLINK("https://www.youtube.com/watch?v=4NxN6PmxlBM", "Video")</f>
        <v/>
      </c>
      <c r="B11649" t="inlineStr">
        <is>
          <t>5:52</t>
        </is>
      </c>
      <c r="C11649" t="inlineStr">
        <is>
          <t>a a little bit better plan or they have</t>
        </is>
      </c>
      <c r="D11649">
        <f>HYPERLINK("https://www.youtube.com/watch?v=4NxN6PmxlBM&amp;t=352s", "Go to time")</f>
        <v/>
      </c>
    </row>
    <row r="11650">
      <c r="A11650">
        <f>HYPERLINK("https://www.youtube.com/watch?v=4NxN6PmxlBM", "Video")</f>
        <v/>
      </c>
      <c r="B11650" t="inlineStr">
        <is>
          <t>16:15</t>
        </is>
      </c>
      <c r="C11650" t="inlineStr">
        <is>
          <t>teasing we got a little bit of accent</t>
        </is>
      </c>
      <c r="D11650">
        <f>HYPERLINK("https://www.youtube.com/watch?v=4NxN6PmxlBM&amp;t=975s", "Go to time")</f>
        <v/>
      </c>
    </row>
    <row r="11651">
      <c r="A11651">
        <f>HYPERLINK("https://www.youtube.com/watch?v=S3i6tJ4XNqA", "Video")</f>
        <v/>
      </c>
      <c r="B11651" t="inlineStr">
        <is>
          <t>4:08</t>
        </is>
      </c>
      <c r="C11651" t="inlineStr">
        <is>
          <t>as well as we can model the orbits 
of planets or electromagnetic fields.</t>
        </is>
      </c>
      <c r="D11651">
        <f>HYPERLINK("https://www.youtube.com/watch?v=S3i6tJ4XNqA&amp;t=248s", "Go to time")</f>
        <v/>
      </c>
    </row>
    <row r="11652">
      <c r="A11652">
        <f>HYPERLINK("https://www.youtube.com/watch?v=JO4_VHM69oI", "Video")</f>
        <v/>
      </c>
      <c r="B11652" t="inlineStr">
        <is>
          <t>4:40</t>
        </is>
      </c>
      <c r="C11652" t="inlineStr">
        <is>
          <t>In the meantime, supersonic flight
over land remains prohibited.</t>
        </is>
      </c>
      <c r="D11652">
        <f>HYPERLINK("https://www.youtube.com/watch?v=JO4_VHM69oI&amp;t=280s", "Go to time")</f>
        <v/>
      </c>
    </row>
    <row r="11653">
      <c r="A11653">
        <f>HYPERLINK("https://www.youtube.com/watch?v=6sSDXurPX-s", "Video")</f>
        <v/>
      </c>
      <c r="B11653" t="inlineStr">
        <is>
          <t>0:26</t>
        </is>
      </c>
      <c r="C11653" t="inlineStr">
        <is>
          <t>where for every bit of energy you put in,
you get 3 to 5 times as much heat out.</t>
        </is>
      </c>
      <c r="D11653">
        <f>HYPERLINK("https://www.youtube.com/watch?v=6sSDXurPX-s&amp;t=26s", "Go to time")</f>
        <v/>
      </c>
    </row>
    <row r="11654">
      <c r="A11654">
        <f>HYPERLINK("https://www.youtube.com/watch?v=g96z1P3z5yU", "Video")</f>
        <v/>
      </c>
      <c r="B11654" t="inlineStr">
        <is>
          <t>3:25</t>
        </is>
      </c>
      <c r="C11654" t="inlineStr">
        <is>
          <t>Deodorants, however, inhibit bacterial 
activity and mask odors at the same time.</t>
        </is>
      </c>
      <c r="D11654">
        <f>HYPERLINK("https://www.youtube.com/watch?v=g96z1P3z5yU&amp;t=205s", "Go to time")</f>
        <v/>
      </c>
    </row>
    <row r="11655">
      <c r="A11655">
        <f>HYPERLINK("https://www.youtube.com/watch?v=1lo8EomDrwA", "Video")</f>
        <v/>
      </c>
      <c r="B11655" t="inlineStr">
        <is>
          <t>1:56</t>
        </is>
      </c>
      <c r="C11655" t="inlineStr">
        <is>
          <t>Repetition connects each bit of music</t>
        </is>
      </c>
      <c r="D11655">
        <f>HYPERLINK("https://www.youtube.com/watch?v=1lo8EomDrwA&amp;t=116s", "Go to time")</f>
        <v/>
      </c>
    </row>
    <row r="11656">
      <c r="A11656">
        <f>HYPERLINK("https://www.youtube.com/watch?v=1lo8EomDrwA", "Video")</f>
        <v/>
      </c>
      <c r="B11656" t="inlineStr">
        <is>
          <t>1:58</t>
        </is>
      </c>
      <c r="C11656" t="inlineStr">
        <is>
          <t>irresistibly to the next bit 
of music that follows it.</t>
        </is>
      </c>
      <c r="D11656">
        <f>HYPERLINK("https://www.youtube.com/watch?v=1lo8EomDrwA&amp;t=118s", "Go to time")</f>
        <v/>
      </c>
    </row>
    <row r="11657">
      <c r="A11657">
        <f>HYPERLINK("https://www.youtube.com/watch?v=g09BQes-B7E", "Video")</f>
        <v/>
      </c>
      <c r="B11657" t="inlineStr">
        <is>
          <t>1:47</t>
        </is>
      </c>
      <c r="C11657" t="inlineStr">
        <is>
          <t>These factors make the host 
more likely to bite another animal</t>
        </is>
      </c>
      <c r="D11657">
        <f>HYPERLINK("https://www.youtube.com/watch?v=g09BQes-B7E&amp;t=107s", "Go to time")</f>
        <v/>
      </c>
    </row>
    <row r="11658">
      <c r="A11658">
        <f>HYPERLINK("https://www.youtube.com/watch?v=g09BQes-B7E", "Video")</f>
        <v/>
      </c>
      <c r="B11658" t="inlineStr">
        <is>
          <t>3:02</t>
        </is>
      </c>
      <c r="C11658" t="inlineStr">
        <is>
          <t>so it makes them bite more frequently
and for longer.</t>
        </is>
      </c>
      <c r="D11658">
        <f>HYPERLINK("https://www.youtube.com/watch?v=g09BQes-B7E&amp;t=182s", "Go to time")</f>
        <v/>
      </c>
    </row>
    <row r="11659">
      <c r="A11659">
        <f>HYPERLINK("https://www.youtube.com/watch?v=g09BQes-B7E", "Video")</f>
        <v/>
      </c>
      <c r="B11659" t="inlineStr">
        <is>
          <t>3:11</t>
        </is>
      </c>
      <c r="C11659" t="inlineStr">
        <is>
          <t>which will bite them 
and transfer the parasite further.</t>
        </is>
      </c>
      <c r="D11659">
        <f>HYPERLINK("https://www.youtube.com/watch?v=g09BQes-B7E&amp;t=191s", "Go to time")</f>
        <v/>
      </c>
    </row>
    <row r="11660">
      <c r="A11660">
        <f>HYPERLINK("https://www.youtube.com/watch?v=g09BQes-B7E", "Video")</f>
        <v/>
      </c>
      <c r="B11660" t="inlineStr">
        <is>
          <t>4:26</t>
        </is>
      </c>
      <c r="C11660" t="inlineStr">
        <is>
          <t>forcing them to bite over 
and over and over again.</t>
        </is>
      </c>
      <c r="D11660">
        <f>HYPERLINK("https://www.youtube.com/watch?v=g09BQes-B7E&amp;t=266s", "Go to time")</f>
        <v/>
      </c>
    </row>
    <row r="11661">
      <c r="A11661">
        <f>HYPERLINK("https://www.youtube.com/watch?v=xazQRcSCRaY", "Video")</f>
        <v/>
      </c>
      <c r="B11661" t="inlineStr">
        <is>
          <t>3:38</t>
        </is>
      </c>
      <c r="C11661" t="inlineStr">
        <is>
          <t>he stipulated that electrons 
orbit the nucleus</t>
        </is>
      </c>
      <c r="D11661">
        <f>HYPERLINK("https://www.youtube.com/watch?v=xazQRcSCRaY&amp;t=218s", "Go to time")</f>
        <v/>
      </c>
    </row>
    <row r="11662">
      <c r="A11662">
        <f>HYPERLINK("https://www.youtube.com/watch?v=hX4IvoP1HTk", "Video")</f>
        <v/>
      </c>
      <c r="B11662" t="inlineStr">
        <is>
          <t>0:32</t>
        </is>
      </c>
      <c r="C11662" t="inlineStr">
        <is>
          <t>About 10,000 years ago, Native American
people began inhabiting the Black Hills.</t>
        </is>
      </c>
      <c r="D11662">
        <f>HYPERLINK("https://www.youtube.com/watch?v=hX4IvoP1HTk&amp;t=32s", "Go to time")</f>
        <v/>
      </c>
    </row>
    <row r="11663">
      <c r="A11663">
        <f>HYPERLINK("https://www.youtube.com/watch?v=keMF8YzQoRM", "Video")</f>
        <v/>
      </c>
      <c r="B11663" t="inlineStr">
        <is>
          <t>0:45</t>
        </is>
      </c>
      <c r="C11663" t="inlineStr">
        <is>
          <t>you'll see that she's crying
a little bit all the time.</t>
        </is>
      </c>
      <c r="D11663">
        <f>HYPERLINK("https://www.youtube.com/watch?v=keMF8YzQoRM&amp;t=45s", "Go to time")</f>
        <v/>
      </c>
    </row>
    <row r="11664">
      <c r="A11664">
        <f>HYPERLINK("https://www.youtube.com/watch?v=paXKoZ1pr5w", "Video")</f>
        <v/>
      </c>
      <c r="B11664" t="inlineStr">
        <is>
          <t>3:26</t>
        </is>
      </c>
      <c r="C11664" t="inlineStr">
        <is>
          <t>and correctly predicted many aspects
of the world we inhabit decades later.</t>
        </is>
      </c>
      <c r="D11664">
        <f>HYPERLINK("https://www.youtube.com/watch?v=paXKoZ1pr5w&amp;t=206s", "Go to time")</f>
        <v/>
      </c>
    </row>
    <row r="11665">
      <c r="A11665">
        <f>HYPERLINK("https://www.youtube.com/watch?v=5uj_mzEqFRk", "Video")</f>
        <v/>
      </c>
      <c r="B11665" t="inlineStr">
        <is>
          <t>0:20</t>
        </is>
      </c>
      <c r="C11665" t="inlineStr">
        <is>
          <t>bit today about a phenomenon which can</t>
        </is>
      </c>
      <c r="D11665">
        <f>HYPERLINK("https://www.youtube.com/watch?v=5uj_mzEqFRk&amp;t=20s", "Go to time")</f>
        <v/>
      </c>
    </row>
    <row r="11666">
      <c r="A11666">
        <f>HYPERLINK("https://www.youtube.com/watch?v=5uj_mzEqFRk", "Video")</f>
        <v/>
      </c>
      <c r="B11666" t="inlineStr">
        <is>
          <t>1:39</t>
        </is>
      </c>
      <c r="C11666" t="inlineStr">
        <is>
          <t>little bit about the phenomenon which is</t>
        </is>
      </c>
      <c r="D11666">
        <f>HYPERLINK("https://www.youtube.com/watch?v=5uj_mzEqFRk&amp;t=99s", "Go to time")</f>
        <v/>
      </c>
    </row>
    <row r="11667">
      <c r="A11667">
        <f>HYPERLINK("https://www.youtube.com/watch?v=5uj_mzEqFRk", "Video")</f>
        <v/>
      </c>
      <c r="B11667" t="inlineStr">
        <is>
          <t>3:30</t>
        </is>
      </c>
      <c r="C11667" t="inlineStr">
        <is>
          <t>which sounds a little bit strange to me</t>
        </is>
      </c>
      <c r="D11667">
        <f>HYPERLINK("https://www.youtube.com/watch?v=5uj_mzEqFRk&amp;t=210s", "Go to time")</f>
        <v/>
      </c>
    </row>
    <row r="11668">
      <c r="A11668">
        <f>HYPERLINK("https://www.youtube.com/watch?v=5uj_mzEqFRk", "Video")</f>
        <v/>
      </c>
      <c r="B11668" t="inlineStr">
        <is>
          <t>8:57</t>
        </is>
      </c>
      <c r="C11668" t="inlineStr">
        <is>
          <t>also a bit safer for for the</t>
        </is>
      </c>
      <c r="D11668">
        <f>HYPERLINK("https://www.youtube.com/watch?v=5uj_mzEqFRk&amp;t=537s", "Go to time")</f>
        <v/>
      </c>
    </row>
    <row r="11669">
      <c r="A11669">
        <f>HYPERLINK("https://www.youtube.com/watch?v=D8TapCbDemk", "Video")</f>
        <v/>
      </c>
      <c r="B11669" t="inlineStr">
        <is>
          <t>0:15</t>
        </is>
      </c>
      <c r="C11669" t="inlineStr">
        <is>
          <t>The neurosurgeon lay on the verge
of an ambitious experiment,</t>
        </is>
      </c>
      <c r="D11669">
        <f>HYPERLINK("https://www.youtube.com/watch?v=D8TapCbDemk&amp;t=15s", "Go to time")</f>
        <v/>
      </c>
    </row>
    <row r="11670">
      <c r="A11670">
        <f>HYPERLINK("https://www.youtube.com/watch?v=D8TapCbDemk", "Video")</f>
        <v/>
      </c>
      <c r="B11670" t="inlineStr">
        <is>
          <t>3:50</t>
        </is>
      </c>
      <c r="C11670" t="inlineStr">
        <is>
          <t>and even tried to bite off
one of the doctors’ fingers.</t>
        </is>
      </c>
      <c r="D11670">
        <f>HYPERLINK("https://www.youtube.com/watch?v=D8TapCbDemk&amp;t=230s", "Go to time")</f>
        <v/>
      </c>
    </row>
    <row r="11671">
      <c r="A11671">
        <f>HYPERLINK("https://www.youtube.com/watch?v=Xm13Kq_E1ik", "Video")</f>
        <v/>
      </c>
      <c r="B11671" t="inlineStr">
        <is>
          <t>0:44</t>
        </is>
      </c>
      <c r="C11671" t="inlineStr">
        <is>
          <t>orbiting around the Sun
approximately every 365 days.</t>
        </is>
      </c>
      <c r="D11671">
        <f>HYPERLINK("https://www.youtube.com/watch?v=Xm13Kq_E1ik&amp;t=44s", "Go to time")</f>
        <v/>
      </c>
    </row>
    <row r="11672">
      <c r="A11672">
        <f>HYPERLINK("https://www.youtube.com/watch?v=Xm13Kq_E1ik", "Video")</f>
        <v/>
      </c>
      <c r="B11672" t="inlineStr">
        <is>
          <t>0:51</t>
        </is>
      </c>
      <c r="C11672" t="inlineStr">
        <is>
          <t>Relative to the plane of its orbit,</t>
        </is>
      </c>
      <c r="D11672">
        <f>HYPERLINK("https://www.youtube.com/watch?v=Xm13Kq_E1ik&amp;t=51s", "Go to time")</f>
        <v/>
      </c>
    </row>
    <row r="11673">
      <c r="A11673">
        <f>HYPERLINK("https://www.youtube.com/watch?v=Xm13Kq_E1ik", "Video")</f>
        <v/>
      </c>
      <c r="B11673" t="inlineStr">
        <is>
          <t>1:16</t>
        </is>
      </c>
      <c r="C11673" t="inlineStr">
        <is>
          <t>while the Earth makes its annual orbit,</t>
        </is>
      </c>
      <c r="D11673">
        <f>HYPERLINK("https://www.youtube.com/watch?v=Xm13Kq_E1ik&amp;t=76s", "Go to time")</f>
        <v/>
      </c>
    </row>
    <row r="11674">
      <c r="A11674">
        <f>HYPERLINK("https://www.youtube.com/watch?v=Xm13Kq_E1ik", "Video")</f>
        <v/>
      </c>
      <c r="B11674" t="inlineStr">
        <is>
          <t>2:17</t>
        </is>
      </c>
      <c r="C11674" t="inlineStr">
        <is>
          <t>its orbital eccentricity.</t>
        </is>
      </c>
      <c r="D11674">
        <f>HYPERLINK("https://www.youtube.com/watch?v=Xm13Kq_E1ik&amp;t=137s", "Go to time")</f>
        <v/>
      </c>
    </row>
    <row r="11675">
      <c r="A11675">
        <f>HYPERLINK("https://www.youtube.com/watch?v=Xm13Kq_E1ik", "Video")</f>
        <v/>
      </c>
      <c r="B11675" t="inlineStr">
        <is>
          <t>2:19</t>
        </is>
      </c>
      <c r="C11675" t="inlineStr">
        <is>
          <t>The Earth's orbit around the Sun
is an ellipse,</t>
        </is>
      </c>
      <c r="D11675">
        <f>HYPERLINK("https://www.youtube.com/watch?v=Xm13Kq_E1ik&amp;t=139s", "Go to time")</f>
        <v/>
      </c>
    </row>
    <row r="11676">
      <c r="A11676">
        <f>HYPERLINK("https://www.youtube.com/watch?v=Xm13Kq_E1ik", "Video")</f>
        <v/>
      </c>
      <c r="B11676" t="inlineStr">
        <is>
          <t>3:58</t>
        </is>
      </c>
      <c r="C11676" t="inlineStr">
        <is>
          <t>Depending on that planet's 
orbital eccentricity and axial tilt,</t>
        </is>
      </c>
      <c r="D11676">
        <f>HYPERLINK("https://www.youtube.com/watch?v=Xm13Kq_E1ik&amp;t=238s", "Go to time")</f>
        <v/>
      </c>
    </row>
    <row r="11677">
      <c r="A11677">
        <f>HYPERLINK("https://www.youtube.com/watch?v=v5FL9VTBZzQ", "Video")</f>
        <v/>
      </c>
      <c r="B11677" t="inlineStr">
        <is>
          <t>2:48</t>
        </is>
      </c>
      <c r="C11677" t="inlineStr">
        <is>
          <t>With each invention, the engineers
demonstrated an essential habit</t>
        </is>
      </c>
      <c r="D11677">
        <f>HYPERLINK("https://www.youtube.com/watch?v=v5FL9VTBZzQ&amp;t=168s", "Go to time")</f>
        <v/>
      </c>
    </row>
    <row r="11678">
      <c r="A11678">
        <f>HYPERLINK("https://www.youtube.com/watch?v=iJRfx0o5648", "Video")</f>
        <v/>
      </c>
      <c r="B11678" t="inlineStr">
        <is>
          <t>1:06</t>
        </is>
      </c>
      <c r="C11678" t="inlineStr">
        <is>
          <t>may have helped get around laws 
prohibiting slaves from playing music.</t>
        </is>
      </c>
      <c r="D11678">
        <f>HYPERLINK("https://www.youtube.com/watch?v=iJRfx0o5648&amp;t=66s", "Go to time")</f>
        <v/>
      </c>
    </row>
    <row r="11679">
      <c r="A11679">
        <f>HYPERLINK("https://www.youtube.com/watch?v=CNO9aOlGNkE", "Video")</f>
        <v/>
      </c>
      <c r="B11679" t="inlineStr">
        <is>
          <t>0:28</t>
        </is>
      </c>
      <c r="C11679" t="inlineStr">
        <is>
          <t>With over half a million inhabitants,</t>
        </is>
      </c>
      <c r="D11679">
        <f>HYPERLINK("https://www.youtube.com/watch?v=CNO9aOlGNkE&amp;t=28s", "Go to time")</f>
        <v/>
      </c>
    </row>
    <row r="11680">
      <c r="A11680">
        <f>HYPERLINK("https://www.youtube.com/watch?v=CNO9aOlGNkE", "Video")</f>
        <v/>
      </c>
      <c r="B11680" t="inlineStr">
        <is>
          <t>2:51</t>
        </is>
      </c>
      <c r="C11680" t="inlineStr">
        <is>
          <t>Asma, meanwhile, has literary ambitions.</t>
        </is>
      </c>
      <c r="D11680">
        <f>HYPERLINK("https://www.youtube.com/watch?v=CNO9aOlGNkE&amp;t=171s", "Go to time")</f>
        <v/>
      </c>
    </row>
    <row r="11681">
      <c r="A11681">
        <f>HYPERLINK("https://www.youtube.com/watch?v=F_ssj7-8rYg", "Video")</f>
        <v/>
      </c>
      <c r="B11681" t="inlineStr">
        <is>
          <t>2:50</t>
        </is>
      </c>
      <c r="C11681" t="inlineStr">
        <is>
          <t>But it’s also a bit diluted,</t>
        </is>
      </c>
      <c r="D11681">
        <f>HYPERLINK("https://www.youtube.com/watch?v=F_ssj7-8rYg&amp;t=170s", "Go to time")</f>
        <v/>
      </c>
    </row>
    <row r="11682">
      <c r="A11682">
        <f>HYPERLINK("https://www.youtube.com/watch?v=PP8Zc778B8s", "Video")</f>
        <v/>
      </c>
      <c r="B11682" t="inlineStr">
        <is>
          <t>3:25</t>
        </is>
      </c>
      <c r="C11682" t="inlineStr">
        <is>
          <t>were every bit as rewarding
as real in-game points.</t>
        </is>
      </c>
      <c r="D11682">
        <f>HYPERLINK("https://www.youtube.com/watch?v=PP8Zc778B8s&amp;t=205s", "Go to time")</f>
        <v/>
      </c>
    </row>
    <row r="11683">
      <c r="A11683">
        <f>HYPERLINK("https://www.youtube.com/watch?v=2K88pWCimZg", "Video")</f>
        <v/>
      </c>
      <c r="B11683" t="inlineStr">
        <is>
          <t>2:57</t>
        </is>
      </c>
      <c r="C11683" t="inlineStr">
        <is>
          <t>and prohibited existing immigrants
from obtaining citizenship.</t>
        </is>
      </c>
      <c r="D11683">
        <f>HYPERLINK("https://www.youtube.com/watch?v=2K88pWCimZg&amp;t=177s", "Go to time")</f>
        <v/>
      </c>
    </row>
    <row r="11684">
      <c r="A11684">
        <f>HYPERLINK("https://www.youtube.com/watch?v=2K88pWCimZg", "Video")</f>
        <v/>
      </c>
      <c r="B11684" t="inlineStr">
        <is>
          <t>3:13</t>
        </is>
      </c>
      <c r="C11684" t="inlineStr">
        <is>
          <t>when the Scott Act prohibited
re-entry altogether,</t>
        </is>
      </c>
      <c r="D11684">
        <f>HYPERLINK("https://www.youtube.com/watch?v=2K88pWCimZg&amp;t=193s", "Go to time")</f>
        <v/>
      </c>
    </row>
    <row r="11685">
      <c r="A11685">
        <f>HYPERLINK("https://www.youtube.com/watch?v=2K88pWCimZg", "Video")</f>
        <v/>
      </c>
      <c r="B11685" t="inlineStr">
        <is>
          <t>4:45</t>
        </is>
      </c>
      <c r="C11685" t="inlineStr">
        <is>
          <t>The 1917 Asiatic Barred Zone Act 
prohibited the entry of all South Asians.</t>
        </is>
      </c>
      <c r="D11685">
        <f>HYPERLINK("https://www.youtube.com/watch?v=2K88pWCimZg&amp;t=285s", "Go to time")</f>
        <v/>
      </c>
    </row>
    <row r="11686">
      <c r="A11686">
        <f>HYPERLINK("https://www.youtube.com/watch?v=s6TXDFp1EcM", "Video")</f>
        <v/>
      </c>
      <c r="B11686" t="inlineStr">
        <is>
          <t>3:07</t>
        </is>
      </c>
      <c r="C11686" t="inlineStr">
        <is>
          <t>land use that drives deforestation
and habitat destruction.</t>
        </is>
      </c>
      <c r="D11686">
        <f>HYPERLINK("https://www.youtube.com/watch?v=s6TXDFp1EcM&amp;t=187s", "Go to time")</f>
        <v/>
      </c>
    </row>
    <row r="11687">
      <c r="A11687">
        <f>HYPERLINK("https://www.youtube.com/watch?v=Ab9OZsDECZw", "Video")</f>
        <v/>
      </c>
      <c r="B11687" t="inlineStr">
        <is>
          <t>1:14</t>
        </is>
      </c>
      <c r="C11687" t="inlineStr">
        <is>
          <t>Taken together, a normal reading is a bit
less than 120 over 80.</t>
        </is>
      </c>
      <c r="D11687">
        <f>HYPERLINK("https://www.youtube.com/watch?v=Ab9OZsDECZw&amp;t=74s", "Go to time")</f>
        <v/>
      </c>
    </row>
    <row r="11688">
      <c r="A11688">
        <f>HYPERLINK("https://www.youtube.com/watch?v=yJoQj5-TIvE", "Video")</f>
        <v/>
      </c>
      <c r="B11688" t="inlineStr">
        <is>
          <t>1:48</t>
        </is>
      </c>
      <c r="C11688" t="inlineStr">
        <is>
          <t>One of the main reasons astronauts
must exercise constantly in orbit</t>
        </is>
      </c>
      <c r="D11688">
        <f>HYPERLINK("https://www.youtube.com/watch?v=yJoQj5-TIvE&amp;t=108s", "Go to time")</f>
        <v/>
      </c>
    </row>
    <row r="11689">
      <c r="A11689">
        <f>HYPERLINK("https://www.youtube.com/watch?v=2QLUtt86m0c", "Video")</f>
        <v/>
      </c>
      <c r="B11689" t="inlineStr">
        <is>
          <t>4:00</t>
        </is>
      </c>
      <c r="C11689" t="inlineStr">
        <is>
          <t>bit of an overview of what that looks</t>
        </is>
      </c>
      <c r="D11689">
        <f>HYPERLINK("https://www.youtube.com/watch?v=2QLUtt86m0c&amp;t=240s", "Go to time")</f>
        <v/>
      </c>
    </row>
    <row r="11690">
      <c r="A11690">
        <f>HYPERLINK("https://www.youtube.com/watch?v=2QLUtt86m0c", "Video")</f>
        <v/>
      </c>
      <c r="B11690" t="inlineStr">
        <is>
          <t>6:49</t>
        </is>
      </c>
      <c r="C11690" t="inlineStr">
        <is>
          <t>effort let's talk a little bit about</t>
        </is>
      </c>
      <c r="D11690">
        <f>HYPERLINK("https://www.youtube.com/watch?v=2QLUtt86m0c&amp;t=409s", "Go to time")</f>
        <v/>
      </c>
    </row>
    <row r="11691">
      <c r="A11691">
        <f>HYPERLINK("https://www.youtube.com/watch?v=2QLUtt86m0c", "Video")</f>
        <v/>
      </c>
      <c r="B11691" t="inlineStr">
        <is>
          <t>7:25</t>
        </is>
      </c>
      <c r="C11691" t="inlineStr">
        <is>
          <t>little bit of Preparatory material that</t>
        </is>
      </c>
      <c r="D11691">
        <f>HYPERLINK("https://www.youtube.com/watch?v=2QLUtt86m0c&amp;t=445s", "Go to time")</f>
        <v/>
      </c>
    </row>
    <row r="11692">
      <c r="A11692">
        <f>HYPERLINK("https://www.youtube.com/watch?v=gCtlzT0HsZM", "Video")</f>
        <v/>
      </c>
      <c r="B11692" t="inlineStr">
        <is>
          <t>6:02</t>
        </is>
      </c>
      <c r="C11692" t="inlineStr">
        <is>
          <t>basic unit is a 10 gabit per second</t>
        </is>
      </c>
      <c r="D11692">
        <f>HYPERLINK("https://www.youtube.com/watch?v=gCtlzT0HsZM&amp;t=362s", "Go to time")</f>
        <v/>
      </c>
    </row>
    <row r="11693">
      <c r="A11693">
        <f>HYPERLINK("https://www.youtube.com/watch?v=gCtlzT0HsZM", "Video")</f>
        <v/>
      </c>
      <c r="B11693" t="inlineStr">
        <is>
          <t>8:03</t>
        </is>
      </c>
      <c r="C11693" t="inlineStr">
        <is>
          <t>will send your bits to the east or the</t>
        </is>
      </c>
      <c r="D11693">
        <f>HYPERLINK("https://www.youtube.com/watch?v=gCtlzT0HsZM&amp;t=483s", "Go to time")</f>
        <v/>
      </c>
    </row>
    <row r="11694">
      <c r="A11694">
        <f>HYPERLINK("https://www.youtube.com/watch?v=ClPVJ25Ka4k", "Video")</f>
        <v/>
      </c>
      <c r="B11694" t="inlineStr">
        <is>
          <t>2:16</t>
        </is>
      </c>
      <c r="C11694" t="inlineStr">
        <is>
          <t>called Selective Serotonin 
Reuptake Inhibitors, or SSRI’s,</t>
        </is>
      </c>
      <c r="D11694">
        <f>HYPERLINK("https://www.youtube.com/watch?v=ClPVJ25Ka4k&amp;t=136s", "Go to time")</f>
        <v/>
      </c>
    </row>
    <row r="11695">
      <c r="A11695">
        <f>HYPERLINK("https://www.youtube.com/watch?v=VdHHus8IgYA", "Video")</f>
        <v/>
      </c>
      <c r="B11695" t="inlineStr">
        <is>
          <t>1:40</t>
        </is>
      </c>
      <c r="C11695" t="inlineStr">
        <is>
          <t>a no holds barred fight where only
biting and eye-gouging were prohibited,</t>
        </is>
      </c>
      <c r="D11695">
        <f>HYPERLINK("https://www.youtube.com/watch?v=VdHHus8IgYA&amp;t=100s", "Go to time")</f>
        <v/>
      </c>
    </row>
    <row r="11696">
      <c r="A11696">
        <f>HYPERLINK("https://www.youtube.com/watch?v=4dPV9UnDEFY", "Video")</f>
        <v/>
      </c>
      <c r="B11696" t="inlineStr">
        <is>
          <t>1:59</t>
        </is>
      </c>
      <c r="C11696" t="inlineStr">
        <is>
          <t>Rafflesia has stolen quite a bit
of genetic material from its host</t>
        </is>
      </c>
      <c r="D11696">
        <f>HYPERLINK("https://www.youtube.com/watch?v=4dPV9UnDEFY&amp;t=119s", "Go to time")</f>
        <v/>
      </c>
    </row>
    <row r="11697">
      <c r="A11697">
        <f>HYPERLINK("https://www.youtube.com/watch?v=4dPV9UnDEFY", "Video")</f>
        <v/>
      </c>
      <c r="B11697" t="inlineStr">
        <is>
          <t>2:04</t>
        </is>
      </c>
      <c r="C11697" t="inlineStr">
        <is>
          <t>and other plants in its habitat.</t>
        </is>
      </c>
      <c r="D11697">
        <f>HYPERLINK("https://www.youtube.com/watch?v=4dPV9UnDEFY&amp;t=124s", "Go to time")</f>
        <v/>
      </c>
    </row>
    <row r="11698">
      <c r="A11698">
        <f>HYPERLINK("https://www.youtube.com/watch?v=4dPV9UnDEFY", "Video")</f>
        <v/>
      </c>
      <c r="B11698" t="inlineStr">
        <is>
          <t>4:54</t>
        </is>
      </c>
      <c r="C11698" t="inlineStr">
        <is>
          <t>from seeds outside its natural habitat.</t>
        </is>
      </c>
      <c r="D11698">
        <f>HYPERLINK("https://www.youtube.com/watch?v=4dPV9UnDEFY&amp;t=294s", "Go to time")</f>
        <v/>
      </c>
    </row>
    <row r="11699">
      <c r="A11699">
        <f>HYPERLINK("https://www.youtube.com/watch?v=1RWOpQXTltA", "Video")</f>
        <v/>
      </c>
      <c r="B11699" t="inlineStr">
        <is>
          <t>4:07</t>
        </is>
      </c>
      <c r="C11699" t="inlineStr">
        <is>
          <t>Truth or habit? Light or shadow?</t>
        </is>
      </c>
      <c r="D11699">
        <f>HYPERLINK("https://www.youtube.com/watch?v=1RWOpQXTltA&amp;t=247s", "Go to time")</f>
        <v/>
      </c>
    </row>
    <row r="11700">
      <c r="A11700">
        <f>HYPERLINK("https://www.youtube.com/watch?v=HneiEA1B8ks", "Video")</f>
        <v/>
      </c>
      <c r="B11700" t="inlineStr">
        <is>
          <t>1:02</t>
        </is>
      </c>
      <c r="C11700" t="inlineStr">
        <is>
          <t>of tiny, indivisible bits of stuff called atoms.</t>
        </is>
      </c>
      <c r="D11700">
        <f>HYPERLINK("https://www.youtube.com/watch?v=HneiEA1B8ks&amp;t=62s", "Go to time")</f>
        <v/>
      </c>
    </row>
    <row r="11701">
      <c r="A11701">
        <f>HYPERLINK("https://www.youtube.com/watch?v=HneiEA1B8ks", "Video")</f>
        <v/>
      </c>
      <c r="B11701" t="inlineStr">
        <is>
          <t>1:24</t>
        </is>
      </c>
      <c r="C11701" t="inlineStr">
        <is>
          <t>indivisible bit of stuff that's still recognizable</t>
        </is>
      </c>
      <c r="D11701">
        <f>HYPERLINK("https://www.youtube.com/watch?v=HneiEA1B8ks&amp;t=84s", "Go to time")</f>
        <v/>
      </c>
    </row>
    <row r="11702">
      <c r="A11702">
        <f>HYPERLINK("https://www.youtube.com/watch?v=HneiEA1B8ks", "Video")</f>
        <v/>
      </c>
      <c r="B11702" t="inlineStr">
        <is>
          <t>3:07</t>
        </is>
      </c>
      <c r="C11702" t="inlineStr">
        <is>
          <t>orbiting a fairly ordinary star,</t>
        </is>
      </c>
      <c r="D11702">
        <f>HYPERLINK("https://www.youtube.com/watch?v=HneiEA1B8ks&amp;t=187s", "Go to time")</f>
        <v/>
      </c>
    </row>
    <row r="11703">
      <c r="A11703">
        <f>HYPERLINK("https://www.youtube.com/watch?v=sTW3dvuDmBE", "Video")</f>
        <v/>
      </c>
      <c r="B11703" t="inlineStr">
        <is>
          <t>3:05</t>
        </is>
      </c>
      <c r="C11703" t="inlineStr">
        <is>
          <t>And the loss of coastal habitats has left
millions exposed to greater risks</t>
        </is>
      </c>
      <c r="D11703">
        <f>HYPERLINK("https://www.youtube.com/watch?v=sTW3dvuDmBE&amp;t=185s", "Go to time")</f>
        <v/>
      </c>
    </row>
    <row r="11704">
      <c r="A11704">
        <f>HYPERLINK("https://www.youtube.com/watch?v=6uy0GCw397I", "Video")</f>
        <v/>
      </c>
      <c r="B11704" t="inlineStr">
        <is>
          <t>3:36</t>
        </is>
      </c>
      <c r="C11704" t="inlineStr">
        <is>
          <t>that may inhibit our body’s absorption
of various minerals.</t>
        </is>
      </c>
      <c r="D11704">
        <f>HYPERLINK("https://www.youtube.com/watch?v=6uy0GCw397I&amp;t=216s", "Go to time")</f>
        <v/>
      </c>
    </row>
    <row r="11705">
      <c r="A11705">
        <f>HYPERLINK("https://www.youtube.com/watch?v=KnJ4_xRfxpA", "Video")</f>
        <v/>
      </c>
      <c r="B11705" t="inlineStr">
        <is>
          <t>0:06</t>
        </is>
      </c>
      <c r="C11705" t="inlineStr">
        <is>
          <t>Would you rather be bitten</t>
        </is>
      </c>
      <c r="D11705">
        <f>HYPERLINK("https://www.youtube.com/watch?v=KnJ4_xRfxpA&amp;t=6s", "Go to time")</f>
        <v/>
      </c>
    </row>
    <row r="11706">
      <c r="A11706">
        <f>HYPERLINK("https://www.youtube.com/watch?v=KnJ4_xRfxpA", "Video")</f>
        <v/>
      </c>
      <c r="B11706" t="inlineStr">
        <is>
          <t>0:17</t>
        </is>
      </c>
      <c r="C11706" t="inlineStr">
        <is>
          <t>to be bitten by a venomous rattlesnake.</t>
        </is>
      </c>
      <c r="D11706">
        <f>HYPERLINK("https://www.youtube.com/watch?v=KnJ4_xRfxpA&amp;t=17s", "Go to time")</f>
        <v/>
      </c>
    </row>
    <row r="11707">
      <c r="A11707">
        <f>HYPERLINK("https://www.youtube.com/watch?v=KnJ4_xRfxpA", "Video")</f>
        <v/>
      </c>
      <c r="B11707" t="inlineStr">
        <is>
          <t>0:19</t>
        </is>
      </c>
      <c r="C11707" t="inlineStr">
        <is>
          <t>When it bites you,</t>
        </is>
      </c>
      <c r="D11707">
        <f>HYPERLINK("https://www.youtube.com/watch?v=KnJ4_xRfxpA&amp;t=19s", "Go to time")</f>
        <v/>
      </c>
    </row>
    <row r="11708">
      <c r="A11708">
        <f>HYPERLINK("https://www.youtube.com/watch?v=KnJ4_xRfxpA", "Video")</f>
        <v/>
      </c>
      <c r="B11708" t="inlineStr">
        <is>
          <t>0:42</t>
        </is>
      </c>
      <c r="C11708" t="inlineStr">
        <is>
          <t>In fact, between 20 and 80% of snake bites</t>
        </is>
      </c>
      <c r="D11708">
        <f>HYPERLINK("https://www.youtube.com/watch?v=KnJ4_xRfxpA&amp;t=42s", "Go to time")</f>
        <v/>
      </c>
    </row>
    <row r="11709">
      <c r="A11709">
        <f>HYPERLINK("https://www.youtube.com/watch?v=KnJ4_xRfxpA", "Video")</f>
        <v/>
      </c>
      <c r="B11709" t="inlineStr">
        <is>
          <t>0:44</t>
        </is>
      </c>
      <c r="C11709" t="inlineStr">
        <is>
          <t>are so-called "dry bites,"</t>
        </is>
      </c>
      <c r="D11709">
        <f>HYPERLINK("https://www.youtube.com/watch?v=KnJ4_xRfxpA&amp;t=44s", "Go to time")</f>
        <v/>
      </c>
    </row>
    <row r="11710">
      <c r="A11710">
        <f>HYPERLINK("https://www.youtube.com/watch?v=KnJ4_xRfxpA", "Video")</f>
        <v/>
      </c>
      <c r="B11710" t="inlineStr">
        <is>
          <t>1:30</t>
        </is>
      </c>
      <c r="C11710" t="inlineStr">
        <is>
          <t>so a snake bite is venomous.</t>
        </is>
      </c>
      <c r="D11710">
        <f>HYPERLINK("https://www.youtube.com/watch?v=KnJ4_xRfxpA&amp;t=90s", "Go to time")</f>
        <v/>
      </c>
    </row>
    <row r="11711">
      <c r="A11711">
        <f>HYPERLINK("https://www.youtube.com/watch?v=KnJ4_xRfxpA", "Video")</f>
        <v/>
      </c>
      <c r="B11711" t="inlineStr">
        <is>
          <t>1:54</t>
        </is>
      </c>
      <c r="C11711" t="inlineStr">
        <is>
          <t>where it's a venom delivered by bite.</t>
        </is>
      </c>
      <c r="D11711">
        <f>HYPERLINK("https://www.youtube.com/watch?v=KnJ4_xRfxpA&amp;t=114s", "Go to time")</f>
        <v/>
      </c>
    </row>
    <row r="11712">
      <c r="A11712">
        <f>HYPERLINK("https://www.youtube.com/watch?v=KnJ4_xRfxpA", "Video")</f>
        <v/>
      </c>
      <c r="B11712" t="inlineStr">
        <is>
          <t>3:08</t>
        </is>
      </c>
      <c r="C11712" t="inlineStr">
        <is>
          <t>So, what should you do if something bites or poisons you?</t>
        </is>
      </c>
      <c r="D11712">
        <f>HYPERLINK("https://www.youtube.com/watch?v=KnJ4_xRfxpA&amp;t=188s", "Go to time")</f>
        <v/>
      </c>
    </row>
    <row r="11713">
      <c r="A11713">
        <f>HYPERLINK("https://www.youtube.com/watch?v=KnJ4_xRfxpA", "Video")</f>
        <v/>
      </c>
      <c r="B11713" t="inlineStr">
        <is>
          <t>3:16</t>
        </is>
      </c>
      <c r="C11713" t="inlineStr">
        <is>
          <t>that bit you,</t>
        </is>
      </c>
      <c r="D11713">
        <f>HYPERLINK("https://www.youtube.com/watch?v=KnJ4_xRfxpA&amp;t=196s", "Go to time")</f>
        <v/>
      </c>
    </row>
    <row r="11714">
      <c r="A11714">
        <f>HYPERLINK("https://www.youtube.com/watch?v=9wiHfHOPbyE", "Video")</f>
        <v/>
      </c>
      <c r="B11714" t="inlineStr">
        <is>
          <t>1:31</t>
        </is>
      </c>
      <c r="C11714" t="inlineStr">
        <is>
          <t>were a little bit reluctant to go</t>
        </is>
      </c>
      <c r="D11714">
        <f>HYPERLINK("https://www.youtube.com/watch?v=9wiHfHOPbyE&amp;t=91s", "Go to time")</f>
        <v/>
      </c>
    </row>
    <row r="11715">
      <c r="A11715">
        <f>HYPERLINK("https://www.youtube.com/watch?v=9wiHfHOPbyE", "Video")</f>
        <v/>
      </c>
      <c r="B11715" t="inlineStr">
        <is>
          <t>11:51</t>
        </is>
      </c>
      <c r="C11715" t="inlineStr">
        <is>
          <t>bit of a hog when it comes to using</t>
        </is>
      </c>
      <c r="D11715">
        <f>HYPERLINK("https://www.youtube.com/watch?v=9wiHfHOPbyE&amp;t=711s", "Go to time")</f>
        <v/>
      </c>
    </row>
    <row r="11716">
      <c r="A11716">
        <f>HYPERLINK("https://www.youtube.com/watch?v=LqeAiz691-s", "Video")</f>
        <v/>
      </c>
      <c r="B11716" t="inlineStr">
        <is>
          <t>0:50</t>
        </is>
      </c>
      <c r="C11716" t="inlineStr">
        <is>
          <t>story which is my sister is a little bit</t>
        </is>
      </c>
      <c r="D11716">
        <f>HYPERLINK("https://www.youtube.com/watch?v=LqeAiz691-s&amp;t=50s", "Go to time")</f>
        <v/>
      </c>
    </row>
    <row r="11717">
      <c r="A11717">
        <f>HYPERLINK("https://www.youtube.com/watch?v=otrpxtAmDAk", "Video")</f>
        <v/>
      </c>
      <c r="B11717" t="inlineStr">
        <is>
          <t>1:39</t>
        </is>
      </c>
      <c r="C11717" t="inlineStr">
        <is>
          <t>by improving our personal habits:</t>
        </is>
      </c>
      <c r="D11717">
        <f>HYPERLINK("https://www.youtube.com/watch?v=otrpxtAmDAk&amp;t=99s", "Go to time")</f>
        <v/>
      </c>
    </row>
    <row r="11718">
      <c r="A11718">
        <f>HYPERLINK("https://www.youtube.com/watch?v=otrpxtAmDAk", "Video")</f>
        <v/>
      </c>
      <c r="B11718" t="inlineStr">
        <is>
          <t>2:04</t>
        </is>
      </c>
      <c r="C11718" t="inlineStr">
        <is>
          <t>Individual habits are still part of the puzzle.</t>
        </is>
      </c>
      <c r="D11718">
        <f>HYPERLINK("https://www.youtube.com/watch?v=otrpxtAmDAk&amp;t=124s", "Go to time")</f>
        <v/>
      </c>
    </row>
    <row r="11719">
      <c r="A11719">
        <f>HYPERLINK("https://www.youtube.com/watch?v=Xu-QfE_1ksk", "Video")</f>
        <v/>
      </c>
      <c r="B11719" t="inlineStr">
        <is>
          <t>0:47</t>
        </is>
      </c>
      <c r="C11719" t="inlineStr">
        <is>
          <t>Laughter also inhibits your reflexes
and muscle control,</t>
        </is>
      </c>
      <c r="D11719">
        <f>HYPERLINK("https://www.youtube.com/watch?v=Xu-QfE_1ksk&amp;t=47s", "Go to time")</f>
        <v/>
      </c>
    </row>
    <row r="11720">
      <c r="A11720">
        <f>HYPERLINK("https://www.youtube.com/watch?v=eIdJ22AfsO8", "Video")</f>
        <v/>
      </c>
      <c r="B11720" t="inlineStr">
        <is>
          <t>1:46</t>
        </is>
      </c>
      <c r="C11720" t="inlineStr">
        <is>
          <t>This form of mining destroys 
huge swaths of natural habitats,</t>
        </is>
      </c>
      <c r="D11720">
        <f>HYPERLINK("https://www.youtube.com/watch?v=eIdJ22AfsO8&amp;t=106s", "Go to time")</f>
        <v/>
      </c>
    </row>
    <row r="11721">
      <c r="A11721">
        <f>HYPERLINK("https://www.youtube.com/watch?v=eIdJ22AfsO8", "Video")</f>
        <v/>
      </c>
      <c r="B11721" t="inlineStr">
        <is>
          <t>2:15</t>
        </is>
      </c>
      <c r="C11721" t="inlineStr">
        <is>
          <t>and all of it is associated 
with vast habitat destruction,</t>
        </is>
      </c>
      <c r="D11721">
        <f>HYPERLINK("https://www.youtube.com/watch?v=eIdJ22AfsO8&amp;t=135s", "Go to time")</f>
        <v/>
      </c>
    </row>
    <row r="11722">
      <c r="A11722">
        <f>HYPERLINK("https://www.youtube.com/watch?v=YlYEi0PgG1g", "Video")</f>
        <v/>
      </c>
      <c r="B11722" t="inlineStr">
        <is>
          <t>3:21</t>
        </is>
      </c>
      <c r="C11722" t="inlineStr">
        <is>
          <t>If you wanted to lift the Eiffel Tower,
your lever would have to be a bit longer,</t>
        </is>
      </c>
      <c r="D11722">
        <f>HYPERLINK("https://www.youtube.com/watch?v=YlYEi0PgG1g&amp;t=201s", "Go to time")</f>
        <v/>
      </c>
    </row>
    <row r="11723">
      <c r="A11723">
        <f>HYPERLINK("https://www.youtube.com/watch?v=I7EOTLpDSzs", "Video")</f>
        <v/>
      </c>
      <c r="B11723" t="inlineStr">
        <is>
          <t>0:45</t>
        </is>
      </c>
      <c r="C11723" t="inlineStr">
        <is>
          <t>“zumbi” refers to an object inhabited 
by a spirit,</t>
        </is>
      </c>
      <c r="D11723">
        <f>HYPERLINK("https://www.youtube.com/watch?v=I7EOTLpDSzs&amp;t=45s", "Go to time")</f>
        <v/>
      </c>
    </row>
    <row r="11724">
      <c r="A11724">
        <f>HYPERLINK("https://www.youtube.com/watch?v=ScdLqAA_64E", "Video")</f>
        <v/>
      </c>
      <c r="B11724" t="inlineStr">
        <is>
          <t>3:14</t>
        </is>
      </c>
      <c r="C11724" t="inlineStr">
        <is>
          <t>But here's the clever bit.</t>
        </is>
      </c>
      <c r="D11724">
        <f>HYPERLINK("https://www.youtube.com/watch?v=ScdLqAA_64E&amp;t=194s", "Go to time")</f>
        <v/>
      </c>
    </row>
    <row r="11725">
      <c r="A11725">
        <f>HYPERLINK("https://www.youtube.com/watch?v=7QDvKzY4aqA", "Video")</f>
        <v/>
      </c>
      <c r="B11725" t="inlineStr">
        <is>
          <t>1:08</t>
        </is>
      </c>
      <c r="C11725" t="inlineStr">
        <is>
          <t>While in Germany, Tycho got into a bit of an argument</t>
        </is>
      </c>
      <c r="D11725">
        <f>HYPERLINK("https://www.youtube.com/watch?v=7QDvKzY4aqA&amp;t=68s", "Go to time")</f>
        <v/>
      </c>
    </row>
    <row r="11726">
      <c r="A11726">
        <f>HYPERLINK("https://www.youtube.com/watch?v=YeMVoJKn1Tg", "Video")</f>
        <v/>
      </c>
      <c r="B11726" t="inlineStr">
        <is>
          <t>2:53</t>
        </is>
      </c>
      <c r="C11726" t="inlineStr">
        <is>
          <t>It’s somewhat arbitrary,</t>
        </is>
      </c>
      <c r="D11726">
        <f>HYPERLINK("https://www.youtube.com/watch?v=YeMVoJKn1Tg&amp;t=173s", "Go to time")</f>
        <v/>
      </c>
    </row>
    <row r="11727">
      <c r="A11727">
        <f>HYPERLINK("https://www.youtube.com/watch?v=q93IfqUbEf4", "Video")</f>
        <v/>
      </c>
      <c r="B11727" t="inlineStr">
        <is>
          <t>3:37</t>
        </is>
      </c>
      <c r="C11727" t="inlineStr">
        <is>
          <t>and help winemakers 
by biting into their grapes</t>
        </is>
      </c>
      <c r="D11727">
        <f>HYPERLINK("https://www.youtube.com/watch?v=q93IfqUbEf4&amp;t=217s", "Go to time")</f>
        <v/>
      </c>
    </row>
    <row r="11728">
      <c r="A11728">
        <f>HYPERLINK("https://www.youtube.com/watch?v=TN79Qyddsf0", "Video")</f>
        <v/>
      </c>
      <c r="B11728" t="inlineStr">
        <is>
          <t>0:28</t>
        </is>
      </c>
      <c r="C11728" t="inlineStr">
        <is>
          <t>exhibit irresponsible Behavior or</t>
        </is>
      </c>
      <c r="D11728">
        <f>HYPERLINK("https://www.youtube.com/watch?v=TN79Qyddsf0&amp;t=28s", "Go to time")</f>
        <v/>
      </c>
    </row>
    <row r="11729">
      <c r="A11729">
        <f>HYPERLINK("https://www.youtube.com/watch?v=PSRJfaAYkW4", "Video")</f>
        <v/>
      </c>
      <c r="B11729" t="inlineStr">
        <is>
          <t>4:58</t>
        </is>
      </c>
      <c r="C11729" t="inlineStr">
        <is>
          <t>So the next time you catch a cold 
or scratch a mosquito bite,</t>
        </is>
      </c>
      <c r="D11729">
        <f>HYPERLINK("https://www.youtube.com/watch?v=PSRJfaAYkW4&amp;t=298s", "Go to time")</f>
        <v/>
      </c>
    </row>
    <row r="11730">
      <c r="A11730">
        <f>HYPERLINK("https://www.youtube.com/watch?v=VKMWqOfbGME", "Video")</f>
        <v/>
      </c>
      <c r="B11730" t="inlineStr">
        <is>
          <t>0:43</t>
        </is>
      </c>
      <c r="C11730" t="inlineStr">
        <is>
          <t>Asteroids are bits of rock and metal
that orbit the Sun.</t>
        </is>
      </c>
      <c r="D11730">
        <f>HYPERLINK("https://www.youtube.com/watch?v=VKMWqOfbGME&amp;t=43s", "Go to time")</f>
        <v/>
      </c>
    </row>
    <row r="11731">
      <c r="A11731">
        <f>HYPERLINK("https://www.youtube.com/watch?v=VKMWqOfbGME", "Video")</f>
        <v/>
      </c>
      <c r="B11731" t="inlineStr">
        <is>
          <t>1:15</t>
        </is>
      </c>
      <c r="C11731" t="inlineStr">
        <is>
          <t>and then calculate 
its orbit around the Sun.</t>
        </is>
      </c>
      <c r="D11731">
        <f>HYPERLINK("https://www.youtube.com/watch?v=VKMWqOfbGME&amp;t=75s", "Go to time")</f>
        <v/>
      </c>
    </row>
    <row r="11732">
      <c r="A11732">
        <f>HYPERLINK("https://www.youtube.com/watch?v=VKMWqOfbGME", "Video")</f>
        <v/>
      </c>
      <c r="B11732" t="inlineStr">
        <is>
          <t>1:51</t>
        </is>
      </c>
      <c r="C11732" t="inlineStr">
        <is>
          <t>Astronomers needed to calculate
Ceres's orbit.</t>
        </is>
      </c>
      <c r="D11732">
        <f>HYPERLINK("https://www.youtube.com/watch?v=VKMWqOfbGME&amp;t=111s", "Go to time")</f>
        <v/>
      </c>
    </row>
    <row r="11733">
      <c r="A11733">
        <f>HYPERLINK("https://www.youtube.com/watch?v=VKMWqOfbGME", "Video")</f>
        <v/>
      </c>
      <c r="B11733" t="inlineStr">
        <is>
          <t>2:27</t>
        </is>
      </c>
      <c r="C11733" t="inlineStr">
        <is>
          <t>He derived a new orbit and new predictions
of where to look for Ceres.</t>
        </is>
      </c>
      <c r="D11733">
        <f>HYPERLINK("https://www.youtube.com/watch?v=VKMWqOfbGME&amp;t=147s", "Go to time")</f>
        <v/>
      </c>
    </row>
    <row r="11734">
      <c r="A11734">
        <f>HYPERLINK("https://www.youtube.com/watch?v=VKMWqOfbGME", "Video")</f>
        <v/>
      </c>
      <c r="B11734" t="inlineStr">
        <is>
          <t>2:57</t>
        </is>
      </c>
      <c r="C11734" t="inlineStr">
        <is>
          <t>Many, including Ceres, orbit the Sun
between Mars and Jupiter,</t>
        </is>
      </c>
      <c r="D11734">
        <f>HYPERLINK("https://www.youtube.com/watch?v=VKMWqOfbGME&amp;t=177s", "Go to time")</f>
        <v/>
      </c>
    </row>
    <row r="11735">
      <c r="A11735">
        <f>HYPERLINK("https://www.youtube.com/watch?v=VKMWqOfbGME", "Video")</f>
        <v/>
      </c>
      <c r="B11735" t="inlineStr">
        <is>
          <t>3:01</t>
        </is>
      </c>
      <c r="C11735" t="inlineStr">
        <is>
          <t>while near-Earth asteroids orbit
the Sun relatively close to Earth.</t>
        </is>
      </c>
      <c r="D11735">
        <f>HYPERLINK("https://www.youtube.com/watch?v=VKMWqOfbGME&amp;t=181s", "Go to time")</f>
        <v/>
      </c>
    </row>
    <row r="11736">
      <c r="A11736">
        <f>HYPERLINK("https://www.youtube.com/watch?v=VKMWqOfbGME", "Video")</f>
        <v/>
      </c>
      <c r="B11736" t="inlineStr">
        <is>
          <t>3:34</t>
        </is>
      </c>
      <c r="C11736" t="inlineStr">
        <is>
          <t>Each discovered asteroid has its unique
orbit measured.</t>
        </is>
      </c>
      <c r="D11736">
        <f>HYPERLINK("https://www.youtube.com/watch?v=VKMWqOfbGME&amp;t=214s", "Go to time")</f>
        <v/>
      </c>
    </row>
    <row r="11737">
      <c r="A11737">
        <f>HYPERLINK("https://www.youtube.com/watch?v=VKMWqOfbGME", "Video")</f>
        <v/>
      </c>
      <c r="B11737" t="inlineStr">
        <is>
          <t>3:37</t>
        </is>
      </c>
      <c r="C11737" t="inlineStr">
        <is>
          <t>An orbit lets astronomers predict 
where asteroids are going to be</t>
        </is>
      </c>
      <c r="D11737">
        <f>HYPERLINK("https://www.youtube.com/watch?v=VKMWqOfbGME&amp;t=217s", "Go to time")</f>
        <v/>
      </c>
    </row>
    <row r="11738">
      <c r="A11738">
        <f>HYPERLINK("https://www.youtube.com/watch?v=vn3e37VWc0k", "Video")</f>
        <v/>
      </c>
      <c r="B11738" t="inlineStr">
        <is>
          <t>1:00</t>
        </is>
      </c>
      <c r="C11738" t="inlineStr">
        <is>
          <t>were inhabited, not by the demons of folklore,</t>
        </is>
      </c>
      <c r="D11738">
        <f>HYPERLINK("https://www.youtube.com/watch?v=vn3e37VWc0k&amp;t=60s", "Go to time")</f>
        <v/>
      </c>
    </row>
    <row r="11739">
      <c r="A11739">
        <f>HYPERLINK("https://www.youtube.com/watch?v=brdrOzVgZX0", "Video")</f>
        <v/>
      </c>
      <c r="B11739" t="inlineStr">
        <is>
          <t>3:45</t>
        </is>
      </c>
      <c r="C11739" t="inlineStr">
        <is>
          <t>by running controlled burns
in peatland habitats.</t>
        </is>
      </c>
      <c r="D11739">
        <f>HYPERLINK("https://www.youtube.com/watch?v=brdrOzVgZX0&amp;t=225s", "Go to time")</f>
        <v/>
      </c>
    </row>
    <row r="11740">
      <c r="A11740">
        <f>HYPERLINK("https://www.youtube.com/watch?v=3xHURCCswAY", "Video")</f>
        <v/>
      </c>
      <c r="B11740" t="inlineStr">
        <is>
          <t>1:49</t>
        </is>
      </c>
      <c r="C11740" t="inlineStr">
        <is>
          <t>fall in love a little bit and my eyes</t>
        </is>
      </c>
      <c r="D11740">
        <f>HYPERLINK("https://www.youtube.com/watch?v=3xHURCCswAY&amp;t=109s", "Go to time")</f>
        <v/>
      </c>
    </row>
    <row r="11741">
      <c r="A11741">
        <f>HYPERLINK("https://www.youtube.com/watch?v=QJB0nmEjbDY", "Video")</f>
        <v/>
      </c>
      <c r="B11741" t="inlineStr">
        <is>
          <t>0:29</t>
        </is>
      </c>
      <c r="C11741" t="inlineStr">
        <is>
          <t>one of which was biting flies.</t>
        </is>
      </c>
      <c r="D11741">
        <f>HYPERLINK("https://www.youtube.com/watch?v=QJB0nmEjbDY&amp;t=29s", "Go to time")</f>
        <v/>
      </c>
    </row>
    <row r="11742">
      <c r="A11742">
        <f>HYPERLINK("https://www.youtube.com/watch?v=QJB0nmEjbDY", "Video")</f>
        <v/>
      </c>
      <c r="B11742" t="inlineStr">
        <is>
          <t>3:23</t>
        </is>
      </c>
      <c r="C11742" t="inlineStr">
        <is>
          <t>concerns those biting flies
that horses couldn’t handle.</t>
        </is>
      </c>
      <c r="D11742">
        <f>HYPERLINK("https://www.youtube.com/watch?v=QJB0nmEjbDY&amp;t=203s", "Go to time")</f>
        <v/>
      </c>
    </row>
    <row r="11743">
      <c r="A11743">
        <f>HYPERLINK("https://www.youtube.com/watch?v=QJB0nmEjbDY", "Video")</f>
        <v/>
      </c>
      <c r="B11743" t="inlineStr">
        <is>
          <t>3:42</t>
        </is>
      </c>
      <c r="C11743" t="inlineStr">
        <is>
          <t>one experiment found that a certain kind
of biting fly</t>
        </is>
      </c>
      <c r="D11743">
        <f>HYPERLINK("https://www.youtube.com/watch?v=QJB0nmEjbDY&amp;t=222s", "Go to time")</f>
        <v/>
      </c>
    </row>
    <row r="11744">
      <c r="A11744">
        <f>HYPERLINK("https://www.youtube.com/watch?v=QJB0nmEjbDY", "Video")</f>
        <v/>
      </c>
      <c r="B11744" t="inlineStr">
        <is>
          <t>3:53</t>
        </is>
      </c>
      <c r="C11744" t="inlineStr">
        <is>
          <t>Another documented biting flies
circling horses, zebras,</t>
        </is>
      </c>
      <c r="D11744">
        <f>HYPERLINK("https://www.youtube.com/watch?v=QJB0nmEjbDY&amp;t=233s", "Go to time")</f>
        <v/>
      </c>
    </row>
    <row r="11745">
      <c r="A11745">
        <f>HYPERLINK("https://www.youtube.com/watch?v=QJB0nmEjbDY", "Video")</f>
        <v/>
      </c>
      <c r="B11745" t="inlineStr">
        <is>
          <t>4:06</t>
        </is>
      </c>
      <c r="C11745" t="inlineStr">
        <is>
          <t>Biting flies also generally approached
zebras at higher speeds</t>
        </is>
      </c>
      <c r="D11745">
        <f>HYPERLINK("https://www.youtube.com/watch?v=QJB0nmEjbDY&amp;t=246s", "Go to time")</f>
        <v/>
      </c>
    </row>
    <row r="11746">
      <c r="A11746">
        <f>HYPERLINK("https://www.youtube.com/watch?v=QJB0nmEjbDY", "Video")</f>
        <v/>
      </c>
      <c r="B11746" t="inlineStr">
        <is>
          <t>4:22</t>
        </is>
      </c>
      <c r="C11746" t="inlineStr">
        <is>
          <t>interfere with how biting flies
process visual information</t>
        </is>
      </c>
      <c r="D11746">
        <f>HYPERLINK("https://www.youtube.com/watch?v=QJB0nmEjbDY&amp;t=262s", "Go to time")</f>
        <v/>
      </c>
    </row>
    <row r="11747">
      <c r="A11747">
        <f>HYPERLINK("https://www.youtube.com/watch?v=QJB0nmEjbDY", "Video")</f>
        <v/>
      </c>
      <c r="B11747" t="inlineStr">
        <is>
          <t>4:33</t>
        </is>
      </c>
      <c r="C11747" t="inlineStr">
        <is>
          <t>But zebras aren't just good at keeping
biting flies off their backs.</t>
        </is>
      </c>
      <c r="D11747">
        <f>HYPERLINK("https://www.youtube.com/watch?v=QJB0nmEjbDY&amp;t=273s", "Go to time")</f>
        <v/>
      </c>
    </row>
    <row r="11748">
      <c r="A11748">
        <f>HYPERLINK("https://www.youtube.com/watch?v=QJB0nmEjbDY", "Video")</f>
        <v/>
      </c>
      <c r="B11748" t="inlineStr">
        <is>
          <t>4:58</t>
        </is>
      </c>
      <c r="C11748" t="inlineStr">
        <is>
          <t>and they’re equipped with fierce bites
and kicks strong enough to kill a lion.</t>
        </is>
      </c>
      <c r="D11748">
        <f>HYPERLINK("https://www.youtube.com/watch?v=QJB0nmEjbDY&amp;t=298s", "Go to time")</f>
        <v/>
      </c>
    </row>
    <row r="11749">
      <c r="A11749">
        <f>HYPERLINK("https://www.youtube.com/watch?v=hebGhsNsjG0", "Video")</f>
        <v/>
      </c>
      <c r="B11749" t="inlineStr">
        <is>
          <t>0:21</t>
        </is>
      </c>
      <c r="C11749" t="inlineStr">
        <is>
          <t>they had been orbiting each other
for millions of years.</t>
        </is>
      </c>
      <c r="D11749">
        <f>HYPERLINK("https://www.youtube.com/watch?v=hebGhsNsjG0&amp;t=21s", "Go to time")</f>
        <v/>
      </c>
    </row>
    <row r="11750">
      <c r="A11750">
        <f>HYPERLINK("https://www.youtube.com/watch?v=hebGhsNsjG0", "Video")</f>
        <v/>
      </c>
      <c r="B11750" t="inlineStr">
        <is>
          <t>3:39</t>
        </is>
      </c>
      <c r="C11750" t="inlineStr">
        <is>
          <t>They can derive information, 
like its mass and the shape of its orbit.</t>
        </is>
      </c>
      <c r="D11750">
        <f>HYPERLINK("https://www.youtube.com/watch?v=hebGhsNsjG0&amp;t=219s", "Go to time")</f>
        <v/>
      </c>
    </row>
    <row r="11751">
      <c r="A11751">
        <f>HYPERLINK("https://www.youtube.com/watch?v=hebGhsNsjG0", "Video")</f>
        <v/>
      </c>
      <c r="B11751" t="inlineStr">
        <is>
          <t>4:00</t>
        </is>
      </c>
      <c r="C11751" t="inlineStr">
        <is>
          <t>and it's the signature of any two
objects orbiting into each other.</t>
        </is>
      </c>
      <c r="D11751">
        <f>HYPERLINK("https://www.youtube.com/watch?v=hebGhsNsjG0&amp;t=240s", "Go to time")</f>
        <v/>
      </c>
    </row>
    <row r="11752">
      <c r="A11752">
        <f>HYPERLINK("https://www.youtube.com/watch?v=-m0YaE8uKcg", "Video")</f>
        <v/>
      </c>
      <c r="B11752" t="inlineStr">
        <is>
          <t>2:28</t>
        </is>
      </c>
      <c r="C11752" t="inlineStr">
        <is>
          <t>to take a bite out of this 
growing problem.</t>
        </is>
      </c>
      <c r="D11752">
        <f>HYPERLINK("https://www.youtube.com/watch?v=-m0YaE8uKcg&amp;t=148s", "Go to time")</f>
        <v/>
      </c>
    </row>
    <row r="11753">
      <c r="A11753">
        <f>HYPERLINK("https://www.youtube.com/watch?v=wgPymD-NBQU", "Video")</f>
        <v/>
      </c>
      <c r="B11753" t="inlineStr">
        <is>
          <t>1:14</t>
        </is>
      </c>
      <c r="C11753" t="inlineStr">
        <is>
          <t>And after defeating his rival
Pompey the Great in a bitter civil war,</t>
        </is>
      </c>
      <c r="D11753">
        <f>HYPERLINK("https://www.youtube.com/watch?v=wgPymD-NBQU&amp;t=74s", "Go to time")</f>
        <v/>
      </c>
    </row>
    <row r="11754">
      <c r="A11754">
        <f>HYPERLINK("https://www.youtube.com/watch?v=wgPymD-NBQU", "Video")</f>
        <v/>
      </c>
      <c r="B11754" t="inlineStr">
        <is>
          <t>2:06</t>
        </is>
      </c>
      <c r="C11754" t="inlineStr">
        <is>
          <t>as well as those whose 
own power and ambition</t>
        </is>
      </c>
      <c r="D11754">
        <f>HYPERLINK("https://www.youtube.com/watch?v=wgPymD-NBQU&amp;t=126s", "Go to time")</f>
        <v/>
      </c>
    </row>
    <row r="11755">
      <c r="A11755">
        <f>HYPERLINK("https://www.youtube.com/watch?v=wgPymD-NBQU", "Video")</f>
        <v/>
      </c>
      <c r="B11755" t="inlineStr">
        <is>
          <t>2:51</t>
        </is>
      </c>
      <c r="C11755" t="inlineStr">
        <is>
          <t>Cassius's insistence and Brutus's own fear
of Caesar's ambitions won out.</t>
        </is>
      </c>
      <c r="D11755">
        <f>HYPERLINK("https://www.youtube.com/watch?v=wgPymD-NBQU&amp;t=171s", "Go to time")</f>
        <v/>
      </c>
    </row>
    <row r="11756">
      <c r="A11756">
        <f>HYPERLINK("https://www.youtube.com/watch?v=sLMc5OFnQRs", "Video")</f>
        <v/>
      </c>
      <c r="B11756" t="inlineStr">
        <is>
          <t>0:32</t>
        </is>
      </c>
      <c r="C11756" t="inlineStr">
        <is>
          <t>All you need are some simple tools
and a bit of chemistry.</t>
        </is>
      </c>
      <c r="D11756">
        <f>HYPERLINK("https://www.youtube.com/watch?v=sLMc5OFnQRs&amp;t=32s", "Go to time")</f>
        <v/>
      </c>
    </row>
    <row r="11757">
      <c r="A11757">
        <f>HYPERLINK("https://www.youtube.com/watch?v=sLMc5OFnQRs", "Video")</f>
        <v/>
      </c>
      <c r="B11757" t="inlineStr">
        <is>
          <t>2:47</t>
        </is>
      </c>
      <c r="C11757" t="inlineStr">
        <is>
          <t>they lose a bit of energy as heat
and then radiate the rest as light.</t>
        </is>
      </c>
      <c r="D11757">
        <f>HYPERLINK("https://www.youtube.com/watch?v=sLMc5OFnQRs&amp;t=167s", "Go to time")</f>
        <v/>
      </c>
    </row>
    <row r="11758">
      <c r="A11758">
        <f>HYPERLINK("https://www.youtube.com/watch?v=WIdWjqZsGgg", "Video")</f>
        <v/>
      </c>
      <c r="B11758" t="inlineStr">
        <is>
          <t>2:07</t>
        </is>
      </c>
      <c r="C11758" t="inlineStr">
        <is>
          <t>and damage soil to inhibit future growth.</t>
        </is>
      </c>
      <c r="D11758">
        <f>HYPERLINK("https://www.youtube.com/watch?v=WIdWjqZsGgg&amp;t=127s", "Go to time")</f>
        <v/>
      </c>
    </row>
    <row r="11759">
      <c r="A11759">
        <f>HYPERLINK("https://www.youtube.com/watch?v=Y6EhRwn4zkc", "Video")</f>
        <v/>
      </c>
      <c r="B11759" t="inlineStr">
        <is>
          <t>2:13</t>
        </is>
      </c>
      <c r="C11759" t="inlineStr">
        <is>
          <t>"Yes, all very ambitious, 
exactly what got him assassinated."</t>
        </is>
      </c>
      <c r="D11759">
        <f>HYPERLINK("https://www.youtube.com/watch?v=Y6EhRwn4zkc&amp;t=133s", "Go to time")</f>
        <v/>
      </c>
    </row>
    <row r="11760">
      <c r="A11760">
        <f>HYPERLINK("https://www.youtube.com/watch?v=98TQv5IAtY8", "Video")</f>
        <v/>
      </c>
      <c r="B11760" t="inlineStr">
        <is>
          <t>1:53</t>
        </is>
      </c>
      <c r="C11760" t="inlineStr">
        <is>
          <t>It might help to realize that the amount
of prisoners is arbitrary.</t>
        </is>
      </c>
      <c r="D11760">
        <f>HYPERLINK("https://www.youtube.com/watch?v=98TQv5IAtY8&amp;t=113s", "Go to time")</f>
        <v/>
      </c>
    </row>
    <row r="11761">
      <c r="A11761">
        <f>HYPERLINK("https://www.youtube.com/watch?v=ibjUpk9Iagk", "Video")</f>
        <v/>
      </c>
      <c r="B11761" t="inlineStr">
        <is>
          <t>0:40</t>
        </is>
      </c>
      <c r="C11761" t="inlineStr">
        <is>
          <t>but a bitter, invigorating concoction
frothing with foam.</t>
        </is>
      </c>
      <c r="D11761">
        <f>HYPERLINK("https://www.youtube.com/watch?v=ibjUpk9Iagk&amp;t=40s", "Go to time")</f>
        <v/>
      </c>
    </row>
    <row r="11762">
      <c r="A11762">
        <f>HYPERLINK("https://www.youtube.com/watch?v=ibjUpk9Iagk", "Video")</f>
        <v/>
      </c>
      <c r="B11762" t="inlineStr">
        <is>
          <t>1:42</t>
        </is>
      </c>
      <c r="C11762" t="inlineStr">
        <is>
          <t>At first, its bitter taste made it
suitable as a medicine for ailments,</t>
        </is>
      </c>
      <c r="D11762">
        <f>HYPERLINK("https://www.youtube.com/watch?v=ibjUpk9Iagk&amp;t=102s", "Go to time")</f>
        <v/>
      </c>
    </row>
    <row r="11763">
      <c r="A11763">
        <f>HYPERLINK("https://www.youtube.com/watch?v=_IZMVMf4NQ0", "Video")</f>
        <v/>
      </c>
      <c r="B11763" t="inlineStr">
        <is>
          <t>4:40</t>
        </is>
      </c>
      <c r="C11763" t="inlineStr">
        <is>
          <t>I'm going to make it a little bit smoother</t>
        </is>
      </c>
      <c r="D11763">
        <f>HYPERLINK("https://www.youtube.com/watch?v=_IZMVMf4NQ0&amp;t=280s", "Go to time")</f>
        <v/>
      </c>
    </row>
    <row r="11764">
      <c r="A11764">
        <f>HYPERLINK("https://www.youtube.com/watch?v=_IZMVMf4NQ0", "Video")</f>
        <v/>
      </c>
      <c r="B11764" t="inlineStr">
        <is>
          <t>4:52</t>
        </is>
      </c>
      <c r="C11764" t="inlineStr">
        <is>
          <t>they're a little bit smoother,</t>
        </is>
      </c>
      <c r="D11764">
        <f>HYPERLINK("https://www.youtube.com/watch?v=_IZMVMf4NQ0&amp;t=292s", "Go to time")</f>
        <v/>
      </c>
    </row>
    <row r="11765">
      <c r="A11765">
        <f>HYPERLINK("https://www.youtube.com/watch?v=f_OPjYQovAE", "Video")</f>
        <v/>
      </c>
      <c r="B11765" t="inlineStr">
        <is>
          <t>3:27</t>
        </is>
      </c>
      <c r="C11765" t="inlineStr">
        <is>
          <t>Further, oxytocin can inhibit 
the release of stress hormones,</t>
        </is>
      </c>
      <c r="D11765">
        <f>HYPERLINK("https://www.youtube.com/watch?v=f_OPjYQovAE&amp;t=207s", "Go to time")</f>
        <v/>
      </c>
    </row>
    <row r="11766">
      <c r="A11766">
        <f>HYPERLINK("https://www.youtube.com/watch?v=BQE--8L8Fn0", "Video")</f>
        <v/>
      </c>
      <c r="B11766" t="inlineStr">
        <is>
          <t>3:05</t>
        </is>
      </c>
      <c r="C11766" t="inlineStr">
        <is>
          <t>They prune bits of the fungus 
to stimulate growth</t>
        </is>
      </c>
      <c r="D11766">
        <f>HYPERLINK("https://www.youtube.com/watch?v=BQE--8L8Fn0&amp;t=185s", "Go to time")</f>
        <v/>
      </c>
    </row>
    <row r="11767">
      <c r="A11767">
        <f>HYPERLINK("https://www.youtube.com/watch?v=ptM7FzyjtRk", "Video")</f>
        <v/>
      </c>
      <c r="B11767" t="inlineStr">
        <is>
          <t>2:15</t>
        </is>
      </c>
      <c r="C11767" t="inlineStr">
        <is>
          <t>is a bit odd.</t>
        </is>
      </c>
      <c r="D11767">
        <f>HYPERLINK("https://www.youtube.com/watch?v=ptM7FzyjtRk&amp;t=135s", "Go to time")</f>
        <v/>
      </c>
    </row>
    <row r="11768">
      <c r="A11768">
        <f>HYPERLINK("https://www.youtube.com/watch?v=ptM7FzyjtRk", "Video")</f>
        <v/>
      </c>
      <c r="B11768" t="inlineStr">
        <is>
          <t>3:01</t>
        </is>
      </c>
      <c r="C11768" t="inlineStr">
        <is>
          <t>is a bit silly.</t>
        </is>
      </c>
      <c r="D11768">
        <f>HYPERLINK("https://www.youtube.com/watch?v=ptM7FzyjtRk&amp;t=181s", "Go to time")</f>
        <v/>
      </c>
    </row>
    <row r="11769">
      <c r="A11769">
        <f>HYPERLINK("https://www.youtube.com/watch?v=XiBXhCr_Jpw", "Video")</f>
        <v/>
      </c>
      <c r="B11769" t="inlineStr">
        <is>
          <t>5:07</t>
        </is>
      </c>
      <c r="C11769" t="inlineStr">
        <is>
          <t>humans need to stop encroaching
on bat habitats and ecosystems.</t>
        </is>
      </c>
      <c r="D11769">
        <f>HYPERLINK("https://www.youtube.com/watch?v=XiBXhCr_Jpw&amp;t=307s", "Go to time")</f>
        <v/>
      </c>
    </row>
    <row r="11770">
      <c r="A11770">
        <f>HYPERLINK("https://www.youtube.com/watch?v=DcMLkce_BLg", "Video")</f>
        <v/>
      </c>
      <c r="B11770" t="inlineStr">
        <is>
          <t>4:41</t>
        </is>
      </c>
      <c r="C11770" t="inlineStr">
        <is>
          <t>a single character 
inhabits multiple identities.</t>
        </is>
      </c>
      <c r="D11770">
        <f>HYPERLINK("https://www.youtube.com/watch?v=DcMLkce_BLg&amp;t=281s", "Go to time")</f>
        <v/>
      </c>
    </row>
    <row r="11771">
      <c r="A11771">
        <f>HYPERLINK("https://www.youtube.com/watch?v=fctH_1NuqCQ", "Video")</f>
        <v/>
      </c>
      <c r="B11771" t="inlineStr">
        <is>
          <t>3:49</t>
        </is>
      </c>
      <c r="C11771" t="inlineStr">
        <is>
          <t>a protective mechanism that makes your
body less habitable for infectious agents.</t>
        </is>
      </c>
      <c r="D11771">
        <f>HYPERLINK("https://www.youtube.com/watch?v=fctH_1NuqCQ&amp;t=229s", "Go to time")</f>
        <v/>
      </c>
    </row>
    <row r="11772">
      <c r="A11772">
        <f>HYPERLINK("https://www.youtube.com/watch?v=_6xlNyWPpB8", "Video")</f>
        <v/>
      </c>
      <c r="B11772" t="inlineStr">
        <is>
          <t>2:35</t>
        </is>
      </c>
      <c r="C11772" t="inlineStr">
        <is>
          <t>They, and others, mistake the brightly
colored plastic bits for food.</t>
        </is>
      </c>
      <c r="D11772">
        <f>HYPERLINK("https://www.youtube.com/watch?v=_6xlNyWPpB8&amp;t=155s", "Go to time")</f>
        <v/>
      </c>
    </row>
    <row r="11773">
      <c r="A11773">
        <f>HYPERLINK("https://www.youtube.com/watch?v=_6xlNyWPpB8", "Video")</f>
        <v/>
      </c>
      <c r="B11773" t="inlineStr">
        <is>
          <t>3:44</t>
        </is>
      </c>
      <c r="C11773" t="inlineStr">
        <is>
          <t>For this bit of plastic
with such humble origins,</t>
        </is>
      </c>
      <c r="D11773">
        <f>HYPERLINK("https://www.youtube.com/watch?v=_6xlNyWPpB8&amp;t=224s", "Go to time")</f>
        <v/>
      </c>
    </row>
    <row r="11774">
      <c r="A11774">
        <f>HYPERLINK("https://www.youtube.com/watch?v=yc2-363MIQs", "Video")</f>
        <v/>
      </c>
      <c r="B11774" t="inlineStr">
        <is>
          <t>0:20</t>
        </is>
      </c>
      <c r="C11774" t="inlineStr">
        <is>
          <t>we first need to know a bit
about the nature of matter.</t>
        </is>
      </c>
      <c r="D11774">
        <f>HYPERLINK("https://www.youtube.com/watch?v=yc2-363MIQs&amp;t=20s", "Go to time")</f>
        <v/>
      </c>
    </row>
    <row r="11775">
      <c r="A11775">
        <f>HYPERLINK("https://www.youtube.com/watch?v=H2_by0rp5q0", "Video")</f>
        <v/>
      </c>
      <c r="B11775" t="inlineStr">
        <is>
          <t>3:28</t>
        </is>
      </c>
      <c r="C11775" t="inlineStr">
        <is>
          <t>don't exhibit the endowment effect.</t>
        </is>
      </c>
      <c r="D11775">
        <f>HYPERLINK("https://www.youtube.com/watch?v=H2_by0rp5q0&amp;t=208s", "Go to time")</f>
        <v/>
      </c>
    </row>
    <row r="11776">
      <c r="A11776">
        <f>HYPERLINK("https://www.youtube.com/watch?v=G6qREv4eTRM", "Video")</f>
        <v/>
      </c>
      <c r="B11776" t="inlineStr">
        <is>
          <t>0:30</t>
        </is>
      </c>
      <c r="C11776" t="inlineStr">
        <is>
          <t>orbiting a newborn star.</t>
        </is>
      </c>
      <c r="D11776">
        <f>HYPERLINK("https://www.youtube.com/watch?v=G6qREv4eTRM&amp;t=30s", "Go to time")</f>
        <v/>
      </c>
    </row>
    <row r="11777">
      <c r="A11777">
        <f>HYPERLINK("https://www.youtube.com/watch?v=G6qREv4eTRM", "Video")</f>
        <v/>
      </c>
      <c r="B11777" t="inlineStr">
        <is>
          <t>1:21</t>
        </is>
      </c>
      <c r="C11777" t="inlineStr">
        <is>
          <t>leaving behind an orbiting ring of gas 
and dust called a protoplanetary disk.</t>
        </is>
      </c>
      <c r="D11777">
        <f>HYPERLINK("https://www.youtube.com/watch?v=G6qREv4eTRM&amp;t=81s", "Go to time")</f>
        <v/>
      </c>
    </row>
    <row r="11778">
      <c r="A11778">
        <f>HYPERLINK("https://www.youtube.com/watch?v=G6qREv4eTRM", "Video")</f>
        <v/>
      </c>
      <c r="B11778" t="inlineStr">
        <is>
          <t>1:36</t>
        </is>
      </c>
      <c r="C11778" t="inlineStr">
        <is>
          <t>The dust consists of tiny metal fragments,
bits of rock, and, further out, ices.</t>
        </is>
      </c>
      <c r="D11778">
        <f>HYPERLINK("https://www.youtube.com/watch?v=G6qREv4eTRM&amp;t=96s", "Go to time")</f>
        <v/>
      </c>
    </row>
    <row r="11779">
      <c r="A11779">
        <f>HYPERLINK("https://www.youtube.com/watch?v=G6qREv4eTRM", "Video")</f>
        <v/>
      </c>
      <c r="B11779" t="inlineStr">
        <is>
          <t>5:05</t>
        </is>
      </c>
      <c r="C11779" t="inlineStr">
        <is>
          <t>Change the dust cloud just a bit,</t>
        </is>
      </c>
      <c r="D11779">
        <f>HYPERLINK("https://www.youtube.com/watch?v=G6qREv4eTRM&amp;t=305s", "Go to time")</f>
        <v/>
      </c>
    </row>
    <row r="11780">
      <c r="A11780">
        <f>HYPERLINK("https://www.youtube.com/watch?v=er3v4PVNQqE", "Video")</f>
        <v/>
      </c>
      <c r="B11780" t="inlineStr">
        <is>
          <t>0:13</t>
        </is>
      </c>
      <c r="C11780" t="inlineStr">
        <is>
          <t>transmitting 1 petabit of data—</t>
        </is>
      </c>
      <c r="D11780">
        <f>HYPERLINK("https://www.youtube.com/watch?v=er3v4PVNQqE&amp;t=13s", "Go to time")</f>
        <v/>
      </c>
    </row>
    <row r="11781">
      <c r="A11781">
        <f>HYPERLINK("https://www.youtube.com/watch?v=er3v4PVNQqE", "Video")</f>
        <v/>
      </c>
      <c r="B11781" t="inlineStr">
        <is>
          <t>3:19</t>
        </is>
      </c>
      <c r="C11781" t="inlineStr">
        <is>
          <t>fueling overly-ambitious cloud and mobile
computing expectations.</t>
        </is>
      </c>
      <c r="D11781">
        <f>HYPERLINK("https://www.youtube.com/watch?v=er3v4PVNQqE&amp;t=199s", "Go to time")</f>
        <v/>
      </c>
    </row>
    <row r="11782">
      <c r="A11782">
        <f>HYPERLINK("https://www.youtube.com/watch?v=Al-30Z-aH8M", "Video")</f>
        <v/>
      </c>
      <c r="B11782" t="inlineStr">
        <is>
          <t>1:17</t>
        </is>
      </c>
      <c r="C11782" t="inlineStr">
        <is>
          <t>invented in 1818 by English engineer 
Sir William Cubitt, worked.</t>
        </is>
      </c>
      <c r="D11782">
        <f>HYPERLINK("https://www.youtube.com/watch?v=Al-30Z-aH8M&amp;t=77s", "Go to time")</f>
        <v/>
      </c>
    </row>
    <row r="11783">
      <c r="A11783">
        <f>HYPERLINK("https://www.youtube.com/watch?v=Al-30Z-aH8M", "Video")</f>
        <v/>
      </c>
      <c r="B11783" t="inlineStr">
        <is>
          <t>2:21</t>
        </is>
      </c>
      <c r="C11783" t="inlineStr">
        <is>
          <t>Cubitt's idea quickly spread
across the British Empire and America.</t>
        </is>
      </c>
      <c r="D11783">
        <f>HYPERLINK("https://www.youtube.com/watch?v=Al-30Z-aH8M&amp;t=141s", "Go to time")</f>
        <v/>
      </c>
    </row>
    <row r="11784">
      <c r="A11784">
        <f>HYPERLINK("https://www.youtube.com/watch?v=s_Cs1nbbv_M", "Video")</f>
        <v/>
      </c>
      <c r="B11784" t="inlineStr">
        <is>
          <t>4:04</t>
        </is>
      </c>
      <c r="C11784" t="inlineStr">
        <is>
          <t>and can deliver 1,000 milligrams
of venom in a single bite—</t>
        </is>
      </c>
      <c r="D11784">
        <f>HYPERLINK("https://www.youtube.com/watch?v=s_Cs1nbbv_M&amp;t=244s", "Go to time")</f>
        <v/>
      </c>
    </row>
    <row r="11785">
      <c r="A11785">
        <f>HYPERLINK("https://www.youtube.com/watch?v=X4BmV2t83SM", "Video")</f>
        <v/>
      </c>
      <c r="B11785" t="inlineStr">
        <is>
          <t>0:59</t>
        </is>
      </c>
      <c r="C11785" t="inlineStr">
        <is>
          <t>The reality, however, 
is a bit more complicated.</t>
        </is>
      </c>
      <c r="D11785">
        <f>HYPERLINK("https://www.youtube.com/watch?v=X4BmV2t83SM&amp;t=59s", "Go to time")</f>
        <v/>
      </c>
    </row>
    <row r="11786">
      <c r="A11786">
        <f>HYPERLINK("https://www.youtube.com/watch?v=y4BDnlUQ3CA", "Video")</f>
        <v/>
      </c>
      <c r="B11786" t="inlineStr">
        <is>
          <t>0:24</t>
        </is>
      </c>
      <c r="C11786" t="inlineStr">
        <is>
          <t>It was a first taste of the unintended 
consequences of Prohibition.</t>
        </is>
      </c>
      <c r="D11786">
        <f>HYPERLINK("https://www.youtube.com/watch?v=y4BDnlUQ3CA&amp;t=24s", "Go to time")</f>
        <v/>
      </c>
    </row>
    <row r="11787">
      <c r="A11787">
        <f>HYPERLINK("https://www.youtube.com/watch?v=y4BDnlUQ3CA", "Video")</f>
        <v/>
      </c>
      <c r="B11787" t="inlineStr">
        <is>
          <t>1:46</t>
        </is>
      </c>
      <c r="C11787" t="inlineStr">
        <is>
          <t>Governments weren’t strangers 
to the idea of prohibition, either.</t>
        </is>
      </c>
      <c r="D11787">
        <f>HYPERLINK("https://www.youtube.com/watch?v=y4BDnlUQ3CA&amp;t=106s", "Go to time")</f>
        <v/>
      </c>
    </row>
    <row r="11788">
      <c r="A11788">
        <f>HYPERLINK("https://www.youtube.com/watch?v=y4BDnlUQ3CA", "Video")</f>
        <v/>
      </c>
      <c r="B11788" t="inlineStr">
        <is>
          <t>3:46</t>
        </is>
      </c>
      <c r="C11788" t="inlineStr">
        <is>
          <t>We don’t know exactly how much people
were drinking during Prohibition</t>
        </is>
      </c>
      <c r="D11788">
        <f>HYPERLINK("https://www.youtube.com/watch?v=y4BDnlUQ3CA&amp;t=226s", "Go to time")</f>
        <v/>
      </c>
    </row>
    <row r="11789">
      <c r="A11789">
        <f>HYPERLINK("https://www.youtube.com/watch?v=y4BDnlUQ3CA", "Video")</f>
        <v/>
      </c>
      <c r="B11789" t="inlineStr">
        <is>
          <t>3:54</t>
        </is>
      </c>
      <c r="C11789" t="inlineStr">
        <is>
          <t>it was clear that Prohibition 
had not brought the social improvements</t>
        </is>
      </c>
      <c r="D11789">
        <f>HYPERLINK("https://www.youtube.com/watch?v=y4BDnlUQ3CA&amp;t=234s", "Go to time")</f>
        <v/>
      </c>
    </row>
    <row r="11790">
      <c r="A11790">
        <f>HYPERLINK("https://www.youtube.com/watch?v=y4BDnlUQ3CA", "Video")</f>
        <v/>
      </c>
      <c r="B11790" t="inlineStr">
        <is>
          <t>4:21</t>
        </is>
      </c>
      <c r="C11790" t="inlineStr">
        <is>
          <t>and believed that lifting Prohibition 
would stimulate the economy.</t>
        </is>
      </c>
      <c r="D11790">
        <f>HYPERLINK("https://www.youtube.com/watch?v=y4BDnlUQ3CA&amp;t=261s", "Go to time")</f>
        <v/>
      </c>
    </row>
    <row r="11791">
      <c r="A11791">
        <f>HYPERLINK("https://www.youtube.com/watch?v=YIYcrqBrq2U", "Video")</f>
        <v/>
      </c>
      <c r="B11791" t="inlineStr">
        <is>
          <t>2:20</t>
        </is>
      </c>
      <c r="C11791" t="inlineStr">
        <is>
          <t>Well, when they do bite people,</t>
        </is>
      </c>
      <c r="D11791">
        <f>HYPERLINK("https://www.youtube.com/watch?v=YIYcrqBrq2U&amp;t=140s", "Go to time")</f>
        <v/>
      </c>
    </row>
    <row r="11792">
      <c r="A11792">
        <f>HYPERLINK("https://www.youtube.com/watch?v=e9TLbZuvsko", "Video")</f>
        <v/>
      </c>
      <c r="B11792" t="inlineStr">
        <is>
          <t>1:35</t>
        </is>
      </c>
      <c r="C11792" t="inlineStr">
        <is>
          <t>the massive gravitational force 
still affects their orbits.</t>
        </is>
      </c>
      <c r="D11792">
        <f>HYPERLINK("https://www.youtube.com/watch?v=e9TLbZuvsko&amp;t=95s", "Go to time")</f>
        <v/>
      </c>
    </row>
    <row r="11793">
      <c r="A11793">
        <f>HYPERLINK("https://www.youtube.com/watch?v=e9TLbZuvsko", "Video")</f>
        <v/>
      </c>
      <c r="B11793" t="inlineStr">
        <is>
          <t>1:40</t>
        </is>
      </c>
      <c r="C11793" t="inlineStr">
        <is>
          <t>If we observe several stars orbiting
around an apparently empty point,</t>
        </is>
      </c>
      <c r="D11793">
        <f>HYPERLINK("https://www.youtube.com/watch?v=e9TLbZuvsko&amp;t=100s", "Go to time")</f>
        <v/>
      </c>
    </row>
    <row r="11794">
      <c r="A11794">
        <f>HYPERLINK("https://www.youtube.com/watch?v=e9TLbZuvsko", "Video")</f>
        <v/>
      </c>
      <c r="B11794" t="inlineStr">
        <is>
          <t>2:57</t>
        </is>
      </c>
      <c r="C11794" t="inlineStr">
        <is>
          <t>the orbit of the Earth 
would be considerably modified,</t>
        </is>
      </c>
      <c r="D11794">
        <f>HYPERLINK("https://www.youtube.com/watch?v=e9TLbZuvsko&amp;t=177s", "Go to time")</f>
        <v/>
      </c>
    </row>
    <row r="11795">
      <c r="A11795">
        <f>HYPERLINK("https://www.youtube.com/watch?v=e9TLbZuvsko", "Video")</f>
        <v/>
      </c>
      <c r="B11795" t="inlineStr">
        <is>
          <t>3:45</t>
        </is>
      </c>
      <c r="C11795" t="inlineStr">
        <is>
          <t>Our solar system is in a stable orbit 
around a supermassive black hole</t>
        </is>
      </c>
      <c r="D11795">
        <f>HYPERLINK("https://www.youtube.com/watch?v=e9TLbZuvsko&amp;t=225s", "Go to time")</f>
        <v/>
      </c>
    </row>
    <row r="11796">
      <c r="A11796">
        <f>HYPERLINK("https://www.youtube.com/watch?v=yGfTDcHJHSI", "Video")</f>
        <v/>
      </c>
      <c r="B11796" t="inlineStr">
        <is>
          <t>0:27</t>
        </is>
      </c>
      <c r="C11796" t="inlineStr">
        <is>
          <t>is governed by mathematical laws with 
apparently arbitrary constants.</t>
        </is>
      </c>
      <c r="D11796">
        <f>HYPERLINK("https://www.youtube.com/watch?v=yGfTDcHJHSI&amp;t=27s", "Go to time")</f>
        <v/>
      </c>
    </row>
    <row r="11797">
      <c r="A11797">
        <f>HYPERLINK("https://www.youtube.com/watch?v=sb2FI2EI4D8", "Video")</f>
        <v/>
      </c>
      <c r="B11797" t="inlineStr">
        <is>
          <t>9:14</t>
        </is>
      </c>
      <c r="C11797" t="inlineStr">
        <is>
          <t>little bit late et cetera et cetera</t>
        </is>
      </c>
      <c r="D11797">
        <f>HYPERLINK("https://www.youtube.com/watch?v=sb2FI2EI4D8&amp;t=554s", "Go to time")</f>
        <v/>
      </c>
    </row>
    <row r="11798">
      <c r="A11798">
        <f>HYPERLINK("https://www.youtube.com/watch?v=oWww0YIf-JE", "Video")</f>
        <v/>
      </c>
      <c r="B11798" t="inlineStr">
        <is>
          <t>2:30</t>
        </is>
      </c>
      <c r="C11798" t="inlineStr">
        <is>
          <t>but at the huge cost of bitterly dividing the nation,</t>
        </is>
      </c>
      <c r="D11798">
        <f>HYPERLINK("https://www.youtube.com/watch?v=oWww0YIf-JE&amp;t=150s", "Go to time")</f>
        <v/>
      </c>
    </row>
    <row r="11799">
      <c r="A11799">
        <f>HYPERLINK("https://www.youtube.com/watch?v=A35hen_d6eA", "Video")</f>
        <v/>
      </c>
      <c r="B11799" t="inlineStr">
        <is>
          <t>9:09</t>
        </is>
      </c>
      <c r="C11799" t="inlineStr">
        <is>
          <t>too we reckon that we are a bit over</t>
        </is>
      </c>
      <c r="D11799">
        <f>HYPERLINK("https://www.youtube.com/watch?v=A35hen_d6eA&amp;t=549s", "Go to time")</f>
        <v/>
      </c>
    </row>
    <row r="11800">
      <c r="A11800">
        <f>HYPERLINK("https://www.youtube.com/watch?v=EnnPJXbKt0U", "Video")</f>
        <v/>
      </c>
      <c r="B11800" t="inlineStr">
        <is>
          <t>0:09</t>
        </is>
      </c>
      <c r="C11800" t="inlineStr">
        <is>
          <t>as their orbits have brought them within
visible distance of Earth.</t>
        </is>
      </c>
      <c r="D11800">
        <f>HYPERLINK("https://www.youtube.com/watch?v=EnnPJXbKt0U&amp;t=9s", "Go to time")</f>
        <v/>
      </c>
    </row>
    <row r="11801">
      <c r="A11801">
        <f>HYPERLINK("https://www.youtube.com/watch?v=EnnPJXbKt0U", "Video")</f>
        <v/>
      </c>
      <c r="B11801" t="inlineStr">
        <is>
          <t>0:37</t>
        </is>
      </c>
      <c r="C11801" t="inlineStr">
        <is>
          <t>sorry eight, planets orbiting the Sun.</t>
        </is>
      </c>
      <c r="D11801">
        <f>HYPERLINK("https://www.youtube.com/watch?v=EnnPJXbKt0U&amp;t=37s", "Go to time")</f>
        <v/>
      </c>
    </row>
    <row r="11802">
      <c r="A11802">
        <f>HYPERLINK("https://www.youtube.com/watch?v=EnnPJXbKt0U", "Video")</f>
        <v/>
      </c>
      <c r="B11802" t="inlineStr">
        <is>
          <t>1:52</t>
        </is>
      </c>
      <c r="C11802" t="inlineStr">
        <is>
          <t>A comet is born, now orbiting the sun
along with the rest of the objects</t>
        </is>
      </c>
      <c r="D11802">
        <f>HYPERLINK("https://www.youtube.com/watch?v=EnnPJXbKt0U&amp;t=112s", "Go to time")</f>
        <v/>
      </c>
    </row>
    <row r="11803">
      <c r="A11803">
        <f>HYPERLINK("https://www.youtube.com/watch?v=EnnPJXbKt0U", "Video")</f>
        <v/>
      </c>
      <c r="B11803" t="inlineStr">
        <is>
          <t>2:41</t>
        </is>
      </c>
      <c r="C11803" t="inlineStr">
        <is>
          <t>We know that planets orbit nearly every
star in the night sky,</t>
        </is>
      </c>
      <c r="D11803">
        <f>HYPERLINK("https://www.youtube.com/watch?v=EnnPJXbKt0U&amp;t=161s", "Go to time")</f>
        <v/>
      </c>
    </row>
    <row r="11804">
      <c r="A11804">
        <f>HYPERLINK("https://www.youtube.com/watch?v=3NE_OoO-N54", "Video")</f>
        <v/>
      </c>
      <c r="B11804" t="inlineStr">
        <is>
          <t>3:39</t>
        </is>
      </c>
      <c r="C11804" t="inlineStr">
        <is>
          <t>In this way, a tune 
is sort of like a habit.</t>
        </is>
      </c>
      <c r="D11804">
        <f>HYPERLINK("https://www.youtube.com/watch?v=3NE_OoO-N54&amp;t=219s", "Go to time")</f>
        <v/>
      </c>
    </row>
    <row r="11805">
      <c r="A11805">
        <f>HYPERLINK("https://www.youtube.com/watch?v=mT3P0YSNonE", "Video")</f>
        <v/>
      </c>
      <c r="B11805" t="inlineStr">
        <is>
          <t>2:48</t>
        </is>
      </c>
      <c r="C11805" t="inlineStr">
        <is>
          <t>or, let’s be really ambitious here— 
fewer resources.</t>
        </is>
      </c>
      <c r="D11805">
        <f>HYPERLINK("https://www.youtube.com/watch?v=mT3P0YSNonE&amp;t=168s", "Go to time")</f>
        <v/>
      </c>
    </row>
    <row r="11806">
      <c r="A11806">
        <f>HYPERLINK("https://www.youtube.com/watch?v=jv4bWkoG4k8", "Video")</f>
        <v/>
      </c>
      <c r="B11806" t="inlineStr">
        <is>
          <t>3:01</t>
        </is>
      </c>
      <c r="C11806" t="inlineStr">
        <is>
          <t>Diderot's entries sometimes 
exhibit slight bias.</t>
        </is>
      </c>
      <c r="D11806">
        <f>HYPERLINK("https://www.youtube.com/watch?v=jv4bWkoG4k8&amp;t=181s", "Go to time")</f>
        <v/>
      </c>
    </row>
    <row r="11807">
      <c r="A11807">
        <f>HYPERLINK("https://www.youtube.com/watch?v=ctaPAm14L10", "Video")</f>
        <v/>
      </c>
      <c r="B11807" t="inlineStr">
        <is>
          <t>2:48</t>
        </is>
      </c>
      <c r="C11807" t="inlineStr">
        <is>
          <t>More Hobbit than Harry.</t>
        </is>
      </c>
      <c r="D11807">
        <f>HYPERLINK("https://www.youtube.com/watch?v=ctaPAm14L10&amp;t=168s", "Go to time")</f>
        <v/>
      </c>
    </row>
    <row r="11808">
      <c r="A11808">
        <f>HYPERLINK("https://www.youtube.com/watch?v=6iAfUomyCjo", "Video")</f>
        <v/>
      </c>
      <c r="B11808" t="inlineStr">
        <is>
          <t>3:56</t>
        </is>
      </c>
      <c r="C11808" t="inlineStr">
        <is>
          <t>but the region they inhabit makes 
the prospect particularly deadly.</t>
        </is>
      </c>
      <c r="D11808">
        <f>HYPERLINK("https://www.youtube.com/watch?v=6iAfUomyCjo&amp;t=236s", "Go to time")</f>
        <v/>
      </c>
    </row>
    <row r="11809">
      <c r="A11809">
        <f>HYPERLINK("https://www.youtube.com/watch?v=6iAfUomyCjo", "Video")</f>
        <v/>
      </c>
      <c r="B11809" t="inlineStr">
        <is>
          <t>4:00</t>
        </is>
      </c>
      <c r="C11809" t="inlineStr">
        <is>
          <t>Their habitat spans 
some of the world’s poorest countries,</t>
        </is>
      </c>
      <c r="D11809">
        <f>HYPERLINK("https://www.youtube.com/watch?v=6iAfUomyCjo&amp;t=240s", "Go to time")</f>
        <v/>
      </c>
    </row>
    <row r="11810">
      <c r="A11810">
        <f>HYPERLINK("https://www.youtube.com/watch?v=p6uXJWxpKBM", "Video")</f>
        <v/>
      </c>
      <c r="B11810" t="inlineStr">
        <is>
          <t>3:44</t>
        </is>
      </c>
      <c r="C11810" t="inlineStr">
        <is>
          <t>things that are a little bit more</t>
        </is>
      </c>
      <c r="D11810">
        <f>HYPERLINK("https://www.youtube.com/watch?v=p6uXJWxpKBM&amp;t=224s", "Go to time")</f>
        <v/>
      </c>
    </row>
    <row r="11811">
      <c r="A11811">
        <f>HYPERLINK("https://www.youtube.com/watch?v=p6uXJWxpKBM", "Video")</f>
        <v/>
      </c>
      <c r="B11811" t="inlineStr">
        <is>
          <t>4:00</t>
        </is>
      </c>
      <c r="C11811" t="inlineStr">
        <is>
          <t>This is a little bit later. This is the</t>
        </is>
      </c>
      <c r="D11811">
        <f>HYPERLINK("https://www.youtube.com/watch?v=p6uXJWxpKBM&amp;t=240s", "Go to time")</f>
        <v/>
      </c>
    </row>
    <row r="11812">
      <c r="A11812">
        <f>HYPERLINK("https://www.youtube.com/watch?v=ee7muQ_qKU0", "Video")</f>
        <v/>
      </c>
      <c r="B11812" t="inlineStr">
        <is>
          <t>3:34</t>
        </is>
      </c>
      <c r="C11812" t="inlineStr">
        <is>
          <t>to be digested alive bit by bit.</t>
        </is>
      </c>
      <c r="D11812">
        <f>HYPERLINK("https://www.youtube.com/watch?v=ee7muQ_qKU0&amp;t=214s", "Go to time")</f>
        <v/>
      </c>
    </row>
    <row r="11813">
      <c r="A11813">
        <f>HYPERLINK("https://www.youtube.com/watch?v=N35IugBYH04", "Video")</f>
        <v/>
      </c>
      <c r="B11813" t="inlineStr">
        <is>
          <t>3:16</t>
        </is>
      </c>
      <c r="C11813" t="inlineStr">
        <is>
          <t>Ambitious politicians, like Richard Nixon</t>
        </is>
      </c>
      <c r="D11813">
        <f>HYPERLINK("https://www.youtube.com/watch?v=N35IugBYH04&amp;t=196s", "Go to time")</f>
        <v/>
      </c>
    </row>
    <row r="11814">
      <c r="A11814">
        <f>HYPERLINK("https://www.youtube.com/watch?v=0O_boW9YA7I", "Video")</f>
        <v/>
      </c>
      <c r="B11814" t="inlineStr">
        <is>
          <t>1:10</t>
        </is>
      </c>
      <c r="C11814" t="inlineStr">
        <is>
          <t>and as the project grew, 
so did their ambition.</t>
        </is>
      </c>
      <c r="D11814">
        <f>HYPERLINK("https://www.youtube.com/watch?v=0O_boW9YA7I&amp;t=70s", "Go to time")</f>
        <v/>
      </c>
    </row>
    <row r="11815">
      <c r="A11815">
        <f>HYPERLINK("https://www.youtube.com/watch?v=0O_boW9YA7I", "Video")</f>
        <v/>
      </c>
      <c r="B11815" t="inlineStr">
        <is>
          <t>4:20</t>
        </is>
      </c>
      <c r="C11815" t="inlineStr">
        <is>
          <t>They printed Bourbaki’s obituary,
complete with mathematical puns.</t>
        </is>
      </c>
      <c r="D11815">
        <f>HYPERLINK("https://www.youtube.com/watch?v=0O_boW9YA7I&amp;t=260s", "Go to time")</f>
        <v/>
      </c>
    </row>
    <row r="11816">
      <c r="A11816">
        <f>HYPERLINK("https://www.youtube.com/watch?v=orOa-yRL4NI", "Video")</f>
        <v/>
      </c>
      <c r="B11816" t="inlineStr">
        <is>
          <t>2:49</t>
        </is>
      </c>
      <c r="C11816" t="inlineStr">
        <is>
          <t>When the gender imbalance is this large,
social dynamics can become a bit skewed.</t>
        </is>
      </c>
      <c r="D11816">
        <f>HYPERLINK("https://www.youtube.com/watch?v=orOa-yRL4NI&amp;t=169s", "Go to time")</f>
        <v/>
      </c>
    </row>
    <row r="11817">
      <c r="A11817">
        <f>HYPERLINK("https://www.youtube.com/watch?v=RBsY88Lir-A", "Video")</f>
        <v/>
      </c>
      <c r="B11817" t="inlineStr">
        <is>
          <t>1:09</t>
        </is>
      </c>
      <c r="C11817" t="inlineStr">
        <is>
          <t>The inhabitants of Britain fought 
fiercely against the invaders</t>
        </is>
      </c>
      <c r="D11817">
        <f>HYPERLINK("https://www.youtube.com/watch?v=RBsY88Lir-A&amp;t=69s", "Go to time")</f>
        <v/>
      </c>
    </row>
    <row r="11818">
      <c r="A11818">
        <f>HYPERLINK("https://www.youtube.com/watch?v=RBsY88Lir-A", "Video")</f>
        <v/>
      </c>
      <c r="B11818" t="inlineStr">
        <is>
          <t>2:01</t>
        </is>
      </c>
      <c r="C11818" t="inlineStr">
        <is>
          <t>In 1130, Geoffrey of Monmouth 
was a lowly cleric with grand ambitions.</t>
        </is>
      </c>
      <c r="D11818">
        <f>HYPERLINK("https://www.youtube.com/watch?v=RBsY88Lir-A&amp;t=121s", "Go to time")</f>
        <v/>
      </c>
    </row>
    <row r="11819">
      <c r="A11819">
        <f>HYPERLINK("https://www.youtube.com/watch?v=lmYQMJi30aw", "Video")</f>
        <v/>
      </c>
      <c r="B11819" t="inlineStr">
        <is>
          <t>2:31</t>
        </is>
      </c>
      <c r="C11819" t="inlineStr">
        <is>
          <t>and composed biting satires 
about cowardly or selfish leaders.</t>
        </is>
      </c>
      <c r="D11819">
        <f>HYPERLINK("https://www.youtube.com/watch?v=lmYQMJi30aw&amp;t=151s", "Go to time")</f>
        <v/>
      </c>
    </row>
    <row r="11820">
      <c r="A11820">
        <f>HYPERLINK("https://www.youtube.com/watch?v=sDo7saKaEys", "Video")</f>
        <v/>
      </c>
      <c r="B11820" t="inlineStr">
        <is>
          <t>6:18</t>
        </is>
      </c>
      <c r="C11820" t="inlineStr">
        <is>
          <t>Ambitious but realistic goals
when your head's in the clouds.</t>
        </is>
      </c>
      <c r="D11820">
        <f>HYPERLINK("https://www.youtube.com/watch?v=sDo7saKaEys&amp;t=378s", "Go to time")</f>
        <v/>
      </c>
    </row>
    <row r="11821">
      <c r="A11821">
        <f>HYPERLINK("https://www.youtube.com/watch?v=zodVSlOuShc", "Video")</f>
        <v/>
      </c>
      <c r="B11821" t="inlineStr">
        <is>
          <t>9:23</t>
        </is>
      </c>
      <c r="C11821" t="inlineStr">
        <is>
          <t>young ambitious kids on a call center</t>
        </is>
      </c>
      <c r="D11821">
        <f>HYPERLINK("https://www.youtube.com/watch?v=zodVSlOuShc&amp;t=563s", "Go to time")</f>
        <v/>
      </c>
    </row>
    <row r="11822">
      <c r="A11822">
        <f>HYPERLINK("https://www.youtube.com/watch?v=XJasV-itdoc", "Video")</f>
        <v/>
      </c>
      <c r="B11822" t="inlineStr">
        <is>
          <t>3:46</t>
        </is>
      </c>
      <c r="C11822" t="inlineStr">
        <is>
          <t>the uninhabited wilderness that’s become 
the standard for their preservation.</t>
        </is>
      </c>
      <c r="D11822">
        <f>HYPERLINK("https://www.youtube.com/watch?v=XJasV-itdoc&amp;t=226s", "Go to time")</f>
        <v/>
      </c>
    </row>
    <row r="11823">
      <c r="A11823">
        <f>HYPERLINK("https://www.youtube.com/watch?v=Hja0SLs2kus", "Video")</f>
        <v/>
      </c>
      <c r="B11823" t="inlineStr">
        <is>
          <t>2:10</t>
        </is>
      </c>
      <c r="C11823" t="inlineStr">
        <is>
          <t>For other plant species, the pain comes
after an herbivore's first bite.</t>
        </is>
      </c>
      <c r="D11823">
        <f>HYPERLINK("https://www.youtube.com/watch?v=Hja0SLs2kus&amp;t=130s", "Go to time")</f>
        <v/>
      </c>
    </row>
    <row r="11824">
      <c r="A11824">
        <f>HYPERLINK("https://www.youtube.com/watch?v=Hja0SLs2kus", "Video")</f>
        <v/>
      </c>
      <c r="B11824" t="inlineStr">
        <is>
          <t>2:40</t>
        </is>
      </c>
      <c r="C11824" t="inlineStr">
        <is>
          <t>from taking a bite at all.</t>
        </is>
      </c>
      <c r="D11824">
        <f>HYPERLINK("https://www.youtube.com/watch?v=Hja0SLs2kus&amp;t=160s", "Go to time")</f>
        <v/>
      </c>
    </row>
    <row r="11825">
      <c r="A11825">
        <f>HYPERLINK("https://www.youtube.com/watch?v=RR08NcoBlms", "Video")</f>
        <v/>
      </c>
      <c r="B11825" t="inlineStr">
        <is>
          <t>1:43</t>
        </is>
      </c>
      <c r="C11825" t="inlineStr">
        <is>
          <t>back up a little bit and show you how a</t>
        </is>
      </c>
      <c r="D11825">
        <f>HYPERLINK("https://www.youtube.com/watch?v=RR08NcoBlms&amp;t=103s", "Go to time")</f>
        <v/>
      </c>
    </row>
    <row r="11826">
      <c r="A11826">
        <f>HYPERLINK("https://www.youtube.com/watch?v=RR08NcoBlms", "Video")</f>
        <v/>
      </c>
      <c r="B11826" t="inlineStr">
        <is>
          <t>6:07</t>
        </is>
      </c>
      <c r="C11826" t="inlineStr">
        <is>
          <t>bit smaller and thinner so I could show</t>
        </is>
      </c>
      <c r="D11826">
        <f>HYPERLINK("https://www.youtube.com/watch?v=RR08NcoBlms&amp;t=367s", "Go to time")</f>
        <v/>
      </c>
    </row>
    <row r="11827">
      <c r="A11827">
        <f>HYPERLINK("https://www.youtube.com/watch?v=GJHhnr9R_ZM", "Video")</f>
        <v/>
      </c>
      <c r="B11827" t="inlineStr">
        <is>
          <t>0:37</t>
        </is>
      </c>
      <c r="C11827" t="inlineStr">
        <is>
          <t>can exhibit macroscopic properties
and phases that are topological.</t>
        </is>
      </c>
      <c r="D11827">
        <f>HYPERLINK("https://www.youtube.com/watch?v=GJHhnr9R_ZM&amp;t=37s", "Go to time")</f>
        <v/>
      </c>
    </row>
    <row r="11828">
      <c r="A11828">
        <f>HYPERLINK("https://www.youtube.com/watch?v=GJHhnr9R_ZM", "Video")</f>
        <v/>
      </c>
      <c r="B11828" t="inlineStr">
        <is>
          <t>2:28</t>
        </is>
      </c>
      <c r="C11828" t="inlineStr">
        <is>
          <t>which is called
a closed orbit.</t>
        </is>
      </c>
      <c r="D11828">
        <f>HYPERLINK("https://www.youtube.com/watch?v=GJHhnr9R_ZM&amp;t=148s", "Go to time")</f>
        <v/>
      </c>
    </row>
    <row r="11829">
      <c r="A11829">
        <f>HYPERLINK("https://www.youtube.com/watch?v=GJHhnr9R_ZM", "Video")</f>
        <v/>
      </c>
      <c r="B11829" t="inlineStr">
        <is>
          <t>2:38</t>
        </is>
      </c>
      <c r="C11829" t="inlineStr">
        <is>
          <t>the orbits become open, connected,
and they all point in the same direction.</t>
        </is>
      </c>
      <c r="D11829">
        <f>HYPERLINK("https://www.youtube.com/watch?v=GJHhnr9R_ZM&amp;t=158s", "Go to time")</f>
        <v/>
      </c>
    </row>
    <row r="11830">
      <c r="A11830">
        <f>HYPERLINK("https://www.youtube.com/watch?v=GJHhnr9R_ZM", "Video")</f>
        <v/>
      </c>
      <c r="B11830" t="inlineStr">
        <is>
          <t>2:43</t>
        </is>
      </c>
      <c r="C11830" t="inlineStr">
        <is>
          <t>So electrons can jump
from one orbit to the next</t>
        </is>
      </c>
      <c r="D11830">
        <f>HYPERLINK("https://www.youtube.com/watch?v=GJHhnr9R_ZM&amp;t=163s", "Go to time")</f>
        <v/>
      </c>
    </row>
    <row r="11831">
      <c r="A11831">
        <f>HYPERLINK("https://www.youtube.com/watch?v=GJHhnr9R_ZM", "Video")</f>
        <v/>
      </c>
      <c r="B11831" t="inlineStr">
        <is>
          <t>3:46</t>
        </is>
      </c>
      <c r="C11831" t="inlineStr">
        <is>
          <t>to store information in something
called qubits.</t>
        </is>
      </c>
      <c r="D11831">
        <f>HYPERLINK("https://www.youtube.com/watch?v=GJHhnr9R_ZM&amp;t=226s", "Go to time")</f>
        <v/>
      </c>
    </row>
    <row r="11832">
      <c r="A11832">
        <f>HYPERLINK("https://www.youtube.com/watch?v=GJHhnr9R_ZM", "Video")</f>
        <v/>
      </c>
      <c r="B11832" t="inlineStr">
        <is>
          <t>3:50</t>
        </is>
      </c>
      <c r="C11832" t="inlineStr">
        <is>
          <t>These qubits can solve problems
exponentially faster</t>
        </is>
      </c>
      <c r="D11832">
        <f>HYPERLINK("https://www.youtube.com/watch?v=GJHhnr9R_ZM&amp;t=230s", "Go to time")</f>
        <v/>
      </c>
    </row>
    <row r="11833">
      <c r="A11833">
        <f>HYPERLINK("https://www.youtube.com/watch?v=GJHhnr9R_ZM", "Video")</f>
        <v/>
      </c>
      <c r="B11833" t="inlineStr">
        <is>
          <t>4:08</t>
        </is>
      </c>
      <c r="C11833" t="inlineStr">
        <is>
          <t>In other words, the qubits formed by them</t>
        </is>
      </c>
      <c r="D11833">
        <f>HYPERLINK("https://www.youtube.com/watch?v=GJHhnr9R_ZM&amp;t=248s", "Go to time")</f>
        <v/>
      </c>
    </row>
    <row r="11834">
      <c r="A11834">
        <f>HYPERLINK("https://www.youtube.com/watch?v=GJHhnr9R_ZM", "Video")</f>
        <v/>
      </c>
      <c r="B11834" t="inlineStr">
        <is>
          <t>4:14</t>
        </is>
      </c>
      <c r="C11834" t="inlineStr">
        <is>
          <t>These topological qubits 
would be more stable,</t>
        </is>
      </c>
      <c r="D11834">
        <f>HYPERLINK("https://www.youtube.com/watch?v=GJHhnr9R_ZM&amp;t=254s", "Go to time")</f>
        <v/>
      </c>
    </row>
    <row r="11835">
      <c r="A11835">
        <f>HYPERLINK("https://www.youtube.com/watch?v=SEczpdxl6e4", "Video")</f>
        <v/>
      </c>
      <c r="B11835" t="inlineStr">
        <is>
          <t>0:42</t>
        </is>
      </c>
      <c r="C11835" t="inlineStr">
        <is>
          <t>and prohibited Muslim religious services.</t>
        </is>
      </c>
      <c r="D11835">
        <f>HYPERLINK("https://www.youtube.com/watch?v=SEczpdxl6e4&amp;t=42s", "Go to time")</f>
        <v/>
      </c>
    </row>
    <row r="11836">
      <c r="A11836">
        <f>HYPERLINK("https://www.youtube.com/watch?v=TJgc28csgV0", "Video")</f>
        <v/>
      </c>
      <c r="B11836" t="inlineStr">
        <is>
          <t>0:38</t>
        </is>
      </c>
      <c r="C11836" t="inlineStr">
        <is>
          <t>there are electrons orbiting around it.</t>
        </is>
      </c>
      <c r="D11836">
        <f>HYPERLINK("https://www.youtube.com/watch?v=TJgc28csgV0&amp;t=38s", "Go to time")</f>
        <v/>
      </c>
    </row>
    <row r="11837">
      <c r="A11837">
        <f>HYPERLINK("https://www.youtube.com/watch?v=TJgc28csgV0", "Video")</f>
        <v/>
      </c>
      <c r="B11837" t="inlineStr">
        <is>
          <t>1:18</t>
        </is>
      </c>
      <c r="C11837" t="inlineStr">
        <is>
          <t>If you know a little bit about electrons, you may be thinking,</t>
        </is>
      </c>
      <c r="D11837">
        <f>HYPERLINK("https://www.youtube.com/watch?v=TJgc28csgV0&amp;t=78s", "Go to time")</f>
        <v/>
      </c>
    </row>
    <row r="11838">
      <c r="A11838">
        <f>HYPERLINK("https://www.youtube.com/watch?v=TJgc28csgV0", "Video")</f>
        <v/>
      </c>
      <c r="B11838" t="inlineStr">
        <is>
          <t>1:53</t>
        </is>
      </c>
      <c r="C11838" t="inlineStr">
        <is>
          <t>and it's a bit slower.</t>
        </is>
      </c>
      <c r="D11838">
        <f>HYPERLINK("https://www.youtube.com/watch?v=TJgc28csgV0&amp;t=113s", "Go to time")</f>
        <v/>
      </c>
    </row>
    <row r="11839">
      <c r="A11839">
        <f>HYPERLINK("https://www.youtube.com/watch?v=vIPyXQesFhk", "Video")</f>
        <v/>
      </c>
      <c r="B11839" t="inlineStr">
        <is>
          <t>3:49</t>
        </is>
      </c>
      <c r="C11839" t="inlineStr">
        <is>
          <t>their habit of basking on the surface</t>
        </is>
      </c>
      <c r="D11839">
        <f>HYPERLINK("https://www.youtube.com/watch?v=vIPyXQesFhk&amp;t=229s", "Go to time")</f>
        <v/>
      </c>
    </row>
    <row r="11840">
      <c r="A11840">
        <f>HYPERLINK("https://www.youtube.com/watch?v=vIPyXQesFhk", "Video")</f>
        <v/>
      </c>
      <c r="B11840" t="inlineStr">
        <is>
          <t>4:34</t>
        </is>
      </c>
      <c r="C11840" t="inlineStr">
        <is>
          <t>habit of coming to the surface and we</t>
        </is>
      </c>
      <c r="D11840">
        <f>HYPERLINK("https://www.youtube.com/watch?v=vIPyXQesFhk&amp;t=274s", "Go to time")</f>
        <v/>
      </c>
    </row>
    <row r="11841">
      <c r="A11841">
        <f>HYPERLINK("https://www.youtube.com/watch?v=vIPyXQesFhk", "Video")</f>
        <v/>
      </c>
      <c r="B11841" t="inlineStr">
        <is>
          <t>8:30</t>
        </is>
      </c>
      <c r="C11841" t="inlineStr">
        <is>
          <t>in Aberdeen kind of found this a bit</t>
        </is>
      </c>
      <c r="D11841">
        <f>HYPERLINK("https://www.youtube.com/watch?v=vIPyXQesFhk&amp;t=510s", "Go to time")</f>
        <v/>
      </c>
    </row>
    <row r="11842">
      <c r="A11842">
        <f>HYPERLINK("https://www.youtube.com/watch?v=vIPyXQesFhk", "Video")</f>
        <v/>
      </c>
      <c r="B11842" t="inlineStr">
        <is>
          <t>14:44</t>
        </is>
      </c>
      <c r="C11842" t="inlineStr">
        <is>
          <t>and they're kind of bit more a bit more</t>
        </is>
      </c>
      <c r="D11842">
        <f>HYPERLINK("https://www.youtube.com/watch?v=vIPyXQesFhk&amp;t=884s", "Go to time")</f>
        <v/>
      </c>
    </row>
    <row r="11843">
      <c r="A11843">
        <f>HYPERLINK("https://www.youtube.com/watch?v=vIPyXQesFhk", "Video")</f>
        <v/>
      </c>
      <c r="B11843" t="inlineStr">
        <is>
          <t>16:26</t>
        </is>
      </c>
      <c r="C11843" t="inlineStr">
        <is>
          <t>bit more dramatic and romantic before I</t>
        </is>
      </c>
      <c r="D11843">
        <f>HYPERLINK("https://www.youtube.com/watch?v=vIPyXQesFhk&amp;t=986s", "Go to time")</f>
        <v/>
      </c>
    </row>
    <row r="11844">
      <c r="A11844">
        <f>HYPERLINK("https://www.youtube.com/watch?v=T1aZxcyiYAw", "Video")</f>
        <v/>
      </c>
      <c r="B11844" t="inlineStr">
        <is>
          <t>0:58</t>
        </is>
      </c>
      <c r="C11844" t="inlineStr">
        <is>
          <t>living giant squids
in their natural habitat.</t>
        </is>
      </c>
      <c r="D11844">
        <f>HYPERLINK("https://www.youtube.com/watch?v=T1aZxcyiYAw&amp;t=58s", "Go to time")</f>
        <v/>
      </c>
    </row>
    <row r="11845">
      <c r="A11845">
        <f>HYPERLINK("https://www.youtube.com/watch?v=T1aZxcyiYAw", "Video")</f>
        <v/>
      </c>
      <c r="B11845" t="inlineStr">
        <is>
          <t>1:14</t>
        </is>
      </c>
      <c r="C11845" t="inlineStr">
        <is>
          <t>There are hundreds of squid species
inhabiting almost all parts of the ocean,</t>
        </is>
      </c>
      <c r="D11845">
        <f>HYPERLINK("https://www.youtube.com/watch?v=T1aZxcyiYAw&amp;t=74s", "Go to time")</f>
        <v/>
      </c>
    </row>
    <row r="11846">
      <c r="A11846">
        <f>HYPERLINK("https://www.youtube.com/watch?v=T1aZxcyiYAw", "Video")</f>
        <v/>
      </c>
      <c r="B11846" t="inlineStr">
        <is>
          <t>1:46</t>
        </is>
      </c>
      <c r="C11846" t="inlineStr">
        <is>
          <t>The Humboldt squid’s bite force,
for example,</t>
        </is>
      </c>
      <c r="D11846">
        <f>HYPERLINK("https://www.youtube.com/watch?v=T1aZxcyiYAw&amp;t=106s", "Go to time")</f>
        <v/>
      </c>
    </row>
    <row r="11847">
      <c r="A11847">
        <f>HYPERLINK("https://www.youtube.com/watch?v=T1aZxcyiYAw", "Video")</f>
        <v/>
      </c>
      <c r="B11847" t="inlineStr">
        <is>
          <t>3:00</t>
        </is>
      </c>
      <c r="C11847" t="inlineStr">
        <is>
          <t>that researchers actually saw
a giant squid in its natural habitat.</t>
        </is>
      </c>
      <c r="D11847">
        <f>HYPERLINK("https://www.youtube.com/watch?v=T1aZxcyiYAw&amp;t=180s", "Go to time")</f>
        <v/>
      </c>
    </row>
    <row r="11848">
      <c r="A11848">
        <f>HYPERLINK("https://www.youtube.com/watch?v=T1aZxcyiYAw", "Video")</f>
        <v/>
      </c>
      <c r="B11848" t="inlineStr">
        <is>
          <t>4:36</t>
        </is>
      </c>
      <c r="C11848" t="inlineStr">
        <is>
          <t>and they’ve yet to be seen
or documented in their habitat.</t>
        </is>
      </c>
      <c r="D11848">
        <f>HYPERLINK("https://www.youtube.com/watch?v=T1aZxcyiYAw&amp;t=276s", "Go to time")</f>
        <v/>
      </c>
    </row>
    <row r="11849">
      <c r="A11849">
        <f>HYPERLINK("https://www.youtube.com/watch?v=_Gt9Mc9jnOE", "Video")</f>
        <v/>
      </c>
      <c r="B11849" t="inlineStr">
        <is>
          <t>0:20</t>
        </is>
      </c>
      <c r="C11849" t="inlineStr">
        <is>
          <t>But while many deemed it uninhabitable,</t>
        </is>
      </c>
      <c r="D11849">
        <f>HYPERLINK("https://www.youtube.com/watch?v=_Gt9Mc9jnOE&amp;t=20s", "Go to time")</f>
        <v/>
      </c>
    </row>
    <row r="11850">
      <c r="A11850">
        <f>HYPERLINK("https://www.youtube.com/watch?v=_Gt9Mc9jnOE", "Video")</f>
        <v/>
      </c>
      <c r="B11850" t="inlineStr">
        <is>
          <t>1:47</t>
        </is>
      </c>
      <c r="C11850" t="inlineStr">
        <is>
          <t>Indigenous American people began regularly
inhabiting or visiting the area</t>
        </is>
      </c>
      <c r="D11850">
        <f>HYPERLINK("https://www.youtube.com/watch?v=_Gt9Mc9jnOE&amp;t=107s", "Go to time")</f>
        <v/>
      </c>
    </row>
    <row r="11851">
      <c r="A11851">
        <f>HYPERLINK("https://www.youtube.com/watch?v=_Gt9Mc9jnOE", "Video")</f>
        <v/>
      </c>
      <c r="B11851" t="inlineStr">
        <is>
          <t>4:12</t>
        </is>
      </c>
      <c r="C11851" t="inlineStr">
        <is>
          <t>However, there may have been hundreds
of habitable islands</t>
        </is>
      </c>
      <c r="D11851">
        <f>HYPERLINK("https://www.youtube.com/watch?v=_Gt9Mc9jnOE&amp;t=252s", "Go to time")</f>
        <v/>
      </c>
    </row>
    <row r="11852">
      <c r="A11852">
        <f>HYPERLINK("https://www.youtube.com/watch?v=6LGCk08zMbg", "Video")</f>
        <v/>
      </c>
      <c r="B11852" t="inlineStr">
        <is>
          <t>2:00</t>
        </is>
      </c>
      <c r="C11852" t="inlineStr">
        <is>
          <t>And it seems they were ambitious eaters.</t>
        </is>
      </c>
      <c r="D11852">
        <f>HYPERLINK("https://www.youtube.com/watch?v=6LGCk08zMbg&amp;t=120s", "Go to time")</f>
        <v/>
      </c>
    </row>
    <row r="11853">
      <c r="A11853">
        <f>HYPERLINK("https://www.youtube.com/watch?v=6LGCk08zMbg", "Video")</f>
        <v/>
      </c>
      <c r="B11853" t="inlineStr">
        <is>
          <t>2:56</t>
        </is>
      </c>
      <c r="C11853" t="inlineStr">
        <is>
          <t>a now-extinct 7-meter sperm whale
in as few as four bites.</t>
        </is>
      </c>
      <c r="D11853">
        <f>HYPERLINK("https://www.youtube.com/watch?v=6LGCk08zMbg&amp;t=176s", "Go to time")</f>
        <v/>
      </c>
    </row>
    <row r="11854">
      <c r="A11854">
        <f>HYPERLINK("https://www.youtube.com/watch?v=6LGCk08zMbg", "Video")</f>
        <v/>
      </c>
      <c r="B11854" t="inlineStr">
        <is>
          <t>3:05</t>
        </is>
      </c>
      <c r="C11854" t="inlineStr">
        <is>
          <t>of megalodon bite marks— 
including some that healed over,</t>
        </is>
      </c>
      <c r="D11854">
        <f>HYPERLINK("https://www.youtube.com/watch?v=6LGCk08zMbg&amp;t=185s", "Go to time")</f>
        <v/>
      </c>
    </row>
    <row r="11855">
      <c r="A11855">
        <f>HYPERLINK("https://www.youtube.com/watch?v=6LGCk08zMbg", "Video")</f>
        <v/>
      </c>
      <c r="B11855" t="inlineStr">
        <is>
          <t>3:31</t>
        </is>
      </c>
      <c r="C11855" t="inlineStr">
        <is>
          <t>This dried up many coastal habitats,</t>
        </is>
      </c>
      <c r="D11855">
        <f>HYPERLINK("https://www.youtube.com/watch?v=6LGCk08zMbg&amp;t=211s", "Go to time")</f>
        <v/>
      </c>
    </row>
    <row r="11856">
      <c r="A11856">
        <f>HYPERLINK("https://www.youtube.com/watch?v=6LGCk08zMbg", "Video")</f>
        <v/>
      </c>
      <c r="B11856" t="inlineStr">
        <is>
          <t>4:23</t>
        </is>
      </c>
      <c r="C11856" t="inlineStr">
        <is>
          <t>from the immense predatory pressure
of their bite.</t>
        </is>
      </c>
      <c r="D11856">
        <f>HYPERLINK("https://www.youtube.com/watch?v=6LGCk08zMbg&amp;t=263s", "Go to time")</f>
        <v/>
      </c>
    </row>
    <row r="11857">
      <c r="A11857">
        <f>HYPERLINK("https://www.youtube.com/watch?v=6LGCk08zMbg", "Video")</f>
        <v/>
      </c>
      <c r="B11857" t="inlineStr">
        <is>
          <t>4:57</t>
        </is>
      </c>
      <c r="C11857" t="inlineStr">
        <is>
          <t>and millions of years of bones well-bitten
and waters well-wandered.</t>
        </is>
      </c>
      <c r="D11857">
        <f>HYPERLINK("https://www.youtube.com/watch?v=6LGCk08zMbg&amp;t=297s", "Go to time")</f>
        <v/>
      </c>
    </row>
    <row r="11858">
      <c r="A11858">
        <f>HYPERLINK("https://www.youtube.com/watch?v=lfe1wEQzSzM", "Video")</f>
        <v/>
      </c>
      <c r="B11858" t="inlineStr">
        <is>
          <t>2:29</t>
        </is>
      </c>
      <c r="C11858" t="inlineStr">
        <is>
          <t>Put off by Islam's prohibition on alcohol</t>
        </is>
      </c>
      <c r="D11858">
        <f>HYPERLINK("https://www.youtube.com/watch?v=lfe1wEQzSzM&amp;t=149s", "Go to time")</f>
        <v/>
      </c>
    </row>
    <row r="11859">
      <c r="A11859">
        <f>HYPERLINK("https://www.youtube.com/watch?v=FVmPPVNlvxE", "Video")</f>
        <v/>
      </c>
      <c r="B11859" t="inlineStr">
        <is>
          <t>6:45</t>
        </is>
      </c>
      <c r="C11859" t="inlineStr">
        <is>
          <t>3 months the nerves grew in a little bit</t>
        </is>
      </c>
      <c r="D11859">
        <f>HYPERLINK("https://www.youtube.com/watch?v=FVmPPVNlvxE&amp;t=405s", "Go to time")</f>
        <v/>
      </c>
    </row>
    <row r="11860">
      <c r="A11860">
        <f>HYPERLINK("https://www.youtube.com/watch?v=FVmPPVNlvxE", "Video")</f>
        <v/>
      </c>
      <c r="B11860" t="inlineStr">
        <is>
          <t>17:55</t>
        </is>
      </c>
      <c r="C11860" t="inlineStr">
        <is>
          <t>you a little bit about the dark side</t>
        </is>
      </c>
      <c r="D11860">
        <f>HYPERLINK("https://www.youtube.com/watch?v=FVmPPVNlvxE&amp;t=1075s", "Go to time")</f>
        <v/>
      </c>
    </row>
    <row r="11861">
      <c r="A11861">
        <f>HYPERLINK("https://www.youtube.com/watch?v=P21a5Uty-uc", "Video")</f>
        <v/>
      </c>
      <c r="B11861" t="inlineStr">
        <is>
          <t>1:38</t>
        </is>
      </c>
      <c r="C11861" t="inlineStr">
        <is>
          <t>a unique blend of bits 
from its particular inhabitants.</t>
        </is>
      </c>
      <c r="D11861">
        <f>HYPERLINK("https://www.youtube.com/watch?v=P21a5Uty-uc&amp;t=98s", "Go to time")</f>
        <v/>
      </c>
    </row>
    <row r="11862">
      <c r="A11862">
        <f>HYPERLINK("https://www.youtube.com/watch?v=xFqecEtdGZ0", "Video")</f>
        <v/>
      </c>
      <c r="B11862" t="inlineStr">
        <is>
          <t>1:57</t>
        </is>
      </c>
      <c r="C11862" t="inlineStr">
        <is>
          <t>that intertwines crops and livestock
with wild habitats.</t>
        </is>
      </c>
      <c r="D11862">
        <f>HYPERLINK("https://www.youtube.com/watch?v=xFqecEtdGZ0&amp;t=117s", "Go to time")</f>
        <v/>
      </c>
    </row>
    <row r="11863">
      <c r="A11863">
        <f>HYPERLINK("https://www.youtube.com/watch?v=xFqecEtdGZ0", "Video")</f>
        <v/>
      </c>
      <c r="B11863" t="inlineStr">
        <is>
          <t>3:21</t>
        </is>
      </c>
      <c r="C11863" t="inlineStr">
        <is>
          <t>farmers have intertwined farmland
with tropical habitat so successfully</t>
        </is>
      </c>
      <c r="D11863">
        <f>HYPERLINK("https://www.youtube.com/watch?v=xFqecEtdGZ0&amp;t=201s", "Go to time")</f>
        <v/>
      </c>
    </row>
    <row r="11864">
      <c r="A11864">
        <f>HYPERLINK("https://www.youtube.com/watch?v=xFqecEtdGZ0", "Video")</f>
        <v/>
      </c>
      <c r="B11864" t="inlineStr">
        <is>
          <t>3:30</t>
        </is>
      </c>
      <c r="C11864" t="inlineStr">
        <is>
          <t>This provides food
and habitat for wildlife</t>
        </is>
      </c>
      <c r="D11864">
        <f>HYPERLINK("https://www.youtube.com/watch?v=xFqecEtdGZ0&amp;t=210s", "Go to time")</f>
        <v/>
      </c>
    </row>
    <row r="11865">
      <c r="A11865">
        <f>HYPERLINK("https://www.youtube.com/watch?v=mSzCS_5qtVY", "Video")</f>
        <v/>
      </c>
      <c r="B11865" t="inlineStr">
        <is>
          <t>1:51</t>
        </is>
      </c>
      <c r="C11865" t="inlineStr">
        <is>
          <t>how things orbit around it</t>
        </is>
      </c>
      <c r="D11865">
        <f>HYPERLINK("https://www.youtube.com/watch?v=mSzCS_5qtVY&amp;t=111s", "Go to time")</f>
        <v/>
      </c>
    </row>
    <row r="11866">
      <c r="A11866">
        <f>HYPERLINK("https://www.youtube.com/watch?v=qAXh9DHOm48", "Video")</f>
        <v/>
      </c>
      <c r="B11866" t="inlineStr">
        <is>
          <t>3:57</t>
        </is>
      </c>
      <c r="C11866" t="inlineStr">
        <is>
          <t>Today, there are approximately 415 million
inhabitants of Hispanic America.</t>
        </is>
      </c>
      <c r="D11866">
        <f>HYPERLINK("https://www.youtube.com/watch?v=qAXh9DHOm48&amp;t=237s", "Go to time")</f>
        <v/>
      </c>
    </row>
    <row r="11867">
      <c r="A11867">
        <f>HYPERLINK("https://www.youtube.com/watch?v=Y6e_m9iq-4Q", "Video")</f>
        <v/>
      </c>
      <c r="B11867" t="inlineStr">
        <is>
          <t>0:58</t>
        </is>
      </c>
      <c r="C11867" t="inlineStr">
        <is>
          <t>They might be bits of tissue,</t>
        </is>
      </c>
      <c r="D11867">
        <f>HYPERLINK("https://www.youtube.com/watch?v=Y6e_m9iq-4Q&amp;t=58s", "Go to time")</f>
        <v/>
      </c>
    </row>
    <row r="11868">
      <c r="A11868">
        <f>HYPERLINK("https://www.youtube.com/watch?v=Y6e_m9iq-4Q", "Video")</f>
        <v/>
      </c>
      <c r="B11868" t="inlineStr">
        <is>
          <t>3:03</t>
        </is>
      </c>
      <c r="C11868" t="inlineStr">
        <is>
          <t>Some science museums have an exhibit
which consists of a screen of blue light,</t>
        </is>
      </c>
      <c r="D11868">
        <f>HYPERLINK("https://www.youtube.com/watch?v=Y6e_m9iq-4Q&amp;t=183s", "Go to time")</f>
        <v/>
      </c>
    </row>
    <row r="11869">
      <c r="A11869">
        <f>HYPERLINK("https://www.youtube.com/watch?v=t3I9gDocYdk", "Video")</f>
        <v/>
      </c>
      <c r="B11869" t="inlineStr">
        <is>
          <t>3:04</t>
        </is>
      </c>
      <c r="C11869" t="inlineStr">
        <is>
          <t>The wolves killed coyotes, allowing rabbits</t>
        </is>
      </c>
      <c r="D11869">
        <f>HYPERLINK("https://www.youtube.com/watch?v=t3I9gDocYdk&amp;t=184s", "Go to time")</f>
        <v/>
      </c>
    </row>
    <row r="11870">
      <c r="A11870">
        <f>HYPERLINK("https://www.youtube.com/watch?v=iCM6CawGBRk", "Video")</f>
        <v/>
      </c>
      <c r="B11870" t="inlineStr">
        <is>
          <t>0:18</t>
        </is>
      </c>
      <c r="C11870" t="inlineStr">
        <is>
          <t>a beautiful inhabitant of the
Indian and Pacific Oceans' coral reefs</t>
        </is>
      </c>
      <c r="D11870">
        <f>HYPERLINK("https://www.youtube.com/watch?v=iCM6CawGBRk&amp;t=18s", "Go to time")</f>
        <v/>
      </c>
    </row>
    <row r="11871">
      <c r="A11871">
        <f>HYPERLINK("https://www.youtube.com/watch?v=iCM6CawGBRk", "Video")</f>
        <v/>
      </c>
      <c r="B11871" t="inlineStr">
        <is>
          <t>1:32</t>
        </is>
      </c>
      <c r="C11871" t="inlineStr">
        <is>
          <t>obtain food, and ride the right currents
to find their way to a suitable adult habitat,</t>
        </is>
      </c>
      <c r="D11871">
        <f>HYPERLINK("https://www.youtube.com/watch?v=iCM6CawGBRk&amp;t=92s", "Go to time")</f>
        <v/>
      </c>
    </row>
    <row r="11872">
      <c r="A11872">
        <f>HYPERLINK("https://www.youtube.com/watch?v=iCM6CawGBRk", "Video")</f>
        <v/>
      </c>
      <c r="B11872" t="inlineStr">
        <is>
          <t>2:32</t>
        </is>
      </c>
      <c r="C11872" t="inlineStr">
        <is>
          <t>helping guide them toward their
preferred adult habitats.</t>
        </is>
      </c>
      <c r="D11872">
        <f>HYPERLINK("https://www.youtube.com/watch?v=iCM6CawGBRk&amp;t=152s", "Go to time")</f>
        <v/>
      </c>
    </row>
    <row r="11873">
      <c r="A11873">
        <f>HYPERLINK("https://www.youtube.com/watch?v=vyUnzfMh-zA", "Video")</f>
        <v/>
      </c>
      <c r="B11873" t="inlineStr">
        <is>
          <t>2:07</t>
        </is>
      </c>
      <c r="C11873" t="inlineStr">
        <is>
          <t>Around 2020, Pluto will reach 
a point in its orbit</t>
        </is>
      </c>
      <c r="D11873">
        <f>HYPERLINK("https://www.youtube.com/watch?v=vyUnzfMh-zA&amp;t=127s", "Go to time")</f>
        <v/>
      </c>
    </row>
    <row r="11874">
      <c r="A11874">
        <f>HYPERLINK("https://www.youtube.com/watch?v=vyUnzfMh-zA", "Video")</f>
        <v/>
      </c>
      <c r="B11874" t="inlineStr">
        <is>
          <t>2:21</t>
        </is>
      </c>
      <c r="C11874" t="inlineStr">
        <is>
          <t>Pluto completes a full orbit
once every 248 Earth years,</t>
        </is>
      </c>
      <c r="D11874">
        <f>HYPERLINK("https://www.youtube.com/watch?v=vyUnzfMh-zA&amp;t=141s", "Go to time")</f>
        <v/>
      </c>
    </row>
    <row r="11875">
      <c r="A11875">
        <f>HYPERLINK("https://www.youtube.com/watch?v=vyUnzfMh-zA", "Video")</f>
        <v/>
      </c>
      <c r="B11875" t="inlineStr">
        <is>
          <t>3:13</t>
        </is>
      </c>
      <c r="C11875" t="inlineStr">
        <is>
          <t>meant that slowing down 
to get into orbit or land</t>
        </is>
      </c>
      <c r="D11875">
        <f>HYPERLINK("https://www.youtube.com/watch?v=vyUnzfMh-zA&amp;t=193s", "Go to time")</f>
        <v/>
      </c>
    </row>
    <row r="11876">
      <c r="A11876">
        <f>HYPERLINK("https://www.youtube.com/watch?v=vyUnzfMh-zA", "Video")</f>
        <v/>
      </c>
      <c r="B11876" t="inlineStr">
        <is>
          <t>5:34</t>
        </is>
      </c>
      <c r="C11876" t="inlineStr">
        <is>
          <t>which is orbiting the sun another billion
kilometers farther away than Pluto.</t>
        </is>
      </c>
      <c r="D11876">
        <f>HYPERLINK("https://www.youtube.com/watch?v=vyUnzfMh-zA&amp;t=334s", "Go to time")</f>
        <v/>
      </c>
    </row>
    <row r="11877">
      <c r="A11877">
        <f>HYPERLINK("https://www.youtube.com/watch?v=wUVvTqvjUaM", "Video")</f>
        <v/>
      </c>
      <c r="B11877" t="inlineStr">
        <is>
          <t>1:37</t>
        </is>
      </c>
      <c r="C11877" t="inlineStr">
        <is>
          <t>inhabited the world around them.</t>
        </is>
      </c>
      <c r="D11877">
        <f>HYPERLINK("https://www.youtube.com/watch?v=wUVvTqvjUaM&amp;t=97s", "Go to time")</f>
        <v/>
      </c>
    </row>
    <row r="11878">
      <c r="A11878">
        <f>HYPERLINK("https://www.youtube.com/watch?v=128fp0rqfbE", "Video")</f>
        <v/>
      </c>
      <c r="B11878" t="inlineStr">
        <is>
          <t>3:50</t>
        </is>
      </c>
      <c r="C11878" t="inlineStr">
        <is>
          <t>and technological solutions would
be prohibitively expensive</t>
        </is>
      </c>
      <c r="D11878">
        <f>HYPERLINK("https://www.youtube.com/watch?v=128fp0rqfbE&amp;t=230s", "Go to time")</f>
        <v/>
      </c>
    </row>
    <row r="11879">
      <c r="A11879">
        <f>HYPERLINK("https://www.youtube.com/watch?v=3TwgVQIZPsw", "Video")</f>
        <v/>
      </c>
      <c r="B11879" t="inlineStr">
        <is>
          <t>1:42</t>
        </is>
      </c>
      <c r="C11879" t="inlineStr">
        <is>
          <t>and marketing based on deeper
understanding of consumer habits.</t>
        </is>
      </c>
      <c r="D11879">
        <f>HYPERLINK("https://www.youtube.com/watch?v=3TwgVQIZPsw&amp;t=102s", "Go to time")</f>
        <v/>
      </c>
    </row>
    <row r="11880">
      <c r="A11880">
        <f>HYPERLINK("https://www.youtube.com/watch?v=FpCrY7x5nEE", "Video")</f>
        <v/>
      </c>
      <c r="B11880" t="inlineStr">
        <is>
          <t>3:00</t>
        </is>
      </c>
      <c r="C11880" t="inlineStr">
        <is>
          <t>such as in 2013, when a researcher
spiked rabbit blood with human blood</t>
        </is>
      </c>
      <c r="D11880">
        <f>HYPERLINK("https://www.youtube.com/watch?v=FpCrY7x5nEE&amp;t=180s", "Go to time")</f>
        <v/>
      </c>
    </row>
    <row r="11881">
      <c r="A11881">
        <f>HYPERLINK("https://www.youtube.com/watch?v=_ZmTQIFA9fY", "Video")</f>
        <v/>
      </c>
      <c r="B11881" t="inlineStr">
        <is>
          <t>3:12</t>
        </is>
      </c>
      <c r="C11881" t="inlineStr">
        <is>
          <t>paused precisely as the serpent’s
venomous jaws are about to bite down.</t>
        </is>
      </c>
      <c r="D11881">
        <f>HYPERLINK("https://www.youtube.com/watch?v=_ZmTQIFA9fY&amp;t=192s", "Go to time")</f>
        <v/>
      </c>
    </row>
    <row r="11882">
      <c r="A11882">
        <f>HYPERLINK("https://www.youtube.com/watch?v=7u98x3_r4_A", "Video")</f>
        <v/>
      </c>
      <c r="B11882" t="inlineStr">
        <is>
          <t>0:21</t>
        </is>
      </c>
      <c r="C11882" t="inlineStr">
        <is>
          <t>with none other than the
infamous “tongue biter,”</t>
        </is>
      </c>
      <c r="D11882">
        <f>HYPERLINK("https://www.youtube.com/watch?v=7u98x3_r4_A&amp;t=21s", "Go to time")</f>
        <v/>
      </c>
    </row>
    <row r="11883">
      <c r="A11883">
        <f>HYPERLINK("https://www.youtube.com/watch?v=7u98x3_r4_A", "Video")</f>
        <v/>
      </c>
      <c r="B11883" t="inlineStr">
        <is>
          <t>1:36</t>
        </is>
      </c>
      <c r="C11883" t="inlineStr">
        <is>
          <t>Tongue biters start out looking
for a fish to call home for life,</t>
        </is>
      </c>
      <c r="D11883">
        <f>HYPERLINK("https://www.youtube.com/watch?v=7u98x3_r4_A&amp;t=96s", "Go to time")</f>
        <v/>
      </c>
    </row>
    <row r="11884">
      <c r="A11884">
        <f>HYPERLINK("https://www.youtube.com/watch?v=7u98x3_r4_A", "Video")</f>
        <v/>
      </c>
      <c r="B11884" t="inlineStr">
        <is>
          <t>2:25</t>
        </is>
      </c>
      <c r="C11884" t="inlineStr">
        <is>
          <t>If they’ve moved into a fish that doesn’t
already have a tongue biter at the helm,</t>
        </is>
      </c>
      <c r="D11884">
        <f>HYPERLINK("https://www.youtube.com/watch?v=7u98x3_r4_A&amp;t=145s", "Go to time")</f>
        <v/>
      </c>
    </row>
    <row r="11885">
      <c r="A11885">
        <f>HYPERLINK("https://www.youtube.com/watch?v=7u98x3_r4_A", "Video")</f>
        <v/>
      </c>
      <c r="B11885" t="inlineStr">
        <is>
          <t>2:58</t>
        </is>
      </c>
      <c r="C11885" t="inlineStr">
        <is>
          <t>Over time, the isopod’s habits can cause
the fish’s basihyal to wither away,</t>
        </is>
      </c>
      <c r="D11885">
        <f>HYPERLINK("https://www.youtube.com/watch?v=7u98x3_r4_A&amp;t=178s", "Go to time")</f>
        <v/>
      </c>
    </row>
    <row r="11886">
      <c r="A11886">
        <f>HYPERLINK("https://www.youtube.com/watch?v=7u98x3_r4_A", "Video")</f>
        <v/>
      </c>
      <c r="B11886" t="inlineStr">
        <is>
          <t>3:12</t>
        </is>
      </c>
      <c r="C11886" t="inlineStr">
        <is>
          <t>the tongue biter is suspected
to functionally replace the basihyal,</t>
        </is>
      </c>
      <c r="D11886">
        <f>HYPERLINK("https://www.youtube.com/watch?v=7u98x3_r4_A&amp;t=192s", "Go to time")</f>
        <v/>
      </c>
    </row>
    <row r="11887">
      <c r="A11887">
        <f>HYPERLINK("https://www.youtube.com/watch?v=7u98x3_r4_A", "Video")</f>
        <v/>
      </c>
      <c r="B11887" t="inlineStr">
        <is>
          <t>3:23</t>
        </is>
      </c>
      <c r="C11887" t="inlineStr">
        <is>
          <t>Only mature female tongue biters
take hold of the basihyal,</t>
        </is>
      </c>
      <c r="D11887">
        <f>HYPERLINK("https://www.youtube.com/watch?v=7u98x3_r4_A&amp;t=203s", "Go to time")</f>
        <v/>
      </c>
    </row>
    <row r="11888">
      <c r="A11888">
        <f>HYPERLINK("https://www.youtube.com/watch?v=7u98x3_r4_A", "Video")</f>
        <v/>
      </c>
      <c r="B11888" t="inlineStr">
        <is>
          <t>3:32</t>
        </is>
      </c>
      <c r="C11888" t="inlineStr">
        <is>
          <t>In the event that a few tongue biters
share the same lucky fish</t>
        </is>
      </c>
      <c r="D11888">
        <f>HYPERLINK("https://www.youtube.com/watch?v=7u98x3_r4_A&amp;t=212s", "Go to time")</f>
        <v/>
      </c>
    </row>
    <row r="11889">
      <c r="A11889">
        <f>HYPERLINK("https://www.youtube.com/watch?v=7u98x3_r4_A", "Video")</f>
        <v/>
      </c>
      <c r="B11889" t="inlineStr">
        <is>
          <t>3:57</t>
        </is>
      </c>
      <c r="C11889" t="inlineStr">
        <is>
          <t>And when that happens, a female can
produce hundreds of tiny tongue biters,</t>
        </is>
      </c>
      <c r="D11889">
        <f>HYPERLINK("https://www.youtube.com/watch?v=7u98x3_r4_A&amp;t=237s", "Go to time")</f>
        <v/>
      </c>
    </row>
    <row r="11890">
      <c r="A11890">
        <f>HYPERLINK("https://www.youtube.com/watch?v=7u98x3_r4_A", "Video")</f>
        <v/>
      </c>
      <c r="B11890" t="inlineStr">
        <is>
          <t>5:14</t>
        </is>
      </c>
      <c r="C11890" t="inlineStr">
        <is>
          <t>And while theoretically eating a tongue
biter doesn't pose any health risks,</t>
        </is>
      </c>
      <c r="D11890">
        <f>HYPERLINK("https://www.youtube.com/watch?v=7u98x3_r4_A&amp;t=314s", "Go to time")</f>
        <v/>
      </c>
    </row>
    <row r="11891">
      <c r="A11891">
        <f>HYPERLINK("https://www.youtube.com/watch?v=CBKKoq_HxYA", "Video")</f>
        <v/>
      </c>
      <c r="B11891" t="inlineStr">
        <is>
          <t>0:20</t>
        </is>
      </c>
      <c r="C11891" t="inlineStr">
        <is>
          <t>Instead, it's collecting bits of food</t>
        </is>
      </c>
      <c r="D11891">
        <f>HYPERLINK("https://www.youtube.com/watch?v=CBKKoq_HxYA&amp;t=20s", "Go to time")</f>
        <v/>
      </c>
    </row>
    <row r="11892">
      <c r="A11892">
        <f>HYPERLINK("https://www.youtube.com/watch?v=CBKKoq_HxYA", "Video")</f>
        <v/>
      </c>
      <c r="B11892" t="inlineStr">
        <is>
          <t>3:46</t>
        </is>
      </c>
      <c r="C11892" t="inlineStr">
        <is>
          <t>By contributing a little bit,</t>
        </is>
      </c>
      <c r="D11892">
        <f>HYPERLINK("https://www.youtube.com/watch?v=CBKKoq_HxYA&amp;t=226s", "Go to time")</f>
        <v/>
      </c>
    </row>
    <row r="11893">
      <c r="A11893">
        <f>HYPERLINK("https://www.youtube.com/watch?v=U_u91SjrEOE", "Video")</f>
        <v/>
      </c>
      <c r="B11893" t="inlineStr">
        <is>
          <t>1:00</t>
        </is>
      </c>
      <c r="C11893" t="inlineStr">
        <is>
          <t>and worship the inhabitants 
of Mount Olympus from below.</t>
        </is>
      </c>
      <c r="D11893">
        <f>HYPERLINK("https://www.youtube.com/watch?v=U_u91SjrEOE&amp;t=60s", "Go to time")</f>
        <v/>
      </c>
    </row>
    <row r="11894">
      <c r="A11894">
        <f>HYPERLINK("https://www.youtube.com/watch?v=DC58z4N0IWw", "Video")</f>
        <v/>
      </c>
      <c r="B11894" t="inlineStr">
        <is>
          <t>0:20</t>
        </is>
      </c>
      <c r="C11894" t="inlineStr">
        <is>
          <t>further uh let me show you a little bit</t>
        </is>
      </c>
      <c r="D11894">
        <f>HYPERLINK("https://www.youtube.com/watch?v=DC58z4N0IWw&amp;t=20s", "Go to time")</f>
        <v/>
      </c>
    </row>
    <row r="11895">
      <c r="A11895">
        <f>HYPERLINK("https://www.youtube.com/watch?v=DC58z4N0IWw", "Video")</f>
        <v/>
      </c>
      <c r="B11895" t="inlineStr">
        <is>
          <t>1:36</t>
        </is>
      </c>
      <c r="C11895" t="inlineStr">
        <is>
          <t>I do that I want to talk a little bit</t>
        </is>
      </c>
      <c r="D11895">
        <f>HYPERLINK("https://www.youtube.com/watch?v=DC58z4N0IWw&amp;t=96s", "Go to time")</f>
        <v/>
      </c>
    </row>
    <row r="11896">
      <c r="A11896">
        <f>HYPERLINK("https://www.youtube.com/watch?v=DC58z4N0IWw", "Video")</f>
        <v/>
      </c>
      <c r="B11896" t="inlineStr">
        <is>
          <t>10:31</t>
        </is>
      </c>
      <c r="C11896" t="inlineStr">
        <is>
          <t>little bit of</t>
        </is>
      </c>
      <c r="D11896">
        <f>HYPERLINK("https://www.youtube.com/watch?v=DC58z4N0IWw&amp;t=631s", "Go to time")</f>
        <v/>
      </c>
    </row>
    <row r="11897">
      <c r="A11897">
        <f>HYPERLINK("https://www.youtube.com/watch?v=DC58z4N0IWw", "Video")</f>
        <v/>
      </c>
      <c r="B11897" t="inlineStr">
        <is>
          <t>13:53</t>
        </is>
      </c>
      <c r="C11897" t="inlineStr">
        <is>
          <t>of kids who are a little bit slower and</t>
        </is>
      </c>
      <c r="D11897">
        <f>HYPERLINK("https://www.youtube.com/watch?v=DC58z4N0IWw&amp;t=833s", "Go to time")</f>
        <v/>
      </c>
    </row>
    <row r="11898">
      <c r="A11898">
        <f>HYPERLINK("https://www.youtube.com/watch?v=DC58z4N0IWw", "Video")</f>
        <v/>
      </c>
      <c r="B11898" t="inlineStr">
        <is>
          <t>14:09</t>
        </is>
      </c>
      <c r="C11898" t="inlineStr">
        <is>
          <t>students who took a little bit extra</t>
        </is>
      </c>
      <c r="D11898">
        <f>HYPERLINK("https://www.youtube.com/watch?v=DC58z4N0IWw&amp;t=849s", "Go to time")</f>
        <v/>
      </c>
    </row>
    <row r="11899">
      <c r="A11899">
        <f>HYPERLINK("https://www.youtube.com/watch?v=teJAmgiMVIo", "Video")</f>
        <v/>
      </c>
      <c r="B11899" t="inlineStr">
        <is>
          <t>1:02</t>
        </is>
      </c>
      <c r="C11899" t="inlineStr">
        <is>
          <t>A devout Lutheran, his father considered
Munch’s artistic ambitions unholy.</t>
        </is>
      </c>
      <c r="D11899">
        <f>HYPERLINK("https://www.youtube.com/watch?v=teJAmgiMVIo&amp;t=62s", "Go to time")</f>
        <v/>
      </c>
    </row>
    <row r="11900">
      <c r="A11900">
        <f>HYPERLINK("https://www.youtube.com/watch?v=teJAmgiMVIo", "Video")</f>
        <v/>
      </c>
      <c r="B11900" t="inlineStr">
        <is>
          <t>3:55</t>
        </is>
      </c>
      <c r="C11900" t="inlineStr">
        <is>
          <t>In late 1893, Munch premiered “The Scream”
at a solo exhibit in Berlin.</t>
        </is>
      </c>
      <c r="D11900">
        <f>HYPERLINK("https://www.youtube.com/watch?v=teJAmgiMVIo&amp;t=235s", "Go to time")</f>
        <v/>
      </c>
    </row>
    <row r="11901">
      <c r="A11901">
        <f>HYPERLINK("https://www.youtube.com/watch?v=sxYrzzy3cq8", "Video")</f>
        <v/>
      </c>
      <c r="B11901" t="inlineStr">
        <is>
          <t>3:42</t>
        </is>
      </c>
      <c r="C11901" t="inlineStr">
        <is>
          <t>than data divided into misleading
or arbitrary categories.</t>
        </is>
      </c>
      <c r="D11901">
        <f>HYPERLINK("https://www.youtube.com/watch?v=sxYrzzy3cq8&amp;t=222s", "Go to time")</f>
        <v/>
      </c>
    </row>
    <row r="11902">
      <c r="A11902">
        <f>HYPERLINK("https://www.youtube.com/watch?v=wgbV6DLVezo", "Video")</f>
        <v/>
      </c>
      <c r="B11902" t="inlineStr">
        <is>
          <t>3:28</t>
        </is>
      </c>
      <c r="C11902" t="inlineStr">
        <is>
          <t>All of this requires billions 
and billions of bits.</t>
        </is>
      </c>
      <c r="D11902">
        <f>HYPERLINK("https://www.youtube.com/watch?v=wgbV6DLVezo&amp;t=208s", "Go to time")</f>
        <v/>
      </c>
    </row>
    <row r="11903">
      <c r="A11903">
        <f>HYPERLINK("https://www.youtube.com/watch?v=r593zLtZxAU", "Video")</f>
        <v/>
      </c>
      <c r="B11903" t="inlineStr">
        <is>
          <t>1:21</t>
        </is>
      </c>
      <c r="C11903" t="inlineStr">
        <is>
          <t>me. It's a true story. Every bit of this</t>
        </is>
      </c>
      <c r="D11903">
        <f>HYPERLINK("https://www.youtube.com/watch?v=r593zLtZxAU&amp;t=81s", "Go to time")</f>
        <v/>
      </c>
    </row>
    <row r="11904">
      <c r="A11904">
        <f>HYPERLINK("https://www.youtube.com/watch?v=r593zLtZxAU", "Video")</f>
        <v/>
      </c>
      <c r="B11904" t="inlineStr">
        <is>
          <t>5:48</t>
        </is>
      </c>
      <c r="C11904" t="inlineStr">
        <is>
          <t>since I plan to make a lifelong habit of</t>
        </is>
      </c>
      <c r="D11904">
        <f>HYPERLINK("https://www.youtube.com/watch?v=r593zLtZxAU&amp;t=348s", "Go to time")</f>
        <v/>
      </c>
    </row>
    <row r="11905">
      <c r="A11905">
        <f>HYPERLINK("https://www.youtube.com/watch?v=qVoYFYxGJPg", "Video")</f>
        <v/>
      </c>
      <c r="B11905" t="inlineStr">
        <is>
          <t>2:40</t>
        </is>
      </c>
      <c r="C11905" t="inlineStr">
        <is>
          <t>instead resolving their dispute through
a professional arbitrator.</t>
        </is>
      </c>
      <c r="D11905">
        <f>HYPERLINK("https://www.youtube.com/watch?v=qVoYFYxGJPg&amp;t=160s", "Go to time")</f>
        <v/>
      </c>
    </row>
    <row r="11906">
      <c r="A11906">
        <f>HYPERLINK("https://www.youtube.com/watch?v=qVoYFYxGJPg", "Video")</f>
        <v/>
      </c>
      <c r="B11906" t="inlineStr">
        <is>
          <t>2:48</t>
        </is>
      </c>
      <c r="C11906" t="inlineStr">
        <is>
          <t>Arbitration can be a smart decision
by both parties</t>
        </is>
      </c>
      <c r="D11906">
        <f>HYPERLINK("https://www.youtube.com/watch?v=qVoYFYxGJPg&amp;t=168s", "Go to time")</f>
        <v/>
      </c>
    </row>
    <row r="11907">
      <c r="A11907">
        <f>HYPERLINK("https://www.youtube.com/watch?v=qVoYFYxGJPg", "Video")</f>
        <v/>
      </c>
      <c r="B11907" t="inlineStr">
        <is>
          <t>3:02</t>
        </is>
      </c>
      <c r="C11907" t="inlineStr">
        <is>
          <t>For example, some arbitrators 
may be biased</t>
        </is>
      </c>
      <c r="D11907">
        <f>HYPERLINK("https://www.youtube.com/watch?v=qVoYFYxGJPg&amp;t=182s", "Go to time")</f>
        <v/>
      </c>
    </row>
    <row r="11908">
      <c r="A11908">
        <f>HYPERLINK("https://www.youtube.com/watch?v=7mOev8v3D1U", "Video")</f>
        <v/>
      </c>
      <c r="B11908" t="inlineStr">
        <is>
          <t>0:59</t>
        </is>
      </c>
      <c r="C11908" t="inlineStr">
        <is>
          <t>and instead just painted and exhibited 
pictures of themselves</t>
        </is>
      </c>
      <c r="D11908">
        <f>HYPERLINK("https://www.youtube.com/watch?v=7mOev8v3D1U&amp;t=59s", "Go to time")</f>
        <v/>
      </c>
    </row>
    <row r="11909">
      <c r="A11909">
        <f>HYPERLINK("https://www.youtube.com/watch?v=7mOev8v3D1U", "Video")</f>
        <v/>
      </c>
      <c r="B11909" t="inlineStr">
        <is>
          <t>4:19</t>
        </is>
      </c>
      <c r="C11909" t="inlineStr">
        <is>
          <t>The main drawback is that 
this requires quite a bit of logic—</t>
        </is>
      </c>
      <c r="D11909">
        <f>HYPERLINK("https://www.youtube.com/watch?v=7mOev8v3D1U&amp;t=259s", "Go to time")</f>
        <v/>
      </c>
    </row>
    <row r="11910">
      <c r="A11910">
        <f>HYPERLINK("https://www.youtube.com/watch?v=s-kDttqywJ4", "Video")</f>
        <v/>
      </c>
      <c r="B11910" t="inlineStr">
        <is>
          <t>2:49</t>
        </is>
      </c>
      <c r="C11910" t="inlineStr">
        <is>
          <t>But in the House of Bats, 
a bat bit off Junajpu’s head.</t>
        </is>
      </c>
      <c r="D11910">
        <f>HYPERLINK("https://www.youtube.com/watch?v=s-kDttqywJ4&amp;t=169s", "Go to time")</f>
        <v/>
      </c>
    </row>
    <row r="11911">
      <c r="A11911">
        <f>HYPERLINK("https://www.youtube.com/watch?v=jB7xaaV8Rus", "Video")</f>
        <v/>
      </c>
      <c r="B11911" t="inlineStr">
        <is>
          <t>2:38</t>
        </is>
      </c>
      <c r="C11911" t="inlineStr">
        <is>
          <t>you drill a little bit deeper you've got</t>
        </is>
      </c>
      <c r="D11911">
        <f>HYPERLINK("https://www.youtube.com/watch?v=jB7xaaV8Rus&amp;t=158s", "Go to time")</f>
        <v/>
      </c>
    </row>
    <row r="11912">
      <c r="A11912">
        <f>HYPERLINK("https://www.youtube.com/watch?v=jB7xaaV8Rus", "Video")</f>
        <v/>
      </c>
      <c r="B11912" t="inlineStr">
        <is>
          <t>9:45</t>
        </is>
      </c>
      <c r="C11912" t="inlineStr">
        <is>
          <t>advantage of that that uh little bit of</t>
        </is>
      </c>
      <c r="D11912">
        <f>HYPERLINK("https://www.youtube.com/watch?v=jB7xaaV8Rus&amp;t=585s", "Go to time")</f>
        <v/>
      </c>
    </row>
    <row r="11913">
      <c r="A11913">
        <f>HYPERLINK("https://www.youtube.com/watch?v=dNlkHtMgcPQ", "Video")</f>
        <v/>
      </c>
      <c r="B11913" t="inlineStr">
        <is>
          <t>3:12</t>
        </is>
      </c>
      <c r="C11913" t="inlineStr">
        <is>
          <t>exhibits no tendency to be commensurate with innate capacity, but that a considerable element of the unpredictable</t>
        </is>
      </c>
      <c r="D11913">
        <f>HYPERLINK("https://www.youtube.com/watch?v=dNlkHtMgcPQ&amp;t=192s", "Go to time")</f>
        <v/>
      </c>
    </row>
    <row r="11914">
      <c r="A11914">
        <f>HYPERLINK("https://www.youtube.com/watch?v=Gh3BRfXwmsE", "Video")</f>
        <v/>
      </c>
      <c r="B11914" t="inlineStr">
        <is>
          <t>2:49</t>
        </is>
      </c>
      <c r="C11914" t="inlineStr">
        <is>
          <t>Alice drinks a bit of her shrinking potion
to go in for a closer look.</t>
        </is>
      </c>
      <c r="D11914">
        <f>HYPERLINK("https://www.youtube.com/watch?v=Gh3BRfXwmsE&amp;t=169s", "Go to time")</f>
        <v/>
      </c>
    </row>
    <row r="11915">
      <c r="A11915">
        <f>HYPERLINK("https://www.youtube.com/watch?v=7Xr9BYhlceA", "Video")</f>
        <v/>
      </c>
      <c r="B11915" t="inlineStr">
        <is>
          <t>4:41</t>
        </is>
      </c>
      <c r="C11915" t="inlineStr">
        <is>
          <t>and in other critical habitats,</t>
        </is>
      </c>
      <c r="D11915">
        <f>HYPERLINK("https://www.youtube.com/watch?v=7Xr9BYhlceA&amp;t=281s", "Go to time")</f>
        <v/>
      </c>
    </row>
    <row r="11916">
      <c r="A11916">
        <f>HYPERLINK("https://www.youtube.com/watch?v=_1FY5kL_zXU", "Video")</f>
        <v/>
      </c>
      <c r="B11916" t="inlineStr">
        <is>
          <t>1:25</t>
        </is>
      </c>
      <c r="C11916" t="inlineStr">
        <is>
          <t>So, does animal communication exhibit 
any of these qualities?</t>
        </is>
      </c>
      <c r="D11916">
        <f>HYPERLINK("https://www.youtube.com/watch?v=_1FY5kL_zXU&amp;t=85s", "Go to time")</f>
        <v/>
      </c>
    </row>
    <row r="11917">
      <c r="A11917">
        <f>HYPERLINK("https://www.youtube.com/watch?v=_1FY5kL_zXU", "Video")</f>
        <v/>
      </c>
      <c r="B11917" t="inlineStr">
        <is>
          <t>2:01</t>
        </is>
      </c>
      <c r="C11917" t="inlineStr">
        <is>
          <t>so they exhibit the property 
of displacement.</t>
        </is>
      </c>
      <c r="D11917">
        <f>HYPERLINK("https://www.youtube.com/watch?v=_1FY5kL_zXU&amp;t=121s", "Go to time")</f>
        <v/>
      </c>
    </row>
    <row r="11918">
      <c r="A11918">
        <f>HYPERLINK("https://www.youtube.com/watch?v=e7uXAlXdTe4", "Video")</f>
        <v/>
      </c>
      <c r="B11918" t="inlineStr">
        <is>
          <t>0:11</t>
        </is>
      </c>
      <c r="C11918" t="inlineStr">
        <is>
          <t>a ping-pong match in orbit 
around a black hole,</t>
        </is>
      </c>
      <c r="D11918">
        <f>HYPERLINK("https://www.youtube.com/watch?v=e7uXAlXdTe4&amp;t=11s", "Go to time")</f>
        <v/>
      </c>
    </row>
    <row r="11919">
      <c r="A11919">
        <f>HYPERLINK("https://www.youtube.com/watch?v=LMt8xm4t7XQ", "Video")</f>
        <v/>
      </c>
      <c r="B11919" t="inlineStr">
        <is>
          <t>3:07</t>
        </is>
      </c>
      <c r="C11919" t="inlineStr">
        <is>
          <t>some unintentional protection 
from flea bites.</t>
        </is>
      </c>
      <c r="D11919">
        <f>HYPERLINK("https://www.youtube.com/watch?v=LMt8xm4t7XQ&amp;t=187s", "Go to time")</f>
        <v/>
      </c>
    </row>
    <row r="11920">
      <c r="A11920">
        <f>HYPERLINK("https://www.youtube.com/watch?v=phn0bXbcZYY", "Video")</f>
        <v/>
      </c>
      <c r="B11920" t="inlineStr">
        <is>
          <t>2:36</t>
        </is>
      </c>
      <c r="C11920" t="inlineStr">
        <is>
          <t>sped up in their orbits,
and created a spinning disc.</t>
        </is>
      </c>
      <c r="D11920">
        <f>HYPERLINK("https://www.youtube.com/watch?v=phn0bXbcZYY&amp;t=156s", "Go to time")</f>
        <v/>
      </c>
    </row>
    <row r="11921">
      <c r="A11921">
        <f>HYPERLINK("https://www.youtube.com/watch?v=phn0bXbcZYY", "Video")</f>
        <v/>
      </c>
      <c r="B11921" t="inlineStr">
        <is>
          <t>4:00</t>
        </is>
      </c>
      <c r="C11921" t="inlineStr">
        <is>
          <t>Our solar system is orbiting the galactic
center faster than the spiral arms.</t>
        </is>
      </c>
      <c r="D11921">
        <f>HYPERLINK("https://www.youtube.com/watch?v=phn0bXbcZYY&amp;t=240s", "Go to time")</f>
        <v/>
      </c>
    </row>
    <row r="11922">
      <c r="A11922">
        <f>HYPERLINK("https://www.youtube.com/watch?v=6ev4KHAToWM", "Video")</f>
        <v/>
      </c>
      <c r="B11922" t="inlineStr">
        <is>
          <t>1:56</t>
        </is>
      </c>
      <c r="C11922" t="inlineStr">
        <is>
          <t>and break free of their orbits, leaving 
behind positively charged ions.</t>
        </is>
      </c>
      <c r="D11922">
        <f>HYPERLINK("https://www.youtube.com/watch?v=6ev4KHAToWM&amp;t=116s", "Go to time")</f>
        <v/>
      </c>
    </row>
    <row r="11923">
      <c r="A11923">
        <f>HYPERLINK("https://www.youtube.com/watch?v=-EJOO3xAjTk", "Video")</f>
        <v/>
      </c>
      <c r="B11923" t="inlineStr">
        <is>
          <t>0:17</t>
        </is>
      </c>
      <c r="C11923" t="inlineStr">
        <is>
          <t>The answer involves a bit</t>
        </is>
      </c>
      <c r="D11923">
        <f>HYPERLINK("https://www.youtube.com/watch?v=-EJOO3xAjTk&amp;t=17s", "Go to time")</f>
        <v/>
      </c>
    </row>
    <row r="11924">
      <c r="A11924">
        <f>HYPERLINK("https://www.youtube.com/watch?v=-EJOO3xAjTk", "Video")</f>
        <v/>
      </c>
      <c r="B11924" t="inlineStr">
        <is>
          <t>2:56</t>
        </is>
      </c>
      <c r="C11924" t="inlineStr">
        <is>
          <t>In fact, it's a bit presumptuous to define</t>
        </is>
      </c>
      <c r="D11924">
        <f>HYPERLINK("https://www.youtube.com/watch?v=-EJOO3xAjTk&amp;t=176s", "Go to time")</f>
        <v/>
      </c>
    </row>
    <row r="11925">
      <c r="A11925">
        <f>HYPERLINK("https://www.youtube.com/watch?v=OKms5a0nGO4", "Video")</f>
        <v/>
      </c>
      <c r="B11925" t="inlineStr">
        <is>
          <t>2:04</t>
        </is>
      </c>
      <c r="C11925" t="inlineStr">
        <is>
          <t>orbiting a positively charged nucleus
at a consistent frequency.</t>
        </is>
      </c>
      <c r="D11925">
        <f>HYPERLINK("https://www.youtube.com/watch?v=OKms5a0nGO4&amp;t=124s", "Go to time")</f>
        <v/>
      </c>
    </row>
    <row r="11926">
      <c r="A11926">
        <f>HYPERLINK("https://www.youtube.com/watch?v=JAyuHIthHco", "Video")</f>
        <v/>
      </c>
      <c r="B11926" t="inlineStr">
        <is>
          <t>2:46</t>
        </is>
      </c>
      <c r="C11926" t="inlineStr">
        <is>
          <t>as habitat loss, pesticide use, and other
pressures from agriculture subside.</t>
        </is>
      </c>
      <c r="D11926">
        <f>HYPERLINK("https://www.youtube.com/watch?v=JAyuHIthHco&amp;t=166s", "Go to time")</f>
        <v/>
      </c>
    </row>
    <row r="11927">
      <c r="A11927">
        <f>HYPERLINK("https://www.youtube.com/watch?v=fMsmCxIEQr4", "Video")</f>
        <v/>
      </c>
      <c r="B11927" t="inlineStr">
        <is>
          <t>0:32</t>
        </is>
      </c>
      <c r="C11927" t="inlineStr">
        <is>
          <t>Babur had long harbored ambitions
of building his own empire.</t>
        </is>
      </c>
      <c r="D11927">
        <f>HYPERLINK("https://www.youtube.com/watch?v=fMsmCxIEQr4&amp;t=32s", "Go to time")</f>
        <v/>
      </c>
    </row>
    <row r="11928">
      <c r="A11928">
        <f>HYPERLINK("https://www.youtube.com/watch?v=fMsmCxIEQr4", "Video")</f>
        <v/>
      </c>
      <c r="B11928" t="inlineStr">
        <is>
          <t>0:41</t>
        </is>
      </c>
      <c r="C11928" t="inlineStr">
        <is>
          <t>among the many ambitious princes
in Central Asia.</t>
        </is>
      </c>
      <c r="D11928">
        <f>HYPERLINK("https://www.youtube.com/watch?v=fMsmCxIEQr4&amp;t=41s", "Go to time")</f>
        <v/>
      </c>
    </row>
    <row r="11929">
      <c r="A11929">
        <f>HYPERLINK("https://www.youtube.com/watch?v=4Vfn5CV9juI", "Video")</f>
        <v/>
      </c>
      <c r="B11929" t="inlineStr">
        <is>
          <t>1:38</t>
        </is>
      </c>
      <c r="C11929" t="inlineStr">
        <is>
          <t>Single whistles also exhibit
a unique intention with each call</t>
        </is>
      </c>
      <c r="D11929">
        <f>HYPERLINK("https://www.youtube.com/watch?v=4Vfn5CV9juI&amp;t=98s", "Go to time")</f>
        <v/>
      </c>
    </row>
    <row r="11930">
      <c r="A11930">
        <f>HYPERLINK("https://www.youtube.com/watch?v=4Vfn5CV9juI", "Video")</f>
        <v/>
      </c>
      <c r="B11930" t="inlineStr">
        <is>
          <t>4:34</t>
        </is>
      </c>
      <c r="C11930" t="inlineStr">
        <is>
          <t>Shakira’s habitat in Colombia
is being cut down,</t>
        </is>
      </c>
      <c r="D11930">
        <f>HYPERLINK("https://www.youtube.com/watch?v=4Vfn5CV9juI&amp;t=274s", "Go to time")</f>
        <v/>
      </c>
    </row>
    <row r="11931">
      <c r="A11931">
        <f>HYPERLINK("https://www.youtube.com/watch?v=SsHnfVmb9OE", "Video")</f>
        <v/>
      </c>
      <c r="B11931" t="inlineStr">
        <is>
          <t>0:22</t>
        </is>
      </c>
      <c r="C11931" t="inlineStr">
        <is>
          <t>typically transmitted by bite or sting.</t>
        </is>
      </c>
      <c r="D11931">
        <f>HYPERLINK("https://www.youtube.com/watch?v=SsHnfVmb9OE&amp;t=22s", "Go to time")</f>
        <v/>
      </c>
    </row>
    <row r="11932">
      <c r="A11932">
        <f>HYPERLINK("https://www.youtube.com/watch?v=SsHnfVmb9OE", "Video")</f>
        <v/>
      </c>
      <c r="B11932" t="inlineStr">
        <is>
          <t>1:35</t>
        </is>
      </c>
      <c r="C11932" t="inlineStr">
        <is>
          <t>A bit of shortening</t>
        </is>
      </c>
      <c r="D11932">
        <f>HYPERLINK("https://www.youtube.com/watch?v=SsHnfVmb9OE&amp;t=95s", "Go to time")</f>
        <v/>
      </c>
    </row>
    <row r="11933">
      <c r="A11933">
        <f>HYPERLINK("https://www.youtube.com/watch?v=JycXLG6GeYk", "Video")</f>
        <v/>
      </c>
      <c r="B11933" t="inlineStr">
        <is>
          <t>3:04</t>
        </is>
      </c>
      <c r="C11933" t="inlineStr">
        <is>
          <t>the people learned to make a poultice 
to treat scorpion bites,</t>
        </is>
      </c>
      <c r="D11933">
        <f>HYPERLINK("https://www.youtube.com/watch?v=JycXLG6GeYk&amp;t=184s", "Go to time")</f>
        <v/>
      </c>
    </row>
    <row r="11934">
      <c r="A11934">
        <f>HYPERLINK("https://www.youtube.com/watch?v=9a5vHXsUvUw", "Video")</f>
        <v/>
      </c>
      <c r="B11934" t="inlineStr">
        <is>
          <t>1:35</t>
        </is>
      </c>
      <c r="C11934" t="inlineStr">
        <is>
          <t>it will always be just a tiny bit off.</t>
        </is>
      </c>
      <c r="D11934">
        <f>HYPERLINK("https://www.youtube.com/watch?v=9a5vHXsUvUw&amp;t=95s", "Go to time")</f>
        <v/>
      </c>
    </row>
    <row r="11935">
      <c r="A11935">
        <f>HYPERLINK("https://www.youtube.com/watch?v=9a5vHXsUvUw", "Video")</f>
        <v/>
      </c>
      <c r="B11935" t="inlineStr">
        <is>
          <t>2:27</t>
        </is>
      </c>
      <c r="C11935" t="inlineStr">
        <is>
          <t>to the orbits of satellites.</t>
        </is>
      </c>
      <c r="D11935">
        <f>HYPERLINK("https://www.youtube.com/watch?v=9a5vHXsUvUw&amp;t=147s", "Go to time")</f>
        <v/>
      </c>
    </row>
    <row r="11936">
      <c r="A11936">
        <f>HYPERLINK("https://www.youtube.com/watch?v=9a5vHXsUvUw", "Video")</f>
        <v/>
      </c>
      <c r="B11936" t="inlineStr">
        <is>
          <t>3:04</t>
        </is>
      </c>
      <c r="C11936" t="inlineStr">
        <is>
          <t>because of the orbits
in which tiny particles move.</t>
        </is>
      </c>
      <c r="D11936">
        <f>HYPERLINK("https://www.youtube.com/watch?v=9a5vHXsUvUw&amp;t=184s", "Go to time")</f>
        <v/>
      </c>
    </row>
    <row r="11937">
      <c r="A11937">
        <f>HYPERLINK("https://www.youtube.com/watch?v=VmWVXOIQblM", "Video")</f>
        <v/>
      </c>
      <c r="B11937" t="inlineStr">
        <is>
          <t>3:17</t>
        </is>
      </c>
      <c r="C11937" t="inlineStr">
        <is>
          <t>For example, governments
have prohibited the display of numbers</t>
        </is>
      </c>
      <c r="D11937">
        <f>HYPERLINK("https://www.youtube.com/watch?v=VmWVXOIQblM&amp;t=197s", "Go to time")</f>
        <v/>
      </c>
    </row>
    <row r="11938">
      <c r="A11938">
        <f>HYPERLINK("https://www.youtube.com/watch?v=z3QPYXNPaaE", "Video")</f>
        <v/>
      </c>
      <c r="B11938" t="inlineStr">
        <is>
          <t>1:46</t>
        </is>
      </c>
      <c r="C11938" t="inlineStr">
        <is>
          <t>City buildings mimic 
their natural habitat.</t>
        </is>
      </c>
      <c r="D11938">
        <f>HYPERLINK("https://www.youtube.com/watch?v=z3QPYXNPaaE&amp;t=106s", "Go to time")</f>
        <v/>
      </c>
    </row>
    <row r="11939">
      <c r="A11939">
        <f>HYPERLINK("https://www.youtube.com/watch?v=8qK0hxuXOC8", "Video")</f>
        <v/>
      </c>
      <c r="B11939" t="inlineStr">
        <is>
          <t>1:55</t>
        </is>
      </c>
      <c r="C11939" t="inlineStr">
        <is>
          <t>They can either inhibit 
the receiving neuron,</t>
        </is>
      </c>
      <c r="D11939">
        <f>HYPERLINK("https://www.youtube.com/watch?v=8qK0hxuXOC8&amp;t=115s", "Go to time")</f>
        <v/>
      </c>
    </row>
    <row r="11940">
      <c r="A11940">
        <f>HYPERLINK("https://www.youtube.com/watch?v=8qK0hxuXOC8", "Video")</f>
        <v/>
      </c>
      <c r="B11940" t="inlineStr">
        <is>
          <t>2:57</t>
        </is>
      </c>
      <c r="C11940" t="inlineStr">
        <is>
          <t>to inhibit neural activity</t>
        </is>
      </c>
      <c r="D11940">
        <f>HYPERLINK("https://www.youtube.com/watch?v=8qK0hxuXOC8&amp;t=177s", "Go to time")</f>
        <v/>
      </c>
    </row>
    <row r="11941">
      <c r="A11941">
        <f>HYPERLINK("https://www.youtube.com/watch?v=PNKbbSniAig", "Video")</f>
        <v/>
      </c>
      <c r="B11941" t="inlineStr">
        <is>
          <t>17:19</t>
        </is>
      </c>
      <c r="C11941" t="inlineStr">
        <is>
          <t>180,000 inhabitants since</t>
        </is>
      </c>
      <c r="D11941">
        <f>HYPERLINK("https://www.youtube.com/watch?v=PNKbbSniAig&amp;t=1039s", "Go to time")</f>
        <v/>
      </c>
    </row>
    <row r="11942">
      <c r="A11942">
        <f>HYPERLINK("https://www.youtube.com/watch?v=zf83T6rdzmI", "Video")</f>
        <v/>
      </c>
      <c r="B11942" t="inlineStr">
        <is>
          <t>9:45</t>
        </is>
      </c>
      <c r="C11942" t="inlineStr">
        <is>
          <t>more and more little bits of skull</t>
        </is>
      </c>
      <c r="D11942">
        <f>HYPERLINK("https://www.youtube.com/watch?v=zf83T6rdzmI&amp;t=585s", "Go to time")</f>
        <v/>
      </c>
    </row>
    <row r="11943">
      <c r="A11943">
        <f>HYPERLINK("https://www.youtube.com/watch?v=U69LIr0OrNc", "Video")</f>
        <v/>
      </c>
      <c r="B11943" t="inlineStr">
        <is>
          <t>0:21</t>
        </is>
      </c>
      <c r="C11943" t="inlineStr">
        <is>
          <t>Yet, this remote zone is also one
of the greatest habitats on Earth,</t>
        </is>
      </c>
      <c r="D11943">
        <f>HYPERLINK("https://www.youtube.com/watch?v=U69LIr0OrNc&amp;t=21s", "Go to time")</f>
        <v/>
      </c>
    </row>
    <row r="11944">
      <c r="A11944">
        <f>HYPERLINK("https://www.youtube.com/watch?v=U69LIr0OrNc", "Video")</f>
        <v/>
      </c>
      <c r="B11944" t="inlineStr">
        <is>
          <t>4:28</t>
        </is>
      </c>
      <c r="C11944" t="inlineStr">
        <is>
          <t>about the incredible survival skills
of the ocean's deepest inhabitants.</t>
        </is>
      </c>
      <c r="D11944">
        <f>HYPERLINK("https://www.youtube.com/watch?v=U69LIr0OrNc&amp;t=268s", "Go to time")</f>
        <v/>
      </c>
    </row>
    <row r="11945">
      <c r="A11945">
        <f>HYPERLINK("https://www.youtube.com/watch?v=qocAoN4jNwc", "Video")</f>
        <v/>
      </c>
      <c r="B11945" t="inlineStr">
        <is>
          <t>4:11</t>
        </is>
      </c>
      <c r="C11945" t="inlineStr">
        <is>
          <t>little bit. And if the student still</t>
        </is>
      </c>
      <c r="D11945">
        <f>HYPERLINK("https://www.youtube.com/watch?v=qocAoN4jNwc&amp;t=251s", "Go to time")</f>
        <v/>
      </c>
    </row>
    <row r="11946">
      <c r="A11946">
        <f>HYPERLINK("https://www.youtube.com/watch?v=7w2gCBL1MCg", "Video")</f>
        <v/>
      </c>
      <c r="B11946" t="inlineStr">
        <is>
          <t>2:33</t>
        </is>
      </c>
      <c r="C11946" t="inlineStr">
        <is>
          <t>But given what we know about the 
habitats of our primate ancestors,</t>
        </is>
      </c>
      <c r="D11946">
        <f>HYPERLINK("https://www.youtube.com/watch?v=7w2gCBL1MCg&amp;t=153s", "Go to time")</f>
        <v/>
      </c>
    </row>
    <row r="11947">
      <c r="A11947">
        <f>HYPERLINK("https://www.youtube.com/watch?v=Lvr5JqLVe34", "Video")</f>
        <v/>
      </c>
      <c r="B11947" t="inlineStr">
        <is>
          <t>0:40</t>
        </is>
      </c>
      <c r="C11947" t="inlineStr">
        <is>
          <t>the Flux Ravine gambit.</t>
        </is>
      </c>
      <c r="D11947">
        <f>HYPERLINK("https://www.youtube.com/watch?v=Lvr5JqLVe34&amp;t=40s", "Go to time")</f>
        <v/>
      </c>
    </row>
    <row r="11948">
      <c r="A11948">
        <f>HYPERLINK("https://www.youtube.com/watch?v=juO4zxsjSjw", "Video")</f>
        <v/>
      </c>
      <c r="B11948" t="inlineStr">
        <is>
          <t>2:01</t>
        </is>
      </c>
      <c r="C11948" t="inlineStr">
        <is>
          <t>So while the hedonic treadmill may
inhibit our enjoyment of positive changes,</t>
        </is>
      </c>
      <c r="D11948">
        <f>HYPERLINK("https://www.youtube.com/watch?v=juO4zxsjSjw&amp;t=121s", "Go to time")</f>
        <v/>
      </c>
    </row>
    <row r="11949">
      <c r="A11949">
        <f>HYPERLINK("https://www.youtube.com/watch?v=ZvhFeGEDFC8", "Video")</f>
        <v/>
      </c>
      <c r="B11949" t="inlineStr">
        <is>
          <t>4:02</t>
        </is>
      </c>
      <c r="C11949" t="inlineStr">
        <is>
          <t>We can also package antibiotics 
with molecules that inhibit resistance.</t>
        </is>
      </c>
      <c r="D11949">
        <f>HYPERLINK("https://www.youtube.com/watch?v=ZvhFeGEDFC8&amp;t=242s", "Go to time")</f>
        <v/>
      </c>
    </row>
    <row r="11950">
      <c r="A11950">
        <f>HYPERLINK("https://www.youtube.com/watch?v=VdkV8nyqpNs", "Video")</f>
        <v/>
      </c>
      <c r="B11950" t="inlineStr">
        <is>
          <t>0:15</t>
        </is>
      </c>
      <c r="C11950" t="inlineStr">
        <is>
          <t>I thought I would talk a little bit</t>
        </is>
      </c>
      <c r="D11950">
        <f>HYPERLINK("https://www.youtube.com/watch?v=VdkV8nyqpNs&amp;t=15s", "Go to time")</f>
        <v/>
      </c>
    </row>
    <row r="11951">
      <c r="A11951">
        <f>HYPERLINK("https://www.youtube.com/watch?v=ptJg2GScPEQ", "Video")</f>
        <v/>
      </c>
      <c r="B11951" t="inlineStr">
        <is>
          <t>3:55</t>
        </is>
      </c>
      <c r="C11951" t="inlineStr">
        <is>
          <t>scientific career if you are a bit short</t>
        </is>
      </c>
      <c r="D11951">
        <f>HYPERLINK("https://www.youtube.com/watch?v=ptJg2GScPEQ&amp;t=235s", "Go to time")</f>
        <v/>
      </c>
    </row>
    <row r="11952">
      <c r="A11952">
        <f>HYPERLINK("https://www.youtube.com/watch?v=ptJg2GScPEQ", "Video")</f>
        <v/>
      </c>
      <c r="B11952" t="inlineStr">
        <is>
          <t>4:43</t>
        </is>
      </c>
      <c r="C11952" t="inlineStr">
        <is>
          <t>foolhardy but it's been my habit to</t>
        </is>
      </c>
      <c r="D11952">
        <f>HYPERLINK("https://www.youtube.com/watch?v=ptJg2GScPEQ&amp;t=283s", "Go to time")</f>
        <v/>
      </c>
    </row>
    <row r="11953">
      <c r="A11953">
        <f>HYPERLINK("https://www.youtube.com/watch?v=ptJg2GScPEQ", "Video")</f>
        <v/>
      </c>
      <c r="B11953" t="inlineStr">
        <is>
          <t>9:30</t>
        </is>
      </c>
      <c r="C11953" t="inlineStr">
        <is>
          <t>that is sparsely inhabited</t>
        </is>
      </c>
      <c r="D11953">
        <f>HYPERLINK("https://www.youtube.com/watch?v=ptJg2GScPEQ&amp;t=570s", "Go to time")</f>
        <v/>
      </c>
    </row>
    <row r="11954">
      <c r="A11954">
        <f>HYPERLINK("https://www.youtube.com/watch?v=Hk3fgjHNQ2Q", "Video")</f>
        <v/>
      </c>
      <c r="B11954" t="inlineStr">
        <is>
          <t>0:51</t>
        </is>
      </c>
      <c r="C11954" t="inlineStr">
        <is>
          <t>fitting together lots of bits of evidence,
like pieces in a puzzle.</t>
        </is>
      </c>
      <c r="D11954">
        <f>HYPERLINK("https://www.youtube.com/watch?v=Hk3fgjHNQ2Q&amp;t=51s", "Go to time")</f>
        <v/>
      </c>
    </row>
    <row r="11955">
      <c r="A11955">
        <f>HYPERLINK("https://www.youtube.com/watch?v=Hk3fgjHNQ2Q", "Video")</f>
        <v/>
      </c>
      <c r="B11955" t="inlineStr">
        <is>
          <t>2:16</t>
        </is>
      </c>
      <c r="C11955" t="inlineStr">
        <is>
          <t>with electrons orbiting
like a miniature solar system,</t>
        </is>
      </c>
      <c r="D11955">
        <f>HYPERLINK("https://www.youtube.com/watch?v=Hk3fgjHNQ2Q&amp;t=136s", "Go to time")</f>
        <v/>
      </c>
    </row>
    <row r="11956">
      <c r="A11956">
        <f>HYPERLINK("https://www.youtube.com/watch?v=Hk3fgjHNQ2Q", "Video")</f>
        <v/>
      </c>
      <c r="B11956" t="inlineStr">
        <is>
          <t>2:51</t>
        </is>
      </c>
      <c r="C11956" t="inlineStr">
        <is>
          <t>Bohr proposed that an electron
in certain special orbits</t>
        </is>
      </c>
      <c r="D11956">
        <f>HYPERLINK("https://www.youtube.com/watch?v=Hk3fgjHNQ2Q&amp;t=171s", "Go to time")</f>
        <v/>
      </c>
    </row>
    <row r="11957">
      <c r="A11957">
        <f>HYPERLINK("https://www.youtube.com/watch?v=Hk3fgjHNQ2Q", "Video")</f>
        <v/>
      </c>
      <c r="B11957" t="inlineStr">
        <is>
          <t>2:57</t>
        </is>
      </c>
      <c r="C11957" t="inlineStr">
        <is>
          <t>Atoms absorb and emit light
only when electrons change orbits,</t>
        </is>
      </c>
      <c r="D11957">
        <f>HYPERLINK("https://www.youtube.com/watch?v=Hk3fgjHNQ2Q&amp;t=177s", "Go to time")</f>
        <v/>
      </c>
    </row>
    <row r="11958">
      <c r="A11958">
        <f>HYPERLINK("https://www.youtube.com/watch?v=Hk3fgjHNQ2Q", "Video")</f>
        <v/>
      </c>
      <c r="B11958" t="inlineStr">
        <is>
          <t>3:15</t>
        </is>
      </c>
      <c r="C11958" t="inlineStr">
        <is>
          <t>Each element has its own special orbits,</t>
        </is>
      </c>
      <c r="D11958">
        <f>HYPERLINK("https://www.youtube.com/watch?v=Hk3fgjHNQ2Q&amp;t=195s", "Go to time")</f>
        <v/>
      </c>
    </row>
    <row r="11959">
      <c r="A11959">
        <f>HYPERLINK("https://www.youtube.com/watch?v=Hk3fgjHNQ2Q", "Video")</f>
        <v/>
      </c>
      <c r="B11959" t="inlineStr">
        <is>
          <t>3:22</t>
        </is>
      </c>
      <c r="C11959" t="inlineStr">
        <is>
          <t>there's no reason for 
those orbits to be special.</t>
        </is>
      </c>
      <c r="D11959">
        <f>HYPERLINK("https://www.youtube.com/watch?v=Hk3fgjHNQ2Q&amp;t=202s", "Go to time")</f>
        <v/>
      </c>
    </row>
    <row r="11960">
      <c r="A11960">
        <f>HYPERLINK("https://www.youtube.com/watch?v=Hk3fgjHNQ2Q", "Video")</f>
        <v/>
      </c>
      <c r="B11960" t="inlineStr">
        <is>
          <t>3:42</t>
        </is>
      </c>
      <c r="C11960" t="inlineStr">
        <is>
          <t>it's easy to explain Bohr's rule
for picking out the special orbits.</t>
        </is>
      </c>
      <c r="D11960">
        <f>HYPERLINK("https://www.youtube.com/watch?v=Hk3fgjHNQ2Q&amp;t=222s", "Go to time")</f>
        <v/>
      </c>
    </row>
    <row r="11961">
      <c r="A11961">
        <f>HYPERLINK("https://www.youtube.com/watch?v=eVRU5MVYNiw", "Video")</f>
        <v/>
      </c>
      <c r="B11961" t="inlineStr">
        <is>
          <t>1:04</t>
        </is>
      </c>
      <c r="C11961" t="inlineStr">
        <is>
          <t>something like ambition, tyranny,
stubbornness, or excess pride</t>
        </is>
      </c>
      <c r="D11961">
        <f>HYPERLINK("https://www.youtube.com/watch?v=eVRU5MVYNiw&amp;t=64s", "Go to time")</f>
        <v/>
      </c>
    </row>
    <row r="11962">
      <c r="A11962">
        <f>HYPERLINK("https://www.youtube.com/watch?v=eVRU5MVYNiw", "Video")</f>
        <v/>
      </c>
      <c r="B11962" t="inlineStr">
        <is>
          <t>3:00</t>
        </is>
      </c>
      <c r="C11962" t="inlineStr">
        <is>
          <t>and Macbeth's ambition 
catapults him to the top</t>
        </is>
      </c>
      <c r="D11962">
        <f>HYPERLINK("https://www.youtube.com/watch?v=eVRU5MVYNiw&amp;t=180s", "Go to time")</f>
        <v/>
      </c>
    </row>
    <row r="11963">
      <c r="A11963">
        <f>HYPERLINK("https://www.youtube.com/watch?v=kSBB5PsRV-k", "Video")</f>
        <v/>
      </c>
      <c r="B11963" t="inlineStr">
        <is>
          <t>2:23</t>
        </is>
      </c>
      <c r="C11963" t="inlineStr">
        <is>
          <t>When we descend a bit further,</t>
        </is>
      </c>
      <c r="D11963">
        <f>HYPERLINK("https://www.youtube.com/watch?v=kSBB5PsRV-k&amp;t=143s", "Go to time")</f>
        <v/>
      </c>
    </row>
    <row r="11964">
      <c r="A11964">
        <f>HYPERLINK("https://www.youtube.com/watch?v=Wn_eBrIDUuc", "Video")</f>
        <v/>
      </c>
      <c r="B11964" t="inlineStr">
        <is>
          <t>2:42</t>
        </is>
      </c>
      <c r="C11964" t="inlineStr">
        <is>
          <t>We form our spoken repertoire through
unconscious habits,</t>
        </is>
      </c>
      <c r="D11964">
        <f>HYPERLINK("https://www.youtube.com/watch?v=Wn_eBrIDUuc&amp;t=162s", "Go to time")</f>
        <v/>
      </c>
    </row>
    <row r="11965">
      <c r="A11965">
        <f>HYPERLINK("https://www.youtube.com/watch?v=Wn_eBrIDUuc", "Video")</f>
        <v/>
      </c>
      <c r="B11965" t="inlineStr">
        <is>
          <t>3:58</t>
        </is>
      </c>
      <c r="C11965" t="inlineStr">
        <is>
          <t>Ultimately, grammar is best thought of
as a set of linguistic habits</t>
        </is>
      </c>
      <c r="D11965">
        <f>HYPERLINK("https://www.youtube.com/watch?v=Wn_eBrIDUuc&amp;t=238s", "Go to time")</f>
        <v/>
      </c>
    </row>
    <row r="11966">
      <c r="A11966">
        <f>HYPERLINK("https://www.youtube.com/watch?v=A-oxDZ3AO74", "Video")</f>
        <v/>
      </c>
      <c r="B11966" t="inlineStr">
        <is>
          <t>3:22</t>
        </is>
      </c>
      <c r="C11966" t="inlineStr">
        <is>
          <t>and Sun Wukong’s old habits bubbled up.</t>
        </is>
      </c>
      <c r="D11966">
        <f>HYPERLINK("https://www.youtube.com/watch?v=A-oxDZ3AO74&amp;t=202s", "Go to time")</f>
        <v/>
      </c>
    </row>
    <row r="11967">
      <c r="A11967">
        <f>HYPERLINK("https://www.youtube.com/watch?v=LBALm7CeEG4", "Video")</f>
        <v/>
      </c>
      <c r="B11967" t="inlineStr">
        <is>
          <t>1:49</t>
        </is>
      </c>
      <c r="C11967" t="inlineStr">
        <is>
          <t>inhabited by souls tormented by love.</t>
        </is>
      </c>
      <c r="D11967">
        <f>HYPERLINK("https://www.youtube.com/watch?v=LBALm7CeEG4&amp;t=109s", "Go to time")</f>
        <v/>
      </c>
    </row>
    <row r="11968">
      <c r="A11968">
        <f>HYPERLINK("https://www.youtube.com/watch?v=Wb0UgdRFj2A", "Video")</f>
        <v/>
      </c>
      <c r="B11968" t="inlineStr">
        <is>
          <t>2:23</t>
        </is>
      </c>
      <c r="C11968" t="inlineStr">
        <is>
          <t>Through bitter snow and howling winds,
across rivers and mountains,</t>
        </is>
      </c>
      <c r="D11968">
        <f>HYPERLINK("https://www.youtube.com/watch?v=Wb0UgdRFj2A&amp;t=143s", "Go to time")</f>
        <v/>
      </c>
    </row>
    <row r="11969">
      <c r="A11969">
        <f>HYPERLINK("https://www.youtube.com/watch?v=xyQY8a-ng6g", "Video")</f>
        <v/>
      </c>
      <c r="B11969" t="inlineStr">
        <is>
          <t>4:27</t>
        </is>
      </c>
      <c r="C11969" t="inlineStr">
        <is>
          <t>When it comes to what you bite,
chew, and swallow,</t>
        </is>
      </c>
      <c r="D11969">
        <f>HYPERLINK("https://www.youtube.com/watch?v=xyQY8a-ng6g&amp;t=267s", "Go to time")</f>
        <v/>
      </c>
    </row>
    <row r="11970">
      <c r="A11970">
        <f>HYPERLINK("https://www.youtube.com/watch?v=257wV-AbKaE", "Video")</f>
        <v/>
      </c>
      <c r="B11970" t="inlineStr">
        <is>
          <t>3:16</t>
        </is>
      </c>
      <c r="C11970" t="inlineStr">
        <is>
          <t>with an exorbitant salary.</t>
        </is>
      </c>
      <c r="D11970">
        <f>HYPERLINK("https://www.youtube.com/watch?v=257wV-AbKaE&amp;t=196s", "Go to time")</f>
        <v/>
      </c>
    </row>
    <row r="11971">
      <c r="A11971">
        <f>HYPERLINK("https://www.youtube.com/watch?v=ZY5PtopO-LI", "Video")</f>
        <v/>
      </c>
      <c r="B11971" t="inlineStr">
        <is>
          <t>0:07</t>
        </is>
      </c>
      <c r="C11971" t="inlineStr">
        <is>
          <t>On December 19th, 1915,
an exhibition of radical artworks</t>
        </is>
      </c>
      <c r="D11971">
        <f>HYPERLINK("https://www.youtube.com/watch?v=ZY5PtopO-LI&amp;t=7s", "Go to time")</f>
        <v/>
      </c>
    </row>
    <row r="11972">
      <c r="A11972">
        <f>HYPERLINK("https://www.youtube.com/watch?v=WuyPuH9ojCE", "Video")</f>
        <v/>
      </c>
      <c r="B11972" t="inlineStr">
        <is>
          <t>1:41</t>
        </is>
      </c>
      <c r="C11972" t="inlineStr">
        <is>
          <t>The hippocampus also inhibits
the activity of the HPA axis,</t>
        </is>
      </c>
      <c r="D11972">
        <f>HYPERLINK("https://www.youtube.com/watch?v=WuyPuH9ojCE&amp;t=101s", "Go to time")</f>
        <v/>
      </c>
    </row>
    <row r="11973">
      <c r="A11973">
        <f>HYPERLINK("https://www.youtube.com/watch?v=kOVdiDUlNsg", "Video")</f>
        <v/>
      </c>
      <c r="B11973" t="inlineStr">
        <is>
          <t>4:33</t>
        </is>
      </c>
      <c r="C11973" t="inlineStr">
        <is>
          <t>all friendships can benefit
from building healthy habits.</t>
        </is>
      </c>
      <c r="D11973">
        <f>HYPERLINK("https://www.youtube.com/watch?v=kOVdiDUlNsg&amp;t=273s", "Go to time")</f>
        <v/>
      </c>
    </row>
    <row r="11974">
      <c r="A11974">
        <f>HYPERLINK("https://www.youtube.com/watch?v=uLNWhyNBvW4", "Video")</f>
        <v/>
      </c>
      <c r="B11974" t="inlineStr">
        <is>
          <t>1:04</t>
        </is>
      </c>
      <c r="C11974" t="inlineStr">
        <is>
          <t>Paka’a watched bitterly as he was stripped
of his land and privileges.</t>
        </is>
      </c>
      <c r="D11974">
        <f>HYPERLINK("https://www.youtube.com/watch?v=uLNWhyNBvW4&amp;t=64s", "Go to time")</f>
        <v/>
      </c>
    </row>
    <row r="11975">
      <c r="A11975">
        <f>HYPERLINK("https://www.youtube.com/watch?v=YbCEWSip9pQ", "Video")</f>
        <v/>
      </c>
      <c r="B11975" t="inlineStr">
        <is>
          <t>3:07</t>
        </is>
      </c>
      <c r="C11975" t="inlineStr">
        <is>
          <t>Dante ensured the widest possible audience
for his biting political commentary.</t>
        </is>
      </c>
      <c r="D11975">
        <f>HYPERLINK("https://www.youtube.com/watch?v=YbCEWSip9pQ&amp;t=187s", "Go to time")</f>
        <v/>
      </c>
    </row>
    <row r="11976">
      <c r="A11976">
        <f>HYPERLINK("https://www.youtube.com/watch?v=yhYU4ZbLmmk", "Video")</f>
        <v/>
      </c>
      <c r="B11976" t="inlineStr">
        <is>
          <t>1:57</t>
        </is>
      </c>
      <c r="C11976" t="inlineStr">
        <is>
          <t>a dangerous and inhospitable world 
whose native inhabitants</t>
        </is>
      </c>
      <c r="D11976">
        <f>HYPERLINK("https://www.youtube.com/watch?v=yhYU4ZbLmmk&amp;t=117s", "Go to time")</f>
        <v/>
      </c>
    </row>
    <row r="11977">
      <c r="A11977">
        <f>HYPERLINK("https://www.youtube.com/watch?v=R3tbVHlsKhs", "Video")</f>
        <v/>
      </c>
      <c r="B11977" t="inlineStr">
        <is>
          <t>1:14</t>
        </is>
      </c>
      <c r="C11977" t="inlineStr">
        <is>
          <t>or orbiting a supermassive black hole.</t>
        </is>
      </c>
      <c r="D11977">
        <f>HYPERLINK("https://www.youtube.com/watch?v=R3tbVHlsKhs&amp;t=74s", "Go to time")</f>
        <v/>
      </c>
    </row>
    <row r="11978">
      <c r="A11978">
        <f>HYPERLINK("https://www.youtube.com/watch?v=_cj8AtODiHc", "Video")</f>
        <v/>
      </c>
      <c r="B11978" t="inlineStr">
        <is>
          <t>1:05</t>
        </is>
      </c>
      <c r="C11978" t="inlineStr">
        <is>
          <t>After a fish bites a fisherman's hook
and is quickly reeled up to the surface,</t>
        </is>
      </c>
      <c r="D11978">
        <f>HYPERLINK("https://www.youtube.com/watch?v=_cj8AtODiHc&amp;t=65s", "Go to time")</f>
        <v/>
      </c>
    </row>
    <row r="11979">
      <c r="A11979">
        <f>HYPERLINK("https://www.youtube.com/watch?v=_cj8AtODiHc", "Video")</f>
        <v/>
      </c>
      <c r="B11979" t="inlineStr">
        <is>
          <t>3:19</t>
        </is>
      </c>
      <c r="C11979" t="inlineStr">
        <is>
          <t>To return a fish properly to its habitat,</t>
        </is>
      </c>
      <c r="D11979">
        <f>HYPERLINK("https://www.youtube.com/watch?v=_cj8AtODiHc&amp;t=199s", "Go to time")</f>
        <v/>
      </c>
    </row>
    <row r="11980">
      <c r="A11980">
        <f>HYPERLINK("https://www.youtube.com/watch?v=s9e6b-csA1Y", "Video")</f>
        <v/>
      </c>
      <c r="B11980" t="inlineStr">
        <is>
          <t>2:54</t>
        </is>
      </c>
      <c r="C11980" t="inlineStr">
        <is>
          <t>they shouldn't do don't hit don't bite</t>
        </is>
      </c>
      <c r="D11980">
        <f>HYPERLINK("https://www.youtube.com/watch?v=s9e6b-csA1Y&amp;t=174s", "Go to time")</f>
        <v/>
      </c>
    </row>
    <row r="11981">
      <c r="A11981">
        <f>HYPERLINK("https://www.youtube.com/watch?v=s9e6b-csA1Y", "Video")</f>
        <v/>
      </c>
      <c r="B11981" t="inlineStr">
        <is>
          <t>4:29</t>
        </is>
      </c>
      <c r="C11981" t="inlineStr">
        <is>
          <t>it's probably why I'm a little bit</t>
        </is>
      </c>
      <c r="D11981">
        <f>HYPERLINK("https://www.youtube.com/watch?v=s9e6b-csA1Y&amp;t=269s", "Go to time")</f>
        <v/>
      </c>
    </row>
    <row r="11982">
      <c r="A11982">
        <f>HYPERLINK("https://www.youtube.com/watch?v=s9e6b-csA1Y", "Video")</f>
        <v/>
      </c>
      <c r="B11982" t="inlineStr">
        <is>
          <t>8:08</t>
        </is>
      </c>
      <c r="C11982" t="inlineStr">
        <is>
          <t>arbitrage when I was about 10 years old</t>
        </is>
      </c>
      <c r="D11982">
        <f>HYPERLINK("https://www.youtube.com/watch?v=s9e6b-csA1Y&amp;t=488s", "Go to time")</f>
        <v/>
      </c>
    </row>
    <row r="11983">
      <c r="A11983">
        <f>HYPERLINK("https://www.youtube.com/watch?v=s9e6b-csA1Y", "Video")</f>
        <v/>
      </c>
      <c r="B11983" t="inlineStr">
        <is>
          <t>13:33</t>
        </is>
      </c>
      <c r="C11983" t="inlineStr">
        <is>
          <t>allowances teach kids the wrong habits</t>
        </is>
      </c>
      <c r="D11983">
        <f>HYPERLINK("https://www.youtube.com/watch?v=s9e6b-csA1Y&amp;t=813s", "Go to time")</f>
        <v/>
      </c>
    </row>
    <row r="11984">
      <c r="A11984">
        <f>HYPERLINK("https://www.youtube.com/watch?v=s9e6b-csA1Y", "Video")</f>
        <v/>
      </c>
      <c r="B11984" t="inlineStr">
        <is>
          <t>14:34</t>
        </is>
      </c>
      <c r="C11984" t="inlineStr">
        <is>
          <t>to force that savings habit it drives me</t>
        </is>
      </c>
      <c r="D11984">
        <f>HYPERLINK("https://www.youtube.com/watch?v=s9e6b-csA1Y&amp;t=874s", "Go to time")</f>
        <v/>
      </c>
    </row>
    <row r="11985">
      <c r="A11985">
        <f>HYPERLINK("https://www.youtube.com/watch?v=s9e6b-csA1Y", "Video")</f>
        <v/>
      </c>
      <c r="B11985" t="inlineStr">
        <is>
          <t>14:43</t>
        </is>
      </c>
      <c r="C11985" t="inlineStr">
        <is>
          <t>teach those habits to young kids when</t>
        </is>
      </c>
      <c r="D11985">
        <f>HYPERLINK("https://www.youtube.com/watch?v=s9e6b-csA1Y&amp;t=883s", "Go to time")</f>
        <v/>
      </c>
    </row>
    <row r="11986">
      <c r="A11986">
        <f>HYPERLINK("https://www.youtube.com/watch?v=lmf6bWl-Hco", "Video")</f>
        <v/>
      </c>
      <c r="B11986" t="inlineStr">
        <is>
          <t>0:56</t>
        </is>
      </c>
      <c r="C11986" t="inlineStr">
        <is>
          <t>He doesn’t think the federal government
can prohibit slavery</t>
        </is>
      </c>
      <c r="D11986">
        <f>HYPERLINK("https://www.youtube.com/watch?v=lmf6bWl-Hco&amp;t=56s", "Go to time")</f>
        <v/>
      </c>
    </row>
    <row r="11987">
      <c r="A11987">
        <f>HYPERLINK("https://www.youtube.com/watch?v=lmf6bWl-Hco", "Video")</f>
        <v/>
      </c>
      <c r="B11987" t="inlineStr">
        <is>
          <t>1:10</t>
        </is>
      </c>
      <c r="C11987" t="inlineStr">
        <is>
          <t>Slavery will be allowed in Missouri
and prohibited in Maine.</t>
        </is>
      </c>
      <c r="D11987">
        <f>HYPERLINK("https://www.youtube.com/watch?v=lmf6bWl-Hco&amp;t=70s", "Go to time")</f>
        <v/>
      </c>
    </row>
    <row r="11988">
      <c r="A11988">
        <f>HYPERLINK("https://www.youtube.com/watch?v=lmf6bWl-Hco", "Video")</f>
        <v/>
      </c>
      <c r="B11988" t="inlineStr">
        <is>
          <t>1:18</t>
        </is>
      </c>
      <c r="C11988" t="inlineStr">
        <is>
          <t>slavery will be prohibited north 
of the line, and allowed south of it.”</t>
        </is>
      </c>
      <c r="D11988">
        <f>HYPERLINK("https://www.youtube.com/watch?v=lmf6bWl-Hco&amp;t=78s", "Go to time")</f>
        <v/>
      </c>
    </row>
    <row r="11989">
      <c r="A11989">
        <f>HYPERLINK("https://www.youtube.com/watch?v=lmf6bWl-Hco", "Video")</f>
        <v/>
      </c>
      <c r="B11989" t="inlineStr">
        <is>
          <t>1:58</t>
        </is>
      </c>
      <c r="C11989" t="inlineStr">
        <is>
          <t>while half prohibit it,</t>
        </is>
      </c>
      <c r="D11989">
        <f>HYPERLINK("https://www.youtube.com/watch?v=lmf6bWl-Hco&amp;t=118s", "Go to time")</f>
        <v/>
      </c>
    </row>
    <row r="11990">
      <c r="A11990">
        <f>HYPERLINK("https://www.youtube.com/watch?v=lmf6bWl-Hco", "Video")</f>
        <v/>
      </c>
      <c r="B11990" t="inlineStr">
        <is>
          <t>3:59</t>
        </is>
      </c>
      <c r="C11990" t="inlineStr">
        <is>
          <t>but to prohibit its expansion 
into new territories and states.”</t>
        </is>
      </c>
      <c r="D11990">
        <f>HYPERLINK("https://www.youtube.com/watch?v=lmf6bWl-Hco&amp;t=239s", "Go to time")</f>
        <v/>
      </c>
    </row>
    <row r="11991">
      <c r="A11991">
        <f>HYPERLINK("https://www.youtube.com/watch?v=HQhmsDkZhQA", "Video")</f>
        <v/>
      </c>
      <c r="B11991" t="inlineStr">
        <is>
          <t>0:37</t>
        </is>
      </c>
      <c r="C11991" t="inlineStr">
        <is>
          <t>of astronauts and equipment into orbit</t>
        </is>
      </c>
      <c r="D11991">
        <f>HYPERLINK("https://www.youtube.com/watch?v=HQhmsDkZhQA&amp;t=37s", "Go to time")</f>
        <v/>
      </c>
    </row>
    <row r="11992">
      <c r="A11992">
        <f>HYPERLINK("https://www.youtube.com/watch?v=HQhmsDkZhQA", "Video")</f>
        <v/>
      </c>
      <c r="B11992" t="inlineStr">
        <is>
          <t>0:47</t>
        </is>
      </c>
      <c r="C11992" t="inlineStr">
        <is>
          <t>every kilogram of cargo costs
roughly $7,500 to carry into orbit.</t>
        </is>
      </c>
      <c r="D11992">
        <f>HYPERLINK("https://www.youtube.com/watch?v=HQhmsDkZhQA&amp;t=47s", "Go to time")</f>
        <v/>
      </c>
    </row>
    <row r="11993">
      <c r="A11993">
        <f>HYPERLINK("https://www.youtube.com/watch?v=HQhmsDkZhQA", "Video")</f>
        <v/>
      </c>
      <c r="B11993" t="inlineStr">
        <is>
          <t>2:30</t>
        </is>
      </c>
      <c r="C11993" t="inlineStr">
        <is>
          <t>Objects at this specific distance
are in geostationary orbit,</t>
        </is>
      </c>
      <c r="D11993">
        <f>HYPERLINK("https://www.youtube.com/watch?v=HQhmsDkZhQA&amp;t=150s", "Go to time")</f>
        <v/>
      </c>
    </row>
    <row r="11994">
      <c r="A11994">
        <f>HYPERLINK("https://www.youtube.com/watch?v=HQhmsDkZhQA", "Video")</f>
        <v/>
      </c>
      <c r="B11994" t="inlineStr">
        <is>
          <t>3:19</t>
        </is>
      </c>
      <c r="C11994" t="inlineStr">
        <is>
          <t>which would pull packages
along the cable and into orbit.</t>
        </is>
      </c>
      <c r="D11994">
        <f>HYPERLINK("https://www.youtube.com/watch?v=HQhmsDkZhQA&amp;t=199s", "Go to time")</f>
        <v/>
      </c>
    </row>
    <row r="11995">
      <c r="A11995">
        <f>HYPERLINK("https://www.youtube.com/watch?v=HQhmsDkZhQA", "Video")</f>
        <v/>
      </c>
      <c r="B11995" t="inlineStr">
        <is>
          <t>3:35</t>
        </is>
      </c>
      <c r="C11995" t="inlineStr">
        <is>
          <t>to elevate an object
into geostationary orbit.</t>
        </is>
      </c>
      <c r="D11995">
        <f>HYPERLINK("https://www.youtube.com/watch?v=HQhmsDkZhQA&amp;t=215s", "Go to time")</f>
        <v/>
      </c>
    </row>
    <row r="11996">
      <c r="A11996">
        <f>HYPERLINK("https://www.youtube.com/watch?v=3drtbPZF9yc", "Video")</f>
        <v/>
      </c>
      <c r="B11996" t="inlineStr">
        <is>
          <t>0:56</t>
        </is>
      </c>
      <c r="C11996" t="inlineStr">
        <is>
          <t>Okay, that sounds a bit abstract, so let's unpack it.</t>
        </is>
      </c>
      <c r="D11996">
        <f>HYPERLINK("https://www.youtube.com/watch?v=3drtbPZF9yc&amp;t=56s", "Go to time")</f>
        <v/>
      </c>
    </row>
    <row r="11997">
      <c r="A11997">
        <f>HYPERLINK("https://www.youtube.com/watch?v=3drtbPZF9yc", "Video")</f>
        <v/>
      </c>
      <c r="B11997" t="inlineStr">
        <is>
          <t>3:10</t>
        </is>
      </c>
      <c r="C11997" t="inlineStr">
        <is>
          <t>But why do organisms exhibit these different symmetries?</t>
        </is>
      </c>
      <c r="D11997">
        <f>HYPERLINK("https://www.youtube.com/watch?v=3drtbPZF9yc&amp;t=190s", "Go to time")</f>
        <v/>
      </c>
    </row>
    <row r="11998">
      <c r="A11998">
        <f>HYPERLINK("https://www.youtube.com/watch?v=3drtbPZF9yc", "Video")</f>
        <v/>
      </c>
      <c r="B11998" t="inlineStr">
        <is>
          <t>4:31</t>
        </is>
      </c>
      <c r="C11998" t="inlineStr">
        <is>
          <t>or other animals that don't exhibit bilateral symmetry</t>
        </is>
      </c>
      <c r="D11998">
        <f>HYPERLINK("https://www.youtube.com/watch?v=3drtbPZF9yc&amp;t=271s", "Go to time")</f>
        <v/>
      </c>
    </row>
    <row r="11999">
      <c r="A11999">
        <f>HYPERLINK("https://www.youtube.com/watch?v=bZW_B9CC-gI", "Video")</f>
        <v/>
      </c>
      <c r="B11999" t="inlineStr">
        <is>
          <t>2:00</t>
        </is>
      </c>
      <c r="C11999" t="inlineStr">
        <is>
          <t>stars in circular orbits in the Galaxy</t>
        </is>
      </c>
      <c r="D11999">
        <f>HYPERLINK("https://www.youtube.com/watch?v=bZW_B9CC-gI&amp;t=120s", "Go to time")</f>
        <v/>
      </c>
    </row>
    <row r="12000">
      <c r="A12000">
        <f>HYPERLINK("https://www.youtube.com/watch?v=bZW_B9CC-gI", "Video")</f>
        <v/>
      </c>
      <c r="B12000" t="inlineStr">
        <is>
          <t>2:21</t>
        </is>
      </c>
      <c r="C12000" t="inlineStr">
        <is>
          <t>measured the orbital speed of the stars</t>
        </is>
      </c>
      <c r="D12000">
        <f>HYPERLINK("https://www.youtube.com/watch?v=bZW_B9CC-gI&amp;t=141s", "Go to time")</f>
        <v/>
      </c>
    </row>
    <row r="12001">
      <c r="A12001">
        <f>HYPERLINK("https://www.youtube.com/watch?v=bZW_B9CC-gI", "Video")</f>
        <v/>
      </c>
      <c r="B12001" t="inlineStr">
        <is>
          <t>3:48</t>
        </is>
      </c>
      <c r="C12001" t="inlineStr">
        <is>
          <t>these galaxies the their orbital</t>
        </is>
      </c>
      <c r="D12001">
        <f>HYPERLINK("https://www.youtube.com/watch?v=bZW_B9CC-gI&amp;t=228s", "Go to time")</f>
        <v/>
      </c>
    </row>
    <row r="12002">
      <c r="A12002">
        <f>HYPERLINK("https://www.youtube.com/watch?v=bZW_B9CC-gI", "Video")</f>
        <v/>
      </c>
      <c r="B12002" t="inlineStr">
        <is>
          <t>4:21</t>
        </is>
      </c>
      <c r="C12002" t="inlineStr">
        <is>
          <t>little bit more directly I'm just</t>
        </is>
      </c>
      <c r="D12002">
        <f>HYPERLINK("https://www.youtube.com/watch?v=bZW_B9CC-gI&amp;t=261s", "Go to time")</f>
        <v/>
      </c>
    </row>
    <row r="12003">
      <c r="A12003">
        <f>HYPERLINK("https://www.youtube.com/watch?v=bZW_B9CC-gI", "Video")</f>
        <v/>
      </c>
      <c r="B12003" t="inlineStr">
        <is>
          <t>9:09</t>
        </is>
      </c>
      <c r="C12003" t="inlineStr">
        <is>
          <t>orbit in galaxies is much too large it</t>
        </is>
      </c>
      <c r="D12003">
        <f>HYPERLINK("https://www.youtube.com/watch?v=bZW_B9CC-gI&amp;t=549s", "Go to time")</f>
        <v/>
      </c>
    </row>
    <row r="12004">
      <c r="A12004">
        <f>HYPERLINK("https://www.youtube.com/watch?v=bZW_B9CC-gI", "Video")</f>
        <v/>
      </c>
      <c r="B12004" t="inlineStr">
        <is>
          <t>9:15</t>
        </is>
      </c>
      <c r="C12004" t="inlineStr">
        <is>
          <t>clusters are orbiting is much too large</t>
        </is>
      </c>
      <c r="D12004">
        <f>HYPERLINK("https://www.youtube.com/watch?v=bZW_B9CC-gI&amp;t=555s", "Go to time")</f>
        <v/>
      </c>
    </row>
    <row r="12005">
      <c r="A12005">
        <f>HYPERLINK("https://www.youtube.com/watch?v=j43wzuciAkk", "Video")</f>
        <v/>
      </c>
      <c r="B12005" t="inlineStr">
        <is>
          <t>2:44</t>
        </is>
      </c>
      <c r="C12005" t="inlineStr">
        <is>
          <t>swimming alongside her, 
and occasionally biting her tail.</t>
        </is>
      </c>
      <c r="D12005">
        <f>HYPERLINK("https://www.youtube.com/watch?v=j43wzuciAkk&amp;t=164s", "Go to time")</f>
        <v/>
      </c>
    </row>
    <row r="12006">
      <c r="A12006">
        <f>HYPERLINK("https://www.youtube.com/watch?v=jxPtx0cQvqo", "Video")</f>
        <v/>
      </c>
      <c r="B12006" t="inlineStr">
        <is>
          <t>0:24</t>
        </is>
      </c>
      <c r="C12006" t="inlineStr">
        <is>
          <t>but I’ll get to that in a bit.</t>
        </is>
      </c>
      <c r="D12006">
        <f>HYPERLINK("https://www.youtube.com/watch?v=jxPtx0cQvqo&amp;t=24s", "Go to time")</f>
        <v/>
      </c>
    </row>
    <row r="12007">
      <c r="A12007">
        <f>HYPERLINK("https://www.youtube.com/watch?v=jxPtx0cQvqo", "Video")</f>
        <v/>
      </c>
      <c r="B12007" t="inlineStr">
        <is>
          <t>1:55</t>
        </is>
      </c>
      <c r="C12007" t="inlineStr">
        <is>
          <t>little bits of their DNA stories
that are spelt differently.</t>
        </is>
      </c>
      <c r="D12007">
        <f>HYPERLINK("https://www.youtube.com/watch?v=jxPtx0cQvqo&amp;t=115s", "Go to time")</f>
        <v/>
      </c>
    </row>
    <row r="12008">
      <c r="A12008">
        <f>HYPERLINK("https://www.youtube.com/watch?v=jxPtx0cQvqo", "Video")</f>
        <v/>
      </c>
      <c r="B12008" t="inlineStr">
        <is>
          <t>3:14</t>
        </is>
      </c>
      <c r="C12008" t="inlineStr">
        <is>
          <t>for those disease-causing bits of DNA
to target new drugs against,</t>
        </is>
      </c>
      <c r="D12008">
        <f>HYPERLINK("https://www.youtube.com/watch?v=jxPtx0cQvqo&amp;t=194s", "Go to time")</f>
        <v/>
      </c>
    </row>
    <row r="12009">
      <c r="A12009">
        <f>HYPERLINK("https://www.youtube.com/watch?v=jxPtx0cQvqo", "Video")</f>
        <v/>
      </c>
      <c r="B12009" t="inlineStr">
        <is>
          <t>3:22</t>
        </is>
      </c>
      <c r="C12009" t="inlineStr">
        <is>
          <t>you might completely overlook 
key bits in the stories</t>
        </is>
      </c>
      <c r="D12009">
        <f>HYPERLINK("https://www.youtube.com/watch?v=jxPtx0cQvqo&amp;t=202s", "Go to time")</f>
        <v/>
      </c>
    </row>
    <row r="12010">
      <c r="A12010">
        <f>HYPERLINK("https://www.youtube.com/watch?v=Xj5nH5JtJAQ", "Video")</f>
        <v/>
      </c>
      <c r="B12010" t="inlineStr">
        <is>
          <t>0:16</t>
        </is>
      </c>
      <c r="C12010" t="inlineStr">
        <is>
          <t>the last herds struggling 
in meager habitats</t>
        </is>
      </c>
      <c r="D12010">
        <f>HYPERLINK("https://www.youtube.com/watch?v=Xj5nH5JtJAQ&amp;t=16s", "Go to time")</f>
        <v/>
      </c>
    </row>
    <row r="12011">
      <c r="A12011">
        <f>HYPERLINK("https://www.youtube.com/watch?v=Xj5nH5JtJAQ", "Video")</f>
        <v/>
      </c>
      <c r="B12011" t="inlineStr">
        <is>
          <t>0:46</t>
        </is>
      </c>
      <c r="C12011" t="inlineStr">
        <is>
          <t>back into their native habitat.</t>
        </is>
      </c>
      <c r="D12011">
        <f>HYPERLINK("https://www.youtube.com/watch?v=Xj5nH5JtJAQ&amp;t=46s", "Go to time")</f>
        <v/>
      </c>
    </row>
    <row r="12012">
      <c r="A12012">
        <f>HYPERLINK("https://www.youtube.com/watch?v=Xj5nH5JtJAQ", "Video")</f>
        <v/>
      </c>
      <c r="B12012" t="inlineStr">
        <is>
          <t>1:48</t>
        </is>
      </c>
      <c r="C12012" t="inlineStr">
        <is>
          <t>and their exhibitions were more concerned
with entertainment than animal welfare.</t>
        </is>
      </c>
      <c r="D12012">
        <f>HYPERLINK("https://www.youtube.com/watch?v=Xj5nH5JtJAQ&amp;t=108s", "Go to time")</f>
        <v/>
      </c>
    </row>
    <row r="12013">
      <c r="A12013">
        <f>HYPERLINK("https://www.youtube.com/watch?v=Xj5nH5JtJAQ", "Video")</f>
        <v/>
      </c>
      <c r="B12013" t="inlineStr">
        <is>
          <t>3:11</t>
        </is>
      </c>
      <c r="C12013" t="inlineStr">
        <is>
          <t>Of course, in their native habitat,</t>
        </is>
      </c>
      <c r="D12013">
        <f>HYPERLINK("https://www.youtube.com/watch?v=Xj5nH5JtJAQ&amp;t=191s", "Go to time")</f>
        <v/>
      </c>
    </row>
    <row r="12014">
      <c r="A12014">
        <f>HYPERLINK("https://www.youtube.com/watch?v=Xj5nH5JtJAQ", "Video")</f>
        <v/>
      </c>
      <c r="B12014" t="inlineStr">
        <is>
          <t>4:16</t>
        </is>
      </c>
      <c r="C12014" t="inlineStr">
        <is>
          <t>are humanity’s impacts on animal habitats
and Earth’s climate.</t>
        </is>
      </c>
      <c r="D12014">
        <f>HYPERLINK("https://www.youtube.com/watch?v=Xj5nH5JtJAQ&amp;t=256s", "Go to time")</f>
        <v/>
      </c>
    </row>
    <row r="12015">
      <c r="A12015">
        <f>HYPERLINK("https://www.youtube.com/watch?v=Xj5nH5JtJAQ", "Video")</f>
        <v/>
      </c>
      <c r="B12015" t="inlineStr">
        <is>
          <t>4:28</t>
        </is>
      </c>
      <c r="C12015" t="inlineStr">
        <is>
          <t>to preserving the natural habitats
these animals so desperately need.</t>
        </is>
      </c>
      <c r="D12015">
        <f>HYPERLINK("https://www.youtube.com/watch?v=Xj5nH5JtJAQ&amp;t=268s", "Go to time")</f>
        <v/>
      </c>
    </row>
    <row r="12016">
      <c r="A12016">
        <f>HYPERLINK("https://www.youtube.com/watch?v=de1hiS_XjWg", "Video")</f>
        <v/>
      </c>
      <c r="B12016" t="inlineStr">
        <is>
          <t>0:27</t>
        </is>
      </c>
      <c r="C12016" t="inlineStr">
        <is>
          <t>that have inhabited our planet since.</t>
        </is>
      </c>
      <c r="D12016">
        <f>HYPERLINK("https://www.youtube.com/watch?v=de1hiS_XjWg&amp;t=27s", "Go to time")</f>
        <v/>
      </c>
    </row>
    <row r="12017">
      <c r="A12017">
        <f>HYPERLINK("https://www.youtube.com/watch?v=B5vEfuLS2Qc", "Video")</f>
        <v/>
      </c>
      <c r="B12017" t="inlineStr">
        <is>
          <t>2:34</t>
        </is>
      </c>
      <c r="C12017" t="inlineStr">
        <is>
          <t>a third person narrator is necessarily
a bit removed from the characters.</t>
        </is>
      </c>
      <c r="D12017">
        <f>HYPERLINK("https://www.youtube.com/watch?v=B5vEfuLS2Qc&amp;t=154s", "Go to time")</f>
        <v/>
      </c>
    </row>
    <row r="12018">
      <c r="A12018">
        <f>HYPERLINK("https://www.youtube.com/watch?v=B5vEfuLS2Qc", "Video")</f>
        <v/>
      </c>
      <c r="B12018" t="inlineStr">
        <is>
          <t>3:41</t>
        </is>
      </c>
      <c r="C12018" t="inlineStr">
        <is>
          <t>he inhabits.</t>
        </is>
      </c>
      <c r="D12018">
        <f>HYPERLINK("https://www.youtube.com/watch?v=B5vEfuLS2Qc&amp;t=221s", "Go to time")</f>
        <v/>
      </c>
    </row>
    <row r="12019">
      <c r="A12019">
        <f>HYPERLINK("https://www.youtube.com/watch?v=qD0_yWgifDM", "Video")</f>
        <v/>
      </c>
      <c r="B12019" t="inlineStr">
        <is>
          <t>0:18</t>
        </is>
      </c>
      <c r="C12019" t="inlineStr">
        <is>
          <t>Let's back up a bit.</t>
        </is>
      </c>
      <c r="D12019">
        <f>HYPERLINK("https://www.youtube.com/watch?v=qD0_yWgifDM&amp;t=18s", "Go to time")</f>
        <v/>
      </c>
    </row>
    <row r="12020">
      <c r="A12020">
        <f>HYPERLINK("https://www.youtube.com/watch?v=qD0_yWgifDM", "Video")</f>
        <v/>
      </c>
      <c r="B12020" t="inlineStr">
        <is>
          <t>2:53</t>
        </is>
      </c>
      <c r="C12020" t="inlineStr">
        <is>
          <t>is still a bit of a mystery.</t>
        </is>
      </c>
      <c r="D12020">
        <f>HYPERLINK("https://www.youtube.com/watch?v=qD0_yWgifDM&amp;t=173s", "Go to time")</f>
        <v/>
      </c>
    </row>
    <row r="12021">
      <c r="A12021">
        <f>HYPERLINK("https://www.youtube.com/watch?v=qD0_yWgifDM", "Video")</f>
        <v/>
      </c>
      <c r="B12021" t="inlineStr">
        <is>
          <t>3:13</t>
        </is>
      </c>
      <c r="C12021" t="inlineStr">
        <is>
          <t>And if you're thinking about training a bit,</t>
        </is>
      </c>
      <c r="D12021">
        <f>HYPERLINK("https://www.youtube.com/watch?v=qD0_yWgifDM&amp;t=193s", "Go to time")</f>
        <v/>
      </c>
    </row>
    <row r="12022">
      <c r="A12022">
        <f>HYPERLINK("https://www.youtube.com/watch?v=SOplWvrjnS4", "Video")</f>
        <v/>
      </c>
      <c r="B12022" t="inlineStr">
        <is>
          <t>1:35</t>
        </is>
      </c>
      <c r="C12022" t="inlineStr">
        <is>
          <t>and so the really cool bit is the idea</t>
        </is>
      </c>
      <c r="D12022">
        <f>HYPERLINK("https://www.youtube.com/watch?v=SOplWvrjnS4&amp;t=95s", "Go to time")</f>
        <v/>
      </c>
    </row>
    <row r="12023">
      <c r="A12023">
        <f>HYPERLINK("https://www.youtube.com/watch?v=SOplWvrjnS4", "Video")</f>
        <v/>
      </c>
      <c r="B12023" t="inlineStr">
        <is>
          <t>2:35</t>
        </is>
      </c>
      <c r="C12023" t="inlineStr">
        <is>
          <t>perhaps for me the cool bit going into</t>
        </is>
      </c>
      <c r="D12023">
        <f>HYPERLINK("https://www.youtube.com/watch?v=SOplWvrjnS4&amp;t=155s", "Go to time")</f>
        <v/>
      </c>
    </row>
    <row r="12024">
      <c r="A12024">
        <f>HYPERLINK("https://www.youtube.com/watch?v=H5zin8jKeT0", "Video")</f>
        <v/>
      </c>
      <c r="B12024" t="inlineStr">
        <is>
          <t>4:03</t>
        </is>
      </c>
      <c r="C12024" t="inlineStr">
        <is>
          <t>We can also take on certain habits</t>
        </is>
      </c>
      <c r="D12024">
        <f>HYPERLINK("https://www.youtube.com/watch?v=H5zin8jKeT0&amp;t=243s", "Go to time")</f>
        <v/>
      </c>
    </row>
    <row r="12025">
      <c r="A12025">
        <f>HYPERLINK("https://www.youtube.com/watch?v=DFgpr5LlDVA", "Video")</f>
        <v/>
      </c>
      <c r="B12025" t="inlineStr">
        <is>
          <t>1:30</t>
        </is>
      </c>
      <c r="C12025" t="inlineStr">
        <is>
          <t>ambitions and their unsatisfied reality.</t>
        </is>
      </c>
      <c r="D12025">
        <f>HYPERLINK("https://www.youtube.com/watch?v=DFgpr5LlDVA&amp;t=90s", "Go to time")</f>
        <v/>
      </c>
    </row>
    <row r="12026">
      <c r="A12026">
        <f>HYPERLINK("https://www.youtube.com/watch?v=3viZhIumUNo", "Video")</f>
        <v/>
      </c>
      <c r="B12026" t="inlineStr">
        <is>
          <t>2:54</t>
        </is>
      </c>
      <c r="C12026" t="inlineStr">
        <is>
          <t>for being a habitable planet.</t>
        </is>
      </c>
      <c r="D12026">
        <f>HYPERLINK("https://www.youtube.com/watch?v=3viZhIumUNo&amp;t=174s", "Go to time")</f>
        <v/>
      </c>
    </row>
    <row r="12027">
      <c r="A12027">
        <f>HYPERLINK("https://www.youtube.com/watch?v=3viZhIumUNo", "Video")</f>
        <v/>
      </c>
      <c r="B12027" t="inlineStr">
        <is>
          <t>2:59</t>
        </is>
      </c>
      <c r="C12027" t="inlineStr">
        <is>
          <t>planets like Venus have atmospheres 
but lack other criteria for habitability.</t>
        </is>
      </c>
      <c r="D12027">
        <f>HYPERLINK("https://www.youtube.com/watch?v=3viZhIumUNo&amp;t=179s", "Go to time")</f>
        <v/>
      </c>
    </row>
    <row r="12028">
      <c r="A12028">
        <f>HYPERLINK("https://www.youtube.com/watch?v=3viZhIumUNo", "Video")</f>
        <v/>
      </c>
      <c r="B12028" t="inlineStr">
        <is>
          <t>4:02</t>
        </is>
      </c>
      <c r="C12028" t="inlineStr">
        <is>
          <t>In the original problem,
the rules seemed more arbitrary,</t>
        </is>
      </c>
      <c r="D12028">
        <f>HYPERLINK("https://www.youtube.com/watch?v=3viZhIumUNo&amp;t=242s", "Go to time")</f>
        <v/>
      </c>
    </row>
    <row r="12029">
      <c r="A12029">
        <f>HYPERLINK("https://www.youtube.com/watch?v=1EYUhpimyxc", "Video")</f>
        <v/>
      </c>
      <c r="B12029" t="inlineStr">
        <is>
          <t>4:29</t>
        </is>
      </c>
      <c r="C12029" t="inlineStr">
        <is>
          <t>while losing their habitats
to deforestation,</t>
        </is>
      </c>
      <c r="D12029">
        <f>HYPERLINK("https://www.youtube.com/watch?v=1EYUhpimyxc&amp;t=269s", "Go to time")</f>
        <v/>
      </c>
    </row>
    <row r="12030">
      <c r="A12030">
        <f>HYPERLINK("https://www.youtube.com/watch?v=7bUVjJWA6Vw", "Video")</f>
        <v/>
      </c>
      <c r="B12030" t="inlineStr">
        <is>
          <t>0:08</t>
        </is>
      </c>
      <c r="C12030" t="inlineStr">
        <is>
          <t>have to do with the time NASA accidentally
crashed a $200 million orbiter</t>
        </is>
      </c>
      <c r="D12030">
        <f>HYPERLINK("https://www.youtube.com/watch?v=7bUVjJWA6Vw&amp;t=8s", "Go to time")</f>
        <v/>
      </c>
    </row>
    <row r="12031">
      <c r="A12031">
        <f>HYPERLINK("https://www.youtube.com/watch?v=7bUVjJWA6Vw", "Video")</f>
        <v/>
      </c>
      <c r="B12031" t="inlineStr">
        <is>
          <t>1:32</t>
        </is>
      </c>
      <c r="C12031" t="inlineStr">
        <is>
          <t>Old standards based on arbitrary authority
or local traditions</t>
        </is>
      </c>
      <c r="D12031">
        <f>HYPERLINK("https://www.youtube.com/watch?v=7bUVjJWA6Vw&amp;t=92s", "Go to time")</f>
        <v/>
      </c>
    </row>
    <row r="12032">
      <c r="A12032">
        <f>HYPERLINK("https://www.youtube.com/watch?v=7bUVjJWA6Vw", "Video")</f>
        <v/>
      </c>
      <c r="B12032" t="inlineStr">
        <is>
          <t>2:22</t>
        </is>
      </c>
      <c r="C12032" t="inlineStr">
        <is>
          <t>In fact, it was a bit of a mess.</t>
        </is>
      </c>
      <c r="D12032">
        <f>HYPERLINK("https://www.youtube.com/watch?v=7bUVjJWA6Vw&amp;t=142s", "Go to time")</f>
        <v/>
      </c>
    </row>
    <row r="12033">
      <c r="A12033">
        <f>HYPERLINK("https://www.youtube.com/watch?v=wFt_VGG0kJU", "Video")</f>
        <v/>
      </c>
      <c r="B12033" t="inlineStr">
        <is>
          <t>3:07</t>
        </is>
      </c>
      <c r="C12033" t="inlineStr">
        <is>
          <t>But he was not bitter.</t>
        </is>
      </c>
      <c r="D12033">
        <f>HYPERLINK("https://www.youtube.com/watch?v=wFt_VGG0kJU&amp;t=187s", "Go to time")</f>
        <v/>
      </c>
    </row>
    <row r="12034">
      <c r="A12034">
        <f>HYPERLINK("https://www.youtube.com/watch?v=r4UdHE3JNnU", "Video")</f>
        <v/>
      </c>
      <c r="B12034" t="inlineStr">
        <is>
          <t>0:38</t>
        </is>
      </c>
      <c r="C12034" t="inlineStr">
        <is>
          <t>in the orbiting satellites of the global</t>
        </is>
      </c>
      <c r="D12034">
        <f>HYPERLINK("https://www.youtube.com/watch?v=r4UdHE3JNnU&amp;t=38s", "Go to time")</f>
        <v/>
      </c>
    </row>
    <row r="12035">
      <c r="A12035">
        <f>HYPERLINK("https://www.youtube.com/watch?v=UNdD5Kxdkpg", "Video")</f>
        <v/>
      </c>
      <c r="B12035" t="inlineStr">
        <is>
          <t>0:22</t>
        </is>
      </c>
      <c r="C12035" t="inlineStr">
        <is>
          <t>18 minutes you'll see a little bit of a</t>
        </is>
      </c>
      <c r="D12035">
        <f>HYPERLINK("https://www.youtube.com/watch?v=UNdD5Kxdkpg&amp;t=22s", "Go to time")</f>
        <v/>
      </c>
    </row>
    <row r="12036">
      <c r="A12036">
        <f>HYPERLINK("https://www.youtube.com/watch?v=UNdD5Kxdkpg", "Video")</f>
        <v/>
      </c>
      <c r="B12036" t="inlineStr">
        <is>
          <t>2:46</t>
        </is>
      </c>
      <c r="C12036" t="inlineStr">
        <is>
          <t>arbitrarily they have to obey four</t>
        </is>
      </c>
      <c r="D12036">
        <f>HYPERLINK("https://www.youtube.com/watch?v=UNdD5Kxdkpg&amp;t=166s", "Go to time")</f>
        <v/>
      </c>
    </row>
    <row r="12037">
      <c r="A12037">
        <f>HYPERLINK("https://www.youtube.com/watch?v=UNdD5Kxdkpg", "Video")</f>
        <v/>
      </c>
      <c r="B12037" t="inlineStr">
        <is>
          <t>5:28</t>
        </is>
      </c>
      <c r="C12037" t="inlineStr">
        <is>
          <t>for every bit of the subject a flap for</t>
        </is>
      </c>
      <c r="D12037">
        <f>HYPERLINK("https://www.youtube.com/watch?v=UNdD5Kxdkpg&amp;t=328s", "Go to time")</f>
        <v/>
      </c>
    </row>
    <row r="12038">
      <c r="A12038">
        <f>HYPERLINK("https://www.youtube.com/watch?v=UNdD5Kxdkpg", "Video")</f>
        <v/>
      </c>
      <c r="B12038" t="inlineStr">
        <is>
          <t>6:36</t>
        </is>
      </c>
      <c r="C12038" t="inlineStr">
        <is>
          <t>make the flap skinnier I can use a bit</t>
        </is>
      </c>
      <c r="D12038">
        <f>HYPERLINK("https://www.youtube.com/watch?v=UNdD5Kxdkpg&amp;t=396s", "Go to time")</f>
        <v/>
      </c>
    </row>
    <row r="12039">
      <c r="A12039">
        <f>HYPERLINK("https://www.youtube.com/watch?v=UNdD5Kxdkpg", "Video")</f>
        <v/>
      </c>
      <c r="B12039" t="inlineStr">
        <is>
          <t>7:17</t>
        </is>
      </c>
      <c r="C12039" t="inlineStr">
        <is>
          <t>we could make arbitrarily complicated</t>
        </is>
      </c>
      <c r="D12039">
        <f>HYPERLINK("https://www.youtube.com/watch?v=UNdD5Kxdkpg&amp;t=437s", "Go to time")</f>
        <v/>
      </c>
    </row>
    <row r="12040">
      <c r="A12040">
        <f>HYPERLINK("https://www.youtube.com/watch?v=UNdD5Kxdkpg", "Video")</f>
        <v/>
      </c>
      <c r="B12040" t="inlineStr">
        <is>
          <t>12:11</t>
        </is>
      </c>
      <c r="C12040" t="inlineStr">
        <is>
          <t>design called for geosynchronous orbit</t>
        </is>
      </c>
      <c r="D12040">
        <f>HYPERLINK("https://www.youtube.com/watch?v=UNdD5Kxdkpg&amp;t=731s", "Go to time")</f>
        <v/>
      </c>
    </row>
    <row r="12041">
      <c r="A12041">
        <f>HYPERLINK("https://www.youtube.com/watch?v=UNdD5Kxdkpg", "Video")</f>
        <v/>
      </c>
      <c r="B12041" t="inlineStr">
        <is>
          <t>13:14</t>
        </is>
      </c>
      <c r="C12041" t="inlineStr">
        <is>
          <t>arbitrarily large size but that allows</t>
        </is>
      </c>
      <c r="D12041">
        <f>HYPERLINK("https://www.youtube.com/watch?v=UNdD5Kxdkpg&amp;t=794s", "Go to time")</f>
        <v/>
      </c>
    </row>
    <row r="12042">
      <c r="A12042">
        <f>HYPERLINK("https://www.youtube.com/watch?v=j1EXBeBA89w", "Video")</f>
        <v/>
      </c>
      <c r="B12042" t="inlineStr">
        <is>
          <t>2:37</t>
        </is>
      </c>
      <c r="C12042" t="inlineStr">
        <is>
          <t>All plants exhibit primary growth.</t>
        </is>
      </c>
      <c r="D12042">
        <f>HYPERLINK("https://www.youtube.com/watch?v=j1EXBeBA89w&amp;t=157s", "Go to time")</f>
        <v/>
      </c>
    </row>
    <row r="12043">
      <c r="A12043">
        <f>HYPERLINK("https://www.youtube.com/watch?v=j1EXBeBA89w", "Video")</f>
        <v/>
      </c>
      <c r="B12043" t="inlineStr">
        <is>
          <t>4:12</t>
        </is>
      </c>
      <c r="C12043" t="inlineStr">
        <is>
          <t>grow slow and sturdy
in their cold habitats,</t>
        </is>
      </c>
      <c r="D12043">
        <f>HYPERLINK("https://www.youtube.com/watch?v=j1EXBeBA89w&amp;t=252s", "Go to time")</f>
        <v/>
      </c>
    </row>
    <row r="12044">
      <c r="A12044">
        <f>HYPERLINK("https://www.youtube.com/watch?v=EPd2w5d_qAk", "Video")</f>
        <v/>
      </c>
      <c r="B12044" t="inlineStr">
        <is>
          <t>1:30</t>
        </is>
      </c>
      <c r="C12044" t="inlineStr">
        <is>
          <t>He was, however, a bit out of his depth.</t>
        </is>
      </c>
      <c r="D12044">
        <f>HYPERLINK("https://www.youtube.com/watch?v=EPd2w5d_qAk&amp;t=90s", "Go to time")</f>
        <v/>
      </c>
    </row>
    <row r="12045">
      <c r="A12045">
        <f>HYPERLINK("https://www.youtube.com/watch?v=9OVtk6G2TnQ", "Video")</f>
        <v/>
      </c>
      <c r="B12045" t="inlineStr">
        <is>
          <t>1:50</t>
        </is>
      </c>
      <c r="C12045" t="inlineStr">
        <is>
          <t>Volta would have been shocked 
to learn that last bit.</t>
        </is>
      </c>
      <c r="D12045">
        <f>HYPERLINK("https://www.youtube.com/watch?v=9OVtk6G2TnQ&amp;t=110s", "Go to time")</f>
        <v/>
      </c>
    </row>
    <row r="12046">
      <c r="A12046">
        <f>HYPERLINK("https://www.youtube.com/watch?v=Y7IsyjFROHE", "Video")</f>
        <v/>
      </c>
      <c r="B12046" t="inlineStr">
        <is>
          <t>1:08</t>
        </is>
      </c>
      <c r="C12046" t="inlineStr">
        <is>
          <t>Several hundred small spacecraft
are already orbiting the Earth,</t>
        </is>
      </c>
      <c r="D12046">
        <f>HYPERLINK("https://www.youtube.com/watch?v=Y7IsyjFROHE&amp;t=68s", "Go to time")</f>
        <v/>
      </c>
    </row>
    <row r="12047">
      <c r="A12047">
        <f>HYPERLINK("https://www.youtube.com/watch?v=Y7IsyjFROHE", "Video")</f>
        <v/>
      </c>
      <c r="B12047" t="inlineStr">
        <is>
          <t>1:23</t>
        </is>
      </c>
      <c r="C12047" t="inlineStr">
        <is>
          <t>But imagine how much more we could learn
if they could fly beyond Earth's orbit.</t>
        </is>
      </c>
      <c r="D12047">
        <f>HYPERLINK("https://www.youtube.com/watch?v=Y7IsyjFROHE&amp;t=83s", "Go to time")</f>
        <v/>
      </c>
    </row>
    <row r="12048">
      <c r="A12048">
        <f>HYPERLINK("https://www.youtube.com/watch?v=Y7IsyjFROHE", "Video")</f>
        <v/>
      </c>
      <c r="B12048" t="inlineStr">
        <is>
          <t>1:32</t>
        </is>
      </c>
      <c r="C12048" t="inlineStr">
        <is>
          <t>send microspacecraft 
to scout habitable planets</t>
        </is>
      </c>
      <c r="D12048">
        <f>HYPERLINK("https://www.youtube.com/watch?v=Y7IsyjFROHE&amp;t=92s", "Go to time")</f>
        <v/>
      </c>
    </row>
    <row r="12049">
      <c r="A12049">
        <f>HYPERLINK("https://www.youtube.com/watch?v=Y7IsyjFROHE", "Video")</f>
        <v/>
      </c>
      <c r="B12049" t="inlineStr">
        <is>
          <t>4:04</t>
        </is>
      </c>
      <c r="C12049" t="inlineStr">
        <is>
          <t>to break small craft out of Earth's orbit.</t>
        </is>
      </c>
      <c r="D12049">
        <f>HYPERLINK("https://www.youtube.com/watch?v=Y7IsyjFROHE&amp;t=244s", "Go to time")</f>
        <v/>
      </c>
    </row>
    <row r="12050">
      <c r="A12050">
        <f>HYPERLINK("https://www.youtube.com/watch?v=bJ3oTTm_Pdo", "Video")</f>
        <v/>
      </c>
      <c r="B12050" t="inlineStr">
        <is>
          <t>0:36</t>
        </is>
      </c>
      <c r="C12050" t="inlineStr">
        <is>
          <t>that no single rocket could have 
lifted it into orbit.</t>
        </is>
      </c>
      <c r="D12050">
        <f>HYPERLINK("https://www.youtube.com/watch?v=bJ3oTTm_Pdo&amp;t=36s", "Go to time")</f>
        <v/>
      </c>
    </row>
    <row r="12051">
      <c r="A12051">
        <f>HYPERLINK("https://www.youtube.com/watch?v=bJ3oTTm_Pdo", "Video")</f>
        <v/>
      </c>
      <c r="B12051" t="inlineStr">
        <is>
          <t>4:25</t>
        </is>
      </c>
      <c r="C12051" t="inlineStr">
        <is>
          <t>which would prove useful for increasingly
ambitious space travel,</t>
        </is>
      </c>
      <c r="D12051">
        <f>HYPERLINK("https://www.youtube.com/watch?v=bJ3oTTm_Pdo&amp;t=265s", "Go to time")</f>
        <v/>
      </c>
    </row>
    <row r="12052">
      <c r="A12052">
        <f>HYPERLINK("https://www.youtube.com/watch?v=LGpEbF4aZzs", "Video")</f>
        <v/>
      </c>
      <c r="B12052" t="inlineStr">
        <is>
          <t>0:50</t>
        </is>
      </c>
      <c r="C12052" t="inlineStr">
        <is>
          <t>pulling them in and out of orbits.</t>
        </is>
      </c>
      <c r="D12052">
        <f>HYPERLINK("https://www.youtube.com/watch?v=LGpEbF4aZzs&amp;t=50s", "Go to time")</f>
        <v/>
      </c>
    </row>
    <row r="12053">
      <c r="A12053">
        <f>HYPERLINK("https://www.youtube.com/watch?v=LGpEbF4aZzs", "Video")</f>
        <v/>
      </c>
      <c r="B12053" t="inlineStr">
        <is>
          <t>0:56</t>
        </is>
      </c>
      <c r="C12053" t="inlineStr">
        <is>
          <t>to determine what those orbits look like.</t>
        </is>
      </c>
      <c r="D12053">
        <f>HYPERLINK("https://www.youtube.com/watch?v=LGpEbF4aZzs&amp;t=56s", "Go to time")</f>
        <v/>
      </c>
    </row>
    <row r="12054">
      <c r="A12054">
        <f>HYPERLINK("https://www.youtube.com/watch?v=LGpEbF4aZzs", "Video")</f>
        <v/>
      </c>
      <c r="B12054" t="inlineStr">
        <is>
          <t>1:28</t>
        </is>
      </c>
      <c r="C12054" t="inlineStr">
        <is>
          <t>it needs to be orbiting a Lagrange point.</t>
        </is>
      </c>
      <c r="D12054">
        <f>HYPERLINK("https://www.youtube.com/watch?v=LGpEbF4aZzs&amp;t=88s", "Go to time")</f>
        <v/>
      </c>
    </row>
    <row r="12055">
      <c r="A12055">
        <f>HYPERLINK("https://www.youtube.com/watch?v=LGpEbF4aZzs", "Video")</f>
        <v/>
      </c>
      <c r="B12055" t="inlineStr">
        <is>
          <t>2:01</t>
        </is>
      </c>
      <c r="C12055" t="inlineStr">
        <is>
          <t>And for reasons we'll explain in a bit,
many others are unstable.</t>
        </is>
      </c>
      <c r="D12055">
        <f>HYPERLINK("https://www.youtube.com/watch?v=LGpEbF4aZzs&amp;t=121s", "Go to time")</f>
        <v/>
      </c>
    </row>
    <row r="12056">
      <c r="A12056">
        <f>HYPERLINK("https://www.youtube.com/watch?v=LGpEbF4aZzs", "Video")</f>
        <v/>
      </c>
      <c r="B12056" t="inlineStr">
        <is>
          <t>2:28</t>
        </is>
      </c>
      <c r="C12056" t="inlineStr">
        <is>
          <t>L1 is located inside Earth's orbit,</t>
        </is>
      </c>
      <c r="D12056">
        <f>HYPERLINK("https://www.youtube.com/watch?v=LGpEbF4aZzs&amp;t=148s", "Go to time")</f>
        <v/>
      </c>
    </row>
    <row r="12057">
      <c r="A12057">
        <f>HYPERLINK("https://www.youtube.com/watch?v=LGpEbF4aZzs", "Video")</f>
        <v/>
      </c>
      <c r="B12057" t="inlineStr">
        <is>
          <t>2:44</t>
        </is>
      </c>
      <c r="C12057" t="inlineStr">
        <is>
          <t>L2 is at the same distance from Earth
but outside its orbit</t>
        </is>
      </c>
      <c r="D12057">
        <f>HYPERLINK("https://www.youtube.com/watch?v=LGpEbF4aZzs&amp;t=164s", "Go to time")</f>
        <v/>
      </c>
    </row>
    <row r="12058">
      <c r="A12058">
        <f>HYPERLINK("https://www.youtube.com/watch?v=LGpEbF4aZzs", "Video")</f>
        <v/>
      </c>
      <c r="B12058" t="inlineStr">
        <is>
          <t>3:19</t>
        </is>
      </c>
      <c r="C12058" t="inlineStr">
        <is>
          <t>L4 and L5, however, are a bit different
from their siblings.</t>
        </is>
      </c>
      <c r="D12058">
        <f>HYPERLINK("https://www.youtube.com/watch?v=LGpEbF4aZzs&amp;t=199s", "Go to time")</f>
        <v/>
      </c>
    </row>
    <row r="12059">
      <c r="A12059">
        <f>HYPERLINK("https://www.youtube.com/watch?v=ryGpw660ehc", "Video")</f>
        <v/>
      </c>
      <c r="B12059" t="inlineStr">
        <is>
          <t>4:28</t>
        </is>
      </c>
      <c r="C12059" t="inlineStr">
        <is>
          <t>Similarly, some studies have shown
mice exhibiting anxiety and depression</t>
        </is>
      </c>
      <c r="D12059">
        <f>HYPERLINK("https://www.youtube.com/watch?v=ryGpw660ehc&amp;t=268s", "Go to time")</f>
        <v/>
      </c>
    </row>
    <row r="12060">
      <c r="A12060">
        <f>HYPERLINK("https://www.youtube.com/watch?v=wrPEjEqURJg", "Video")</f>
        <v/>
      </c>
      <c r="B12060" t="inlineStr">
        <is>
          <t>4:11</t>
        </is>
      </c>
      <c r="C12060" t="inlineStr">
        <is>
          <t>enables mammals to survive in habitats</t>
        </is>
      </c>
      <c r="D12060">
        <f>HYPERLINK("https://www.youtube.com/watch?v=wrPEjEqURJg&amp;t=251s", "Go to time")</f>
        <v/>
      </c>
    </row>
    <row r="12061">
      <c r="A12061">
        <f>HYPERLINK("https://www.youtube.com/watch?v=uaalzEf5kPA", "Video")</f>
        <v/>
      </c>
      <c r="B12061" t="inlineStr">
        <is>
          <t>0:48</t>
        </is>
      </c>
      <c r="C12061" t="inlineStr">
        <is>
          <t>advice on the seven Habits the nine</t>
        </is>
      </c>
      <c r="D12061">
        <f>HYPERLINK("https://www.youtube.com/watch?v=uaalzEf5kPA&amp;t=48s", "Go to time")</f>
        <v/>
      </c>
    </row>
    <row r="12062">
      <c r="A12062">
        <f>HYPERLINK("https://www.youtube.com/watch?v=uaalzEf5kPA", "Video")</f>
        <v/>
      </c>
      <c r="B12062" t="inlineStr">
        <is>
          <t>3:09</t>
        </is>
      </c>
      <c r="C12062" t="inlineStr">
        <is>
          <t>something bitter we also find that</t>
        </is>
      </c>
      <c r="D12062">
        <f>HYPERLINK("https://www.youtube.com/watch?v=uaalzEf5kPA&amp;t=189s", "Go to time")</f>
        <v/>
      </c>
    </row>
    <row r="12063">
      <c r="A12063">
        <f>HYPERLINK("https://www.youtube.com/watch?v=uaalzEf5kPA", "Video")</f>
        <v/>
      </c>
      <c r="B12063" t="inlineStr">
        <is>
          <t>6:15</t>
        </is>
      </c>
      <c r="C12063" t="inlineStr">
        <is>
          <t>the taste of bitter they love to talk</t>
        </is>
      </c>
      <c r="D12063">
        <f>HYPERLINK("https://www.youtube.com/watch?v=uaalzEf5kPA&amp;t=375s", "Go to time")</f>
        <v/>
      </c>
    </row>
    <row r="12064">
      <c r="A12064">
        <f>HYPERLINK("https://www.youtube.com/watch?v=uaalzEf5kPA", "Video")</f>
        <v/>
      </c>
      <c r="B12064" t="inlineStr">
        <is>
          <t>7:13</t>
        </is>
      </c>
      <c r="C12064" t="inlineStr">
        <is>
          <t>orbital frontal cortex where decisions</t>
        </is>
      </c>
      <c r="D12064">
        <f>HYPERLINK("https://www.youtube.com/watch?v=uaalzEf5kPA&amp;t=433s", "Go to time")</f>
        <v/>
      </c>
    </row>
    <row r="12065">
      <c r="A12065">
        <f>HYPERLINK("https://www.youtube.com/watch?v=cXNTArhA0Jg", "Video")</f>
        <v/>
      </c>
      <c r="B12065" t="inlineStr">
        <is>
          <t>0:38</t>
        </is>
      </c>
      <c r="C12065" t="inlineStr">
        <is>
          <t>As it turns out, Khrushchev's remark
was translated a bit too literally.</t>
        </is>
      </c>
      <c r="D12065">
        <f>HYPERLINK("https://www.youtube.com/watch?v=cXNTArhA0Jg&amp;t=38s", "Go to time")</f>
        <v/>
      </c>
    </row>
    <row r="12066">
      <c r="A12066">
        <f>HYPERLINK("https://www.youtube.com/watch?v=RzkD_rTEBYs", "Video")</f>
        <v/>
      </c>
      <c r="B12066" t="inlineStr">
        <is>
          <t>2:25</t>
        </is>
      </c>
      <c r="C12066" t="inlineStr">
        <is>
          <t>then they start to exhibit
these behaviors,</t>
        </is>
      </c>
      <c r="D12066">
        <f>HYPERLINK("https://www.youtube.com/watch?v=RzkD_rTEBYs&amp;t=145s", "Go to time")</f>
        <v/>
      </c>
    </row>
    <row r="12067">
      <c r="A12067">
        <f>HYPERLINK("https://www.youtube.com/watch?v=K5cvHHUnpKo", "Video")</f>
        <v/>
      </c>
      <c r="B12067" t="inlineStr">
        <is>
          <t>12:03</t>
        </is>
      </c>
      <c r="C12067" t="inlineStr">
        <is>
          <t>these arbitrary ceilings of height and</t>
        </is>
      </c>
      <c r="D12067">
        <f>HYPERLINK("https://www.youtube.com/watch?v=K5cvHHUnpKo&amp;t=723s", "Go to time")</f>
        <v/>
      </c>
    </row>
    <row r="12068">
      <c r="A12068">
        <f>HYPERLINK("https://www.youtube.com/watch?v=BDprlH1sK_Y", "Video")</f>
        <v/>
      </c>
      <c r="B12068" t="inlineStr">
        <is>
          <t>1:02</t>
        </is>
      </c>
      <c r="C12068" t="inlineStr">
        <is>
          <t>But his ambitions
exceeded his earthly circumstances.</t>
        </is>
      </c>
      <c r="D12068">
        <f>HYPERLINK("https://www.youtube.com/watch?v=BDprlH1sK_Y&amp;t=62s", "Go to time")</f>
        <v/>
      </c>
    </row>
    <row r="12069">
      <c r="A12069">
        <f>HYPERLINK("https://www.youtube.com/watch?v=BDprlH1sK_Y", "Video")</f>
        <v/>
      </c>
      <c r="B12069" t="inlineStr">
        <is>
          <t>4:44</t>
        </is>
      </c>
      <c r="C12069" t="inlineStr">
        <is>
          <t>which beelined towards Pegasus 
and bit into his flesh.</t>
        </is>
      </c>
      <c r="D12069">
        <f>HYPERLINK("https://www.youtube.com/watch?v=BDprlH1sK_Y&amp;t=284s", "Go to time")</f>
        <v/>
      </c>
    </row>
    <row r="12070">
      <c r="A12070">
        <f>HYPERLINK("https://www.youtube.com/watch?v=HiKM-Mc3DHg", "Video")</f>
        <v/>
      </c>
      <c r="B12070" t="inlineStr">
        <is>
          <t>12:45</t>
        </is>
      </c>
      <c r="C12070" t="inlineStr">
        <is>
          <t>them a little bit</t>
        </is>
      </c>
      <c r="D12070">
        <f>HYPERLINK("https://www.youtube.com/watch?v=HiKM-Mc3DHg&amp;t=765s", "Go to time")</f>
        <v/>
      </c>
    </row>
    <row r="12071">
      <c r="A12071">
        <f>HYPERLINK("https://www.youtube.com/watch?v=HiKM-Mc3DHg", "Video")</f>
        <v/>
      </c>
      <c r="B12071" t="inlineStr">
        <is>
          <t>14:38</t>
        </is>
      </c>
      <c r="C12071" t="inlineStr">
        <is>
          <t>the velocity a little bit we observe the</t>
        </is>
      </c>
      <c r="D12071">
        <f>HYPERLINK("https://www.youtube.com/watch?v=HiKM-Mc3DHg&amp;t=878s", "Go to time")</f>
        <v/>
      </c>
    </row>
    <row r="12072">
      <c r="A12072">
        <f>HYPERLINK("https://www.youtube.com/watch?v=z-t-l8vjQQI", "Video")</f>
        <v/>
      </c>
      <c r="B12072" t="inlineStr">
        <is>
          <t>0:16</t>
        </is>
      </c>
      <c r="C12072" t="inlineStr">
        <is>
          <t>that he shouldn’t let his kids
go around biting people.</t>
        </is>
      </c>
      <c r="D12072">
        <f>HYPERLINK("https://www.youtube.com/watch?v=z-t-l8vjQQI&amp;t=16s", "Go to time")</f>
        <v/>
      </c>
    </row>
    <row r="12073">
      <c r="A12073">
        <f>HYPERLINK("https://www.youtube.com/watch?v=_uhIhkuh6zo", "Video")</f>
        <v/>
      </c>
      <c r="B12073" t="inlineStr">
        <is>
          <t>1:43</t>
        </is>
      </c>
      <c r="C12073" t="inlineStr">
        <is>
          <t>steppe people developed 
a bridle-and-bit system</t>
        </is>
      </c>
      <c r="D12073">
        <f>HYPERLINK("https://www.youtube.com/watch?v=_uhIhkuh6zo&amp;t=103s", "Go to time")</f>
        <v/>
      </c>
    </row>
    <row r="12074">
      <c r="A12074">
        <f>HYPERLINK("https://www.youtube.com/watch?v=_uhIhkuh6zo", "Video")</f>
        <v/>
      </c>
      <c r="B12074" t="inlineStr">
        <is>
          <t>4:08</t>
        </is>
      </c>
      <c r="C12074" t="inlineStr">
        <is>
          <t>Möngke Khan sent officials
ahead to prohibit cattle grazing</t>
        </is>
      </c>
      <c r="D12074">
        <f>HYPERLINK("https://www.youtube.com/watch?v=_uhIhkuh6zo&amp;t=248s", "Go to time")</f>
        <v/>
      </c>
    </row>
    <row r="12075">
      <c r="A12075">
        <f>HYPERLINK("https://www.youtube.com/watch?v=UIeT1zxsus0", "Video")</f>
        <v/>
      </c>
      <c r="B12075" t="inlineStr">
        <is>
          <t>4:03</t>
        </is>
      </c>
      <c r="C12075" t="inlineStr">
        <is>
          <t>Taking the eight largest would give 
you a nail-bitingly narrow victory</t>
        </is>
      </c>
      <c r="D12075">
        <f>HYPERLINK("https://www.youtube.com/watch?v=UIeT1zxsus0&amp;t=243s", "Go to time")</f>
        <v/>
      </c>
    </row>
    <row r="12076">
      <c r="A12076">
        <f>HYPERLINK("https://www.youtube.com/watch?v=GCA93_exJDw", "Video")</f>
        <v/>
      </c>
      <c r="B12076" t="inlineStr">
        <is>
          <t>3:00</t>
        </is>
      </c>
      <c r="C12076" t="inlineStr">
        <is>
          <t>the late 1990s situations a little bit</t>
        </is>
      </c>
      <c r="D12076">
        <f>HYPERLINK("https://www.youtube.com/watch?v=GCA93_exJDw&amp;t=180s", "Go to time")</f>
        <v/>
      </c>
    </row>
    <row r="12077">
      <c r="A12077">
        <f>HYPERLINK("https://www.youtube.com/watch?v=RhaepLsP5eg", "Video")</f>
        <v/>
      </c>
      <c r="B12077" t="inlineStr">
        <is>
          <t>0:30</t>
        </is>
      </c>
      <c r="C12077" t="inlineStr">
        <is>
          <t>and the snake that had bitten 
her was slithering away through the grass.</t>
        </is>
      </c>
      <c r="D12077">
        <f>HYPERLINK("https://www.youtube.com/watch?v=RhaepLsP5eg&amp;t=30s", "Go to time")</f>
        <v/>
      </c>
    </row>
    <row r="12078">
      <c r="A12078">
        <f>HYPERLINK("https://www.youtube.com/watch?v=fFeV8WxIZLk", "Video")</f>
        <v/>
      </c>
      <c r="B12078" t="inlineStr">
        <is>
          <t>0:51</t>
        </is>
      </c>
      <c r="C12078" t="inlineStr">
        <is>
          <t>collapse from their quantum orbits 
into the depths of atomic nuclei.</t>
        </is>
      </c>
      <c r="D12078">
        <f>HYPERLINK("https://www.youtube.com/watch?v=fFeV8WxIZLk&amp;t=51s", "Go to time")</f>
        <v/>
      </c>
    </row>
    <row r="12079">
      <c r="A12079">
        <f>HYPERLINK("https://www.youtube.com/watch?v=fFeV8WxIZLk", "Video")</f>
        <v/>
      </c>
      <c r="B12079" t="inlineStr">
        <is>
          <t>3:25</t>
        </is>
      </c>
      <c r="C12079" t="inlineStr">
        <is>
          <t>where a neutron star 
co-orbits another star.</t>
        </is>
      </c>
      <c r="D12079">
        <f>HYPERLINK("https://www.youtube.com/watch?v=fFeV8WxIZLk&amp;t=205s", "Go to time")</f>
        <v/>
      </c>
    </row>
    <row r="12080">
      <c r="A12080">
        <f>HYPERLINK("https://www.youtube.com/watch?v=2aEQDi2ZYCI", "Video")</f>
        <v/>
      </c>
      <c r="B12080" t="inlineStr">
        <is>
          <t>1:34</t>
        </is>
      </c>
      <c r="C12080" t="inlineStr">
        <is>
          <t>The Polixate comet will only remain
in orbit for a few days,</t>
        </is>
      </c>
      <c r="D12080">
        <f>HYPERLINK("https://www.youtube.com/watch?v=2aEQDi2ZYCI&amp;t=94s", "Go to time")</f>
        <v/>
      </c>
    </row>
    <row r="12081">
      <c r="A12081">
        <f>HYPERLINK("https://www.youtube.com/watch?v=mmVvYwKxLdA", "Video")</f>
        <v/>
      </c>
      <c r="B12081" t="inlineStr">
        <is>
          <t>3:28</t>
        </is>
      </c>
      <c r="C12081" t="inlineStr">
        <is>
          <t>Sometimes, multiple caterpillars inhabit
the same ant colony at once.</t>
        </is>
      </c>
      <c r="D12081">
        <f>HYPERLINK("https://www.youtube.com/watch?v=mmVvYwKxLdA&amp;t=208s", "Go to time")</f>
        <v/>
      </c>
    </row>
    <row r="12082">
      <c r="A12082">
        <f>HYPERLINK("https://www.youtube.com/watch?v=mmVvYwKxLdA", "Video")</f>
        <v/>
      </c>
      <c r="B12082" t="inlineStr">
        <is>
          <t>3:57</t>
        </is>
      </c>
      <c r="C12082" t="inlineStr">
        <is>
          <t>inhibiting their movement</t>
        </is>
      </c>
      <c r="D12082">
        <f>HYPERLINK("https://www.youtube.com/watch?v=mmVvYwKxLdA&amp;t=237s", "Go to time")</f>
        <v/>
      </c>
    </row>
    <row r="12083">
      <c r="A12083">
        <f>HYPERLINK("https://www.youtube.com/watch?v=mmVvYwKxLdA", "Video")</f>
        <v/>
      </c>
      <c r="B12083" t="inlineStr">
        <is>
          <t>4:42</t>
        </is>
      </c>
      <c r="C12083" t="inlineStr">
        <is>
          <t>They've since rebounded alongside
efforts to restore the meadow habitats</t>
        </is>
      </c>
      <c r="D12083">
        <f>HYPERLINK("https://www.youtube.com/watch?v=mmVvYwKxLdA&amp;t=282s", "Go to time")</f>
        <v/>
      </c>
    </row>
    <row r="12084">
      <c r="A12084">
        <f>HYPERLINK("https://www.youtube.com/watch?v=VgEbcQxFUu8", "Video")</f>
        <v/>
      </c>
      <c r="B12084" t="inlineStr">
        <is>
          <t>3:11</t>
        </is>
      </c>
      <c r="C12084" t="inlineStr">
        <is>
          <t>with the horseshoe crab's bacteria-filled 
ocean and shoreline habitats,</t>
        </is>
      </c>
      <c r="D12084">
        <f>HYPERLINK("https://www.youtube.com/watch?v=VgEbcQxFUu8&amp;t=191s", "Go to time")</f>
        <v/>
      </c>
    </row>
    <row r="12085">
      <c r="A12085">
        <f>HYPERLINK("https://www.youtube.com/watch?v=uMNwUh0X5eI", "Video")</f>
        <v/>
      </c>
      <c r="B12085" t="inlineStr">
        <is>
          <t>5:28</t>
        </is>
      </c>
      <c r="C12085" t="inlineStr">
        <is>
          <t>They make exorbitant promises 
to their supporters,</t>
        </is>
      </c>
      <c r="D12085">
        <f>HYPERLINK("https://www.youtube.com/watch?v=uMNwUh0X5eI&amp;t=328s", "Go to time")</f>
        <v/>
      </c>
    </row>
    <row r="12086">
      <c r="A12086">
        <f>HYPERLINK("https://www.youtube.com/watch?v=4dn7TEjnbPY", "Video")</f>
        <v/>
      </c>
      <c r="B12086" t="inlineStr">
        <is>
          <t>2:06</t>
        </is>
      </c>
      <c r="C12086" t="inlineStr">
        <is>
          <t>and the small lives 
that inhabit those events.</t>
        </is>
      </c>
      <c r="D12086">
        <f>HYPERLINK("https://www.youtube.com/watch?v=4dn7TEjnbPY&amp;t=126s", "Go to time")</f>
        <v/>
      </c>
    </row>
    <row r="12087">
      <c r="A12087">
        <f>HYPERLINK("https://www.youtube.com/watch?v=-yJ3RySf9U4", "Video")</f>
        <v/>
      </c>
      <c r="B12087" t="inlineStr">
        <is>
          <t>2:24</t>
        </is>
      </c>
      <c r="C12087" t="inlineStr">
        <is>
          <t>most deep-sea inhabitants can’t see it.</t>
        </is>
      </c>
      <c r="D12087">
        <f>HYPERLINK("https://www.youtube.com/watch?v=-yJ3RySf9U4&amp;t=144s", "Go to time")</f>
        <v/>
      </c>
    </row>
    <row r="12088">
      <c r="A12088">
        <f>HYPERLINK("https://www.youtube.com/watch?v=-yJ3RySf9U4", "Video")</f>
        <v/>
      </c>
      <c r="B12088" t="inlineStr">
        <is>
          <t>3:28</t>
        </is>
      </c>
      <c r="C12088" t="inlineStr">
        <is>
          <t>Organic matter generated up here—
like bits of skin, poop, and dead animals—</t>
        </is>
      </c>
      <c r="D12088">
        <f>HYPERLINK("https://www.youtube.com/watch?v=-yJ3RySf9U4&amp;t=208s", "Go to time")</f>
        <v/>
      </c>
    </row>
    <row r="12089">
      <c r="A12089">
        <f>HYPERLINK("https://www.youtube.com/watch?v=K2sc_ck5BZU", "Video")</f>
        <v/>
      </c>
      <c r="B12089" t="inlineStr">
        <is>
          <t>2:19</t>
        </is>
      </c>
      <c r="C12089" t="inlineStr">
        <is>
          <t>exhibit milder versions of traits 
associated with the disorder—</t>
        </is>
      </c>
      <c r="D12089">
        <f>HYPERLINK("https://www.youtube.com/watch?v=K2sc_ck5BZU&amp;t=139s", "Go to time")</f>
        <v/>
      </c>
    </row>
    <row r="12090">
      <c r="A12090">
        <f>HYPERLINK("https://www.youtube.com/watch?v=yzQDFKY2uEI", "Video")</f>
        <v/>
      </c>
      <c r="B12090" t="inlineStr">
        <is>
          <t>3:26</t>
        </is>
      </c>
      <c r="C12090" t="inlineStr">
        <is>
          <t>are just a tiny, tiny, little bit ...</t>
        </is>
      </c>
      <c r="D12090">
        <f>HYPERLINK("https://www.youtube.com/watch?v=yzQDFKY2uEI&amp;t=206s", "Go to time")</f>
        <v/>
      </c>
    </row>
    <row r="12091">
      <c r="A12091">
        <f>HYPERLINK("https://www.youtube.com/watch?v=yzQDFKY2uEI", "Video")</f>
        <v/>
      </c>
      <c r="B12091" t="inlineStr">
        <is>
          <t>4:23</t>
        </is>
      </c>
      <c r="C12091" t="inlineStr">
        <is>
          <t>Assuming a typical bit rate,</t>
        </is>
      </c>
      <c r="D12091">
        <f>HYPERLINK("https://www.youtube.com/watch?v=yzQDFKY2uEI&amp;t=263s", "Go to time")</f>
        <v/>
      </c>
    </row>
    <row r="12092">
      <c r="A12092">
        <f>HYPERLINK("https://www.youtube.com/watch?v=oQWmagZmogQ", "Video")</f>
        <v/>
      </c>
      <c r="B12092" t="inlineStr">
        <is>
          <t>3:42</t>
        </is>
      </c>
      <c r="C12092" t="inlineStr">
        <is>
          <t>As advertised, these inhibit
the effects of histamine,</t>
        </is>
      </c>
      <c r="D12092">
        <f>HYPERLINK("https://www.youtube.com/watch?v=oQWmagZmogQ&amp;t=222s", "Go to time")</f>
        <v/>
      </c>
    </row>
    <row r="12093">
      <c r="A12093">
        <f>HYPERLINK("https://www.youtube.com/watch?v=-4YCwyHdC58", "Video")</f>
        <v/>
      </c>
      <c r="B12093" t="inlineStr">
        <is>
          <t>2:52</t>
        </is>
      </c>
      <c r="C12093" t="inlineStr">
        <is>
          <t>Inhabiting rivers, small streams,
ponds, lakes,</t>
        </is>
      </c>
      <c r="D12093">
        <f>HYPERLINK("https://www.youtube.com/watch?v=-4YCwyHdC58&amp;t=172s", "Go to time")</f>
        <v/>
      </c>
    </row>
    <row r="12094">
      <c r="A12094">
        <f>HYPERLINK("https://www.youtube.com/watch?v=-4YCwyHdC58", "Video")</f>
        <v/>
      </c>
      <c r="B12094" t="inlineStr">
        <is>
          <t>3:18</t>
        </is>
      </c>
      <c r="C12094" t="inlineStr">
        <is>
          <t>So to survive and thrive, mayfly species
have a wide variety of habits</t>
        </is>
      </c>
      <c r="D12094">
        <f>HYPERLINK("https://www.youtube.com/watch?v=-4YCwyHdC58&amp;t=198s", "Go to time")</f>
        <v/>
      </c>
    </row>
    <row r="12095">
      <c r="A12095">
        <f>HYPERLINK("https://www.youtube.com/watch?v=0l5ftgEQUjM", "Video")</f>
        <v/>
      </c>
      <c r="B12095" t="inlineStr">
        <is>
          <t>0:33</t>
        </is>
      </c>
      <c r="C12095" t="inlineStr">
        <is>
          <t>and at first, no one even notices 
itsy-bitsy you.</t>
        </is>
      </c>
      <c r="D12095">
        <f>HYPERLINK("https://www.youtube.com/watch?v=0l5ftgEQUjM&amp;t=33s", "Go to time")</f>
        <v/>
      </c>
    </row>
    <row r="12096">
      <c r="A12096">
        <f>HYPERLINK("https://www.youtube.com/watch?v=zoZVuqP1rQM", "Video")</f>
        <v/>
      </c>
      <c r="B12096" t="inlineStr">
        <is>
          <t>0:24</t>
        </is>
      </c>
      <c r="C12096" t="inlineStr">
        <is>
          <t>inside their habitat at a speed of</t>
        </is>
      </c>
      <c r="D12096">
        <f>HYPERLINK("https://www.youtube.com/watch?v=zoZVuqP1rQM&amp;t=24s", "Go to time")</f>
        <v/>
      </c>
    </row>
    <row r="12097">
      <c r="A12097">
        <f>HYPERLINK("https://www.youtube.com/watch?v=zoZVuqP1rQM", "Video")</f>
        <v/>
      </c>
      <c r="B12097" t="inlineStr">
        <is>
          <t>0:45</t>
        </is>
      </c>
      <c r="C12097" t="inlineStr">
        <is>
          <t>the two emergency vacuum nozzles into the habitat</t>
        </is>
      </c>
      <c r="D12097">
        <f>HYPERLINK("https://www.youtube.com/watch?v=zoZVuqP1rQM&amp;t=45s", "Go to time")</f>
        <v/>
      </c>
    </row>
    <row r="12098">
      <c r="A12098">
        <f>HYPERLINK("https://www.youtube.com/watch?v=zoZVuqP1rQM", "Video")</f>
        <v/>
      </c>
      <c r="B12098" t="inlineStr">
        <is>
          <t>0:55</t>
        </is>
      </c>
      <c r="C12098" t="inlineStr">
        <is>
          <t>in the habitat through a membrane covering</t>
        </is>
      </c>
      <c r="D12098">
        <f>HYPERLINK("https://www.youtube.com/watch?v=zoZVuqP1rQM&amp;t=55s", "Go to time")</f>
        <v/>
      </c>
    </row>
    <row r="12099">
      <c r="A12099">
        <f>HYPERLINK("https://www.youtube.com/watch?v=zoZVuqP1rQM", "Video")</f>
        <v/>
      </c>
      <c r="B12099" t="inlineStr">
        <is>
          <t>1:11</t>
        </is>
      </c>
      <c r="C12099" t="inlineStr">
        <is>
          <t>The habitat is made out of meter-long tubes.</t>
        </is>
      </c>
      <c r="D12099">
        <f>HYPERLINK("https://www.youtube.com/watch?v=zoZVuqP1rQM&amp;t=71s", "Go to time")</f>
        <v/>
      </c>
    </row>
    <row r="12100">
      <c r="A12100">
        <f>HYPERLINK("https://www.youtube.com/watch?v=zoZVuqP1rQM", "Video")</f>
        <v/>
      </c>
      <c r="B12100" t="inlineStr">
        <is>
          <t>1:28</t>
        </is>
      </c>
      <c r="C12100" t="inlineStr">
        <is>
          <t>inside the habitat, and if even one escapes,</t>
        </is>
      </c>
      <c r="D12100">
        <f>HYPERLINK("https://www.youtube.com/watch?v=zoZVuqP1rQM&amp;t=88s", "Go to time")</f>
        <v/>
      </c>
    </row>
    <row r="12101">
      <c r="A12101">
        <f>HYPERLINK("https://www.youtube.com/watch?v=zoZVuqP1rQM", "Video")</f>
        <v/>
      </c>
      <c r="B12101" t="inlineStr">
        <is>
          <t>1:48</t>
        </is>
      </c>
      <c r="C12101" t="inlineStr">
        <is>
          <t>With robo-ants ricocheting all over the habitat,</t>
        </is>
      </c>
      <c r="D12101">
        <f>HYPERLINK("https://www.youtube.com/watch?v=zoZVuqP1rQM&amp;t=108s", "Go to time")</f>
        <v/>
      </c>
    </row>
    <row r="12102">
      <c r="A12102">
        <f>HYPERLINK("https://www.youtube.com/watch?v=zoZVuqP1rQM", "Video")</f>
        <v/>
      </c>
      <c r="B12102" t="inlineStr">
        <is>
          <t>2:32</t>
        </is>
      </c>
      <c r="C12102" t="inlineStr">
        <is>
          <t>any point in the habitat.</t>
        </is>
      </c>
      <c r="D12102">
        <f>HYPERLINK("https://www.youtube.com/watch?v=zoZVuqP1rQM&amp;t=152s", "Go to time")</f>
        <v/>
      </c>
    </row>
    <row r="12103">
      <c r="A12103">
        <f>HYPERLINK("https://www.youtube.com/watch?v=zoZVuqP1rQM", "Video")</f>
        <v/>
      </c>
      <c r="B12103" t="inlineStr">
        <is>
          <t>3:17</t>
        </is>
      </c>
      <c r="C12103" t="inlineStr">
        <is>
          <t>anywhere else in the habitat.</t>
        </is>
      </c>
      <c r="D12103">
        <f>HYPERLINK("https://www.youtube.com/watch?v=zoZVuqP1rQM&amp;t=197s", "Go to time")</f>
        <v/>
      </c>
    </row>
    <row r="12104">
      <c r="A12104">
        <f>HYPERLINK("https://www.youtube.com/watch?v=E0W1ZZYIV8o", "Video")</f>
        <v/>
      </c>
      <c r="B12104" t="inlineStr">
        <is>
          <t>7:20</t>
        </is>
      </c>
      <c r="C12104" t="inlineStr">
        <is>
          <t>Germany and Japan is consuming a bit</t>
        </is>
      </c>
      <c r="D12104">
        <f>HYPERLINK("https://www.youtube.com/watch?v=E0W1ZZYIV8o&amp;t=440s", "Go to time")</f>
        <v/>
      </c>
    </row>
    <row r="12105">
      <c r="A12105">
        <f>HYPERLINK("https://www.youtube.com/watch?v=E0W1ZZYIV8o", "Video")</f>
        <v/>
      </c>
      <c r="B12105" t="inlineStr">
        <is>
          <t>7:40</t>
        </is>
      </c>
      <c r="C12105" t="inlineStr">
        <is>
          <t>our 90% fossil fuel habit so here come</t>
        </is>
      </c>
      <c r="D12105">
        <f>HYPERLINK("https://www.youtube.com/watch?v=E0W1ZZYIV8o&amp;t=460s", "Go to time")</f>
        <v/>
      </c>
    </row>
    <row r="12106">
      <c r="A12106">
        <f>HYPERLINK("https://www.youtube.com/watch?v=E0W1ZZYIV8o", "Video")</f>
        <v/>
      </c>
      <c r="B12106" t="inlineStr">
        <is>
          <t>8:06</t>
        </is>
      </c>
      <c r="C12106" t="inlineStr">
        <is>
          <t>consumption wind power produces a bit</t>
        </is>
      </c>
      <c r="D12106">
        <f>HYPERLINK("https://www.youtube.com/watch?v=E0W1ZZYIV8o&amp;t=486s", "Go to time")</f>
        <v/>
      </c>
    </row>
    <row r="12107">
      <c r="A12107">
        <f>HYPERLINK("https://www.youtube.com/watch?v=E0W1ZZYIV8o", "Video")</f>
        <v/>
      </c>
      <c r="B12107" t="inlineStr">
        <is>
          <t>14:50</t>
        </is>
      </c>
      <c r="C12107" t="inlineStr">
        <is>
          <t>really want to get a bit closer to</t>
        </is>
      </c>
      <c r="D12107">
        <f>HYPERLINK("https://www.youtube.com/watch?v=E0W1ZZYIV8o&amp;t=890s", "Go to time")</f>
        <v/>
      </c>
    </row>
    <row r="12108">
      <c r="A12108">
        <f>HYPERLINK("https://www.youtube.com/watch?v=E0W1ZZYIV8o", "Video")</f>
        <v/>
      </c>
      <c r="B12108" t="inlineStr">
        <is>
          <t>15:05</t>
        </is>
      </c>
      <c r="C12108" t="inlineStr">
        <is>
          <t>smaller bit of high-grade energy like</t>
        </is>
      </c>
      <c r="D12108">
        <f>HYPERLINK("https://www.youtube.com/watch?v=E0W1ZZYIV8o&amp;t=905s", "Go to time")</f>
        <v/>
      </c>
    </row>
    <row r="12109">
      <c r="A12109">
        <f>HYPERLINK("https://www.youtube.com/watch?v=inVZoI1AkC8", "Video")</f>
        <v/>
      </c>
      <c r="B12109" t="inlineStr">
        <is>
          <t>3:43</t>
        </is>
      </c>
      <c r="C12109" t="inlineStr">
        <is>
          <t>You can look at the way a particular
ecosystem functions within its unique habitat</t>
        </is>
      </c>
      <c r="D12109">
        <f>HYPERLINK("https://www.youtube.com/watch?v=inVZoI1AkC8&amp;t=223s", "Go to time")</f>
        <v/>
      </c>
    </row>
    <row r="12110">
      <c r="A12110">
        <f>HYPERLINK("https://www.youtube.com/watch?v=inVZoI1AkC8", "Video")</f>
        <v/>
      </c>
      <c r="B12110" t="inlineStr">
        <is>
          <t>4:26</t>
        </is>
      </c>
      <c r="C12110" t="inlineStr">
        <is>
          <t>many of these habitats and their 
ecosystems develop and change over time,</t>
        </is>
      </c>
      <c r="D12110">
        <f>HYPERLINK("https://www.youtube.com/watch?v=inVZoI1AkC8&amp;t=266s", "Go to time")</f>
        <v/>
      </c>
    </row>
    <row r="12111">
      <c r="A12111">
        <f>HYPERLINK("https://www.youtube.com/watch?v=fMPG-2vXi-s", "Video")</f>
        <v/>
      </c>
      <c r="B12111" t="inlineStr">
        <is>
          <t>2:17</t>
        </is>
      </c>
      <c r="C12111" t="inlineStr">
        <is>
          <t>one of the gods picked up a rabbit 
and tossed it in his face,</t>
        </is>
      </c>
      <c r="D12111">
        <f>HYPERLINK("https://www.youtube.com/watch?v=fMPG-2vXi-s&amp;t=137s", "Go to time")</f>
        <v/>
      </c>
    </row>
    <row r="12112">
      <c r="A12112">
        <f>HYPERLINK("https://www.youtube.com/watch?v=fMPG-2vXi-s", "Video")</f>
        <v/>
      </c>
      <c r="B12112" t="inlineStr">
        <is>
          <t>3:54</t>
        </is>
      </c>
      <c r="C12112" t="inlineStr">
        <is>
          <t>the rabbit-faced moon 
following in its wake.</t>
        </is>
      </c>
      <c r="D12112">
        <f>HYPERLINK("https://www.youtube.com/watch?v=fMPG-2vXi-s&amp;t=234s", "Go to time")</f>
        <v/>
      </c>
    </row>
    <row r="12113">
      <c r="A12113">
        <f>HYPERLINK("https://www.youtube.com/watch?v=AWcY2-FBa9k", "Video")</f>
        <v/>
      </c>
      <c r="B12113" t="inlineStr">
        <is>
          <t>4:00</t>
        </is>
      </c>
      <c r="C12113" t="inlineStr">
        <is>
          <t>There’s no trick or formula here 
– just a bit of intuition.</t>
        </is>
      </c>
      <c r="D12113">
        <f>HYPERLINK("https://www.youtube.com/watch?v=AWcY2-FBa9k&amp;t=240s", "Go to time")</f>
        <v/>
      </c>
    </row>
    <row r="12114">
      <c r="A12114">
        <f>HYPERLINK("https://www.youtube.com/watch?v=gWUZ8t6mJRY", "Video")</f>
        <v/>
      </c>
      <c r="B12114" t="inlineStr">
        <is>
          <t>0:17</t>
        </is>
      </c>
      <c r="C12114" t="inlineStr">
        <is>
          <t>so I want to talk a little bit about</t>
        </is>
      </c>
      <c r="D12114">
        <f>HYPERLINK("https://www.youtube.com/watch?v=gWUZ8t6mJRY&amp;t=17s", "Go to time")</f>
        <v/>
      </c>
    </row>
    <row r="12115">
      <c r="A12115">
        <f>HYPERLINK("https://www.youtube.com/watch?v=gWUZ8t6mJRY", "Video")</f>
        <v/>
      </c>
      <c r="B12115" t="inlineStr">
        <is>
          <t>0:51</t>
        </is>
      </c>
      <c r="C12115" t="inlineStr">
        <is>
          <t>look a little bit closer so that's just</t>
        </is>
      </c>
      <c r="D12115">
        <f>HYPERLINK("https://www.youtube.com/watch?v=gWUZ8t6mJRY&amp;t=51s", "Go to time")</f>
        <v/>
      </c>
    </row>
    <row r="12116">
      <c r="A12116">
        <f>HYPERLINK("https://www.youtube.com/watch?v=gWUZ8t6mJRY", "Video")</f>
        <v/>
      </c>
      <c r="B12116" t="inlineStr">
        <is>
          <t>3:51</t>
        </is>
      </c>
      <c r="C12116" t="inlineStr">
        <is>
          <t>look a little bit closer at this stigma</t>
        </is>
      </c>
      <c r="D12116">
        <f>HYPERLINK("https://www.youtube.com/watch?v=gWUZ8t6mJRY&amp;t=231s", "Go to time")</f>
        <v/>
      </c>
    </row>
    <row r="12117">
      <c r="A12117">
        <f>HYPERLINK("https://www.youtube.com/watch?v=gWUZ8t6mJRY", "Video")</f>
        <v/>
      </c>
      <c r="B12117" t="inlineStr">
        <is>
          <t>4:15</t>
        </is>
      </c>
      <c r="C12117" t="inlineStr">
        <is>
          <t>are little bits of individual grain of</t>
        </is>
      </c>
      <c r="D12117">
        <f>HYPERLINK("https://www.youtube.com/watch?v=gWUZ8t6mJRY&amp;t=255s", "Go to time")</f>
        <v/>
      </c>
    </row>
    <row r="12118">
      <c r="A12118">
        <f>HYPERLINK("https://www.youtube.com/watch?v=gWUZ8t6mJRY", "Video")</f>
        <v/>
      </c>
      <c r="B12118" t="inlineStr">
        <is>
          <t>5:32</t>
        </is>
      </c>
      <c r="C12118" t="inlineStr">
        <is>
          <t>Maui and in fact this is a little bit of</t>
        </is>
      </c>
      <c r="D12118">
        <f>HYPERLINK("https://www.youtube.com/watch?v=gWUZ8t6mJRY&amp;t=332s", "Go to time")</f>
        <v/>
      </c>
    </row>
    <row r="12119">
      <c r="A12119">
        <f>HYPERLINK("https://www.youtube.com/watch?v=gWUZ8t6mJRY", "Video")</f>
        <v/>
      </c>
      <c r="B12119" t="inlineStr">
        <is>
          <t>5:54</t>
        </is>
      </c>
      <c r="C12119" t="inlineStr">
        <is>
          <t>bits of the volcano there's a little bit</t>
        </is>
      </c>
      <c r="D12119">
        <f>HYPERLINK("https://www.youtube.com/watch?v=gWUZ8t6mJRY&amp;t=354s", "Go to time")</f>
        <v/>
      </c>
    </row>
    <row r="12120">
      <c r="A12120">
        <f>HYPERLINK("https://www.youtube.com/watch?v=gWUZ8t6mJRY", "Video")</f>
        <v/>
      </c>
      <c r="B12120" t="inlineStr">
        <is>
          <t>6:42</t>
        </is>
      </c>
      <c r="C12120" t="inlineStr">
        <is>
          <t>sponge spicule two bits of coral here uh</t>
        </is>
      </c>
      <c r="D12120">
        <f>HYPERLINK("https://www.youtube.com/watch?v=gWUZ8t6mJRY&amp;t=402s", "Go to time")</f>
        <v/>
      </c>
    </row>
    <row r="12121">
      <c r="A12121">
        <f>HYPERLINK("https://www.youtube.com/watch?v=gWUZ8t6mJRY", "Video")</f>
        <v/>
      </c>
      <c r="B12121" t="inlineStr">
        <is>
          <t>6:56</t>
        </is>
      </c>
      <c r="C12121" t="inlineStr">
        <is>
          <t>the little bits out and making</t>
        </is>
      </c>
      <c r="D12121">
        <f>HYPERLINK("https://www.youtube.com/watch?v=gWUZ8t6mJRY&amp;t=416s", "Go to time")</f>
        <v/>
      </c>
    </row>
    <row r="12122">
      <c r="A12122">
        <f>HYPERLINK("https://www.youtube.com/watch?v=gWUZ8t6mJRY", "Video")</f>
        <v/>
      </c>
      <c r="B12122" t="inlineStr">
        <is>
          <t>8:53</t>
        </is>
      </c>
      <c r="C12122" t="inlineStr">
        <is>
          <t>little bit like the moon which is sort</t>
        </is>
      </c>
      <c r="D12122">
        <f>HYPERLINK("https://www.youtube.com/watch?v=gWUZ8t6mJRY&amp;t=533s", "Go to time")</f>
        <v/>
      </c>
    </row>
    <row r="12123">
      <c r="A12123">
        <f>HYPERLINK("https://www.youtube.com/watch?v=gWUZ8t6mJRY", "Video")</f>
        <v/>
      </c>
      <c r="B12123" t="inlineStr">
        <is>
          <t>11:20</t>
        </is>
      </c>
      <c r="C12123" t="inlineStr">
        <is>
          <t>little bit of erosion down here by the</t>
        </is>
      </c>
      <c r="D12123">
        <f>HYPERLINK("https://www.youtube.com/watch?v=gWUZ8t6mJRY&amp;t=680s", "Go to time")</f>
        <v/>
      </c>
    </row>
    <row r="12124">
      <c r="A12124">
        <f>HYPERLINK("https://www.youtube.com/watch?v=QkPh4vGNpQk", "Video")</f>
        <v/>
      </c>
      <c r="B12124" t="inlineStr">
        <is>
          <t>8:17</t>
        </is>
      </c>
      <c r="C12124" t="inlineStr">
        <is>
          <t>protesters or as in this little bit of</t>
        </is>
      </c>
      <c r="D12124">
        <f>HYPERLINK("https://www.youtube.com/watch?v=QkPh4vGNpQk&amp;t=497s", "Go to time")</f>
        <v/>
      </c>
    </row>
    <row r="12125">
      <c r="A12125">
        <f>HYPERLINK("https://www.youtube.com/watch?v=QkPh4vGNpQk", "Video")</f>
        <v/>
      </c>
      <c r="B12125" t="inlineStr">
        <is>
          <t>8:34</t>
        </is>
      </c>
      <c r="C12125" t="inlineStr">
        <is>
          <t>little bit less</t>
        </is>
      </c>
      <c r="D12125">
        <f>HYPERLINK("https://www.youtube.com/watch?v=QkPh4vGNpQk&amp;t=514s", "Go to time")</f>
        <v/>
      </c>
    </row>
    <row r="12126">
      <c r="A12126">
        <f>HYPERLINK("https://www.youtube.com/watch?v=K93fMnFKwfI", "Video")</f>
        <v/>
      </c>
      <c r="B12126" t="inlineStr">
        <is>
          <t>1:09</t>
        </is>
      </c>
      <c r="C12126" t="inlineStr">
        <is>
          <t>at the London Zoo snake exhibit.</t>
        </is>
      </c>
      <c r="D12126">
        <f>HYPERLINK("https://www.youtube.com/watch?v=K93fMnFKwfI&amp;t=69s", "Go to time")</f>
        <v/>
      </c>
    </row>
    <row r="12127">
      <c r="A12127">
        <f>HYPERLINK("https://www.youtube.com/watch?v=qgvmJTmJIKs", "Video")</f>
        <v/>
      </c>
      <c r="B12127" t="inlineStr">
        <is>
          <t>2:30</t>
        </is>
      </c>
      <c r="C12127" t="inlineStr">
        <is>
          <t>And we don’t have bits of gold coins
coming out of the bag.</t>
        </is>
      </c>
      <c r="D12127">
        <f>HYPERLINK("https://www.youtube.com/watch?v=qgvmJTmJIKs&amp;t=150s", "Go to time")</f>
        <v/>
      </c>
    </row>
    <row r="12128">
      <c r="A12128">
        <f>HYPERLINK("https://www.youtube.com/watch?v=n9v-cDwEVDQ", "Video")</f>
        <v/>
      </c>
      <c r="B12128" t="inlineStr">
        <is>
          <t>1:33</t>
        </is>
      </c>
      <c r="C12128" t="inlineStr">
        <is>
          <t>Tunas the hbits the Salmons swordfish</t>
        </is>
      </c>
      <c r="D12128">
        <f>HYPERLINK("https://www.youtube.com/watch?v=n9v-cDwEVDQ&amp;t=93s", "Go to time")</f>
        <v/>
      </c>
    </row>
    <row r="12129">
      <c r="A12129">
        <f>HYPERLINK("https://www.youtube.com/watch?v=n9v-cDwEVDQ", "Video")</f>
        <v/>
      </c>
      <c r="B12129" t="inlineStr">
        <is>
          <t>13:01</t>
        </is>
      </c>
      <c r="C12129" t="inlineStr">
        <is>
          <t>clean like you were taking a bite of the</t>
        </is>
      </c>
      <c r="D12129">
        <f>HYPERLINK("https://www.youtube.com/watch?v=n9v-cDwEVDQ&amp;t=781s", "Go to time")</f>
        <v/>
      </c>
    </row>
    <row r="12130">
      <c r="A12130">
        <f>HYPERLINK("https://www.youtube.com/watch?v=n9v-cDwEVDQ", "Video")</f>
        <v/>
      </c>
      <c r="B12130" t="inlineStr">
        <is>
          <t>15:02</t>
        </is>
      </c>
      <c r="C12130" t="inlineStr">
        <is>
          <t>but for a lot of people that's a bit too</t>
        </is>
      </c>
      <c r="D12130">
        <f>HYPERLINK("https://www.youtube.com/watch?v=n9v-cDwEVDQ&amp;t=902s", "Go to time")</f>
        <v/>
      </c>
    </row>
    <row r="12131">
      <c r="A12131">
        <f>HYPERLINK("https://www.youtube.com/watch?v=10dkp-N0iwU", "Video")</f>
        <v/>
      </c>
      <c r="B12131" t="inlineStr">
        <is>
          <t>1:00</t>
        </is>
      </c>
      <c r="C12131" t="inlineStr">
        <is>
          <t>when I was offered a fbite to</t>
        </is>
      </c>
      <c r="D12131">
        <f>HYPERLINK("https://www.youtube.com/watch?v=10dkp-N0iwU&amp;t=60s", "Go to time")</f>
        <v/>
      </c>
    </row>
    <row r="12132">
      <c r="A12132">
        <f>HYPERLINK("https://www.youtube.com/watch?v=10dkp-N0iwU", "Video")</f>
        <v/>
      </c>
      <c r="B12132" t="inlineStr">
        <is>
          <t>1:03</t>
        </is>
      </c>
      <c r="C12132" t="inlineStr">
        <is>
          <t>India promising to give exhibitions of</t>
        </is>
      </c>
      <c r="D12132">
        <f>HYPERLINK("https://www.youtube.com/watch?v=10dkp-N0iwU&amp;t=63s", "Go to time")</f>
        <v/>
      </c>
    </row>
    <row r="12133">
      <c r="A12133">
        <f>HYPERLINK("https://www.youtube.com/watch?v=K6r2ikSjnUo", "Video")</f>
        <v/>
      </c>
      <c r="B12133" t="inlineStr">
        <is>
          <t>2:44</t>
        </is>
      </c>
      <c r="C12133" t="inlineStr">
        <is>
          <t>highlighting the arbitrary nature
of human suffering</t>
        </is>
      </c>
      <c r="D12133">
        <f>HYPERLINK("https://www.youtube.com/watch?v=K6r2ikSjnUo&amp;t=164s", "Go to time")</f>
        <v/>
      </c>
    </row>
    <row r="12134">
      <c r="A12134">
        <f>HYPERLINK("https://www.youtube.com/watch?v=VjO55pKuBo4", "Video")</f>
        <v/>
      </c>
      <c r="B12134" t="inlineStr">
        <is>
          <t>1:53</t>
        </is>
      </c>
      <c r="C12134" t="inlineStr">
        <is>
          <t>Margaret was beautiful, ambitious,</t>
        </is>
      </c>
      <c r="D12134">
        <f>HYPERLINK("https://www.youtube.com/watch?v=VjO55pKuBo4&amp;t=113s", "Go to time")</f>
        <v/>
      </c>
    </row>
    <row r="12135">
      <c r="A12135">
        <f>HYPERLINK("https://www.youtube.com/watch?v=gQbZX9JEQsQ", "Video")</f>
        <v/>
      </c>
      <c r="B12135" t="inlineStr">
        <is>
          <t>1:54</t>
        </is>
      </c>
      <c r="C12135" t="inlineStr">
        <is>
          <t>and forestalled their archaeological 
ambitions for several years.</t>
        </is>
      </c>
      <c r="D12135">
        <f>HYPERLINK("https://www.youtube.com/watch?v=gQbZX9JEQsQ&amp;t=114s", "Go to time")</f>
        <v/>
      </c>
    </row>
    <row r="12136">
      <c r="A12136">
        <f>HYPERLINK("https://www.youtube.com/watch?v=gQbZX9JEQsQ", "Video")</f>
        <v/>
      </c>
      <c r="B12136" t="inlineStr">
        <is>
          <t>4:04</t>
        </is>
      </c>
      <c r="C12136" t="inlineStr">
        <is>
          <t>a bit of faith,</t>
        </is>
      </c>
      <c r="D12136">
        <f>HYPERLINK("https://www.youtube.com/watch?v=gQbZX9JEQsQ&amp;t=244s", "Go to time")</f>
        <v/>
      </c>
    </row>
    <row r="12137">
      <c r="A12137">
        <f>HYPERLINK("https://www.youtube.com/watch?v=JYZpxRy5Mfg", "Video")</f>
        <v/>
      </c>
      <c r="B12137" t="inlineStr">
        <is>
          <t>2:08</t>
        </is>
      </c>
      <c r="C12137" t="inlineStr">
        <is>
          <t>provide habitats, and absorb tons 
of greenhouse gases.</t>
        </is>
      </c>
      <c r="D12137">
        <f>HYPERLINK("https://www.youtube.com/watch?v=JYZpxRy5Mfg&amp;t=128s", "Go to time")</f>
        <v/>
      </c>
    </row>
    <row r="12138">
      <c r="A12138">
        <f>HYPERLINK("https://www.youtube.com/watch?v=JYZpxRy5Mfg", "Video")</f>
        <v/>
      </c>
      <c r="B12138" t="inlineStr">
        <is>
          <t>3:26</t>
        </is>
      </c>
      <c r="C12138" t="inlineStr">
        <is>
          <t>while creating habitats for other 
species to thrive.</t>
        </is>
      </c>
      <c r="D12138">
        <f>HYPERLINK("https://www.youtube.com/watch?v=JYZpxRy5Mfg&amp;t=206s", "Go to time")</f>
        <v/>
      </c>
    </row>
    <row r="12139">
      <c r="A12139">
        <f>HYPERLINK("https://www.youtube.com/watch?v=AXR-etStvCI", "Video")</f>
        <v/>
      </c>
      <c r="B12139" t="inlineStr">
        <is>
          <t>0:38</t>
        </is>
      </c>
      <c r="C12139" t="inlineStr">
        <is>
          <t>that would do the least bit of 
damage to it.</t>
        </is>
      </c>
      <c r="D12139">
        <f>HYPERLINK("https://www.youtube.com/watch?v=AXR-etStvCI&amp;t=38s", "Go to time")</f>
        <v/>
      </c>
    </row>
    <row r="12140">
      <c r="A12140">
        <f>HYPERLINK("https://www.youtube.com/watch?v=AXR-etStvCI", "Video")</f>
        <v/>
      </c>
      <c r="B12140" t="inlineStr">
        <is>
          <t>0:47</t>
        </is>
      </c>
      <c r="C12140" t="inlineStr">
        <is>
          <t>releasing a bit of energy as gravitational
waves in the process.</t>
        </is>
      </c>
      <c r="D12140">
        <f>HYPERLINK("https://www.youtube.com/watch?v=AXR-etStvCI&amp;t=47s", "Go to time")</f>
        <v/>
      </c>
    </row>
    <row r="12141">
      <c r="A12141">
        <f>HYPERLINK("https://www.youtube.com/watch?v=33cP54FcERA", "Video")</f>
        <v/>
      </c>
      <c r="B12141" t="inlineStr">
        <is>
          <t>1:14</t>
        </is>
      </c>
      <c r="C12141" t="inlineStr">
        <is>
          <t>in the west from Polish dominion, but 
their victory was a bitter one.</t>
        </is>
      </c>
      <c r="D12141">
        <f>HYPERLINK("https://www.youtube.com/watch?v=33cP54FcERA&amp;t=74s", "Go to time")</f>
        <v/>
      </c>
    </row>
    <row r="12142">
      <c r="A12142">
        <f>HYPERLINK("https://www.youtube.com/watch?v=C-fQo8zmiPQ", "Video")</f>
        <v/>
      </c>
      <c r="B12142" t="inlineStr">
        <is>
          <t>4:58</t>
        </is>
      </c>
      <c r="C12142" t="inlineStr">
        <is>
          <t>and attempted to dismantle their culture, 
prohibiting the Sun Dance on reservations.</t>
        </is>
      </c>
      <c r="D12142">
        <f>HYPERLINK("https://www.youtube.com/watch?v=C-fQo8zmiPQ&amp;t=298s", "Go to time")</f>
        <v/>
      </c>
    </row>
    <row r="12143">
      <c r="A12143">
        <f>HYPERLINK("https://www.youtube.com/watch?v=DcdufLc3QSA", "Video")</f>
        <v/>
      </c>
      <c r="B12143" t="inlineStr">
        <is>
          <t>3:34</t>
        </is>
      </c>
      <c r="C12143" t="inlineStr">
        <is>
          <t>and warned that it can emerge whenever
society inhibits our ability to think;</t>
        </is>
      </c>
      <c r="D12143">
        <f>HYPERLINK("https://www.youtube.com/watch?v=DcdufLc3QSA&amp;t=214s", "Go to time")</f>
        <v/>
      </c>
    </row>
    <row r="12144">
      <c r="A12144">
        <f>HYPERLINK("https://www.youtube.com/watch?v=DcdufLc3QSA", "Video")</f>
        <v/>
      </c>
      <c r="B12144" t="inlineStr">
        <is>
          <t>4:21</t>
        </is>
      </c>
      <c r="C12144" t="inlineStr">
        <is>
          <t>which would increase social alienation
and inhibit human freedom.</t>
        </is>
      </c>
      <c r="D12144">
        <f>HYPERLINK("https://www.youtube.com/watch?v=DcdufLc3QSA&amp;t=261s", "Go to time")</f>
        <v/>
      </c>
    </row>
    <row r="12145">
      <c r="A12145">
        <f>HYPERLINK("https://www.youtube.com/watch?v=hk9c7sJ08Bg", "Video")</f>
        <v/>
      </c>
      <c r="B12145" t="inlineStr">
        <is>
          <t>4:50</t>
        </is>
      </c>
      <c r="C12145" t="inlineStr">
        <is>
          <t>In fact, the most likely score is 400, 
so she was a little bit unlucky.</t>
        </is>
      </c>
      <c r="D12145">
        <f>HYPERLINK("https://www.youtube.com/watch?v=hk9c7sJ08Bg&amp;t=290s", "Go to time")</f>
        <v/>
      </c>
    </row>
    <row r="12146">
      <c r="A12146">
        <f>HYPERLINK("https://www.youtube.com/watch?v=aeQu6qWa_LM", "Video")</f>
        <v/>
      </c>
      <c r="B12146" t="inlineStr">
        <is>
          <t>1:34</t>
        </is>
      </c>
      <c r="C12146" t="inlineStr">
        <is>
          <t>pobiti's nerfect like i can't even say</t>
        </is>
      </c>
      <c r="D12146">
        <f>HYPERLINK("https://www.youtube.com/watch?v=aeQu6qWa_LM&amp;t=94s", "Go to time")</f>
        <v/>
      </c>
    </row>
    <row r="12147">
      <c r="A12147">
        <f>HYPERLINK("https://www.youtube.com/watch?v=WWxH4lvX0UM", "Video")</f>
        <v/>
      </c>
      <c r="B12147" t="inlineStr">
        <is>
          <t>0:56</t>
        </is>
      </c>
      <c r="C12147" t="inlineStr">
        <is>
          <t>bit of viral</t>
        </is>
      </c>
      <c r="D12147">
        <f>HYPERLINK("https://www.youtube.com/watch?v=WWxH4lvX0UM&amp;t=56s", "Go to time")</f>
        <v/>
      </c>
    </row>
    <row r="12148">
      <c r="A12148">
        <f>HYPERLINK("https://www.youtube.com/watch?v=aewQRIyY_CE", "Video")</f>
        <v/>
      </c>
      <c r="B12148" t="inlineStr">
        <is>
          <t>2:29</t>
        </is>
      </c>
      <c r="C12148" t="inlineStr">
        <is>
          <t>human flesh it's a bit extreme yeah i'm</t>
        </is>
      </c>
      <c r="D12148">
        <f>HYPERLINK("https://www.youtube.com/watch?v=aewQRIyY_CE&amp;t=149s", "Go to time")</f>
        <v/>
      </c>
    </row>
    <row r="12149">
      <c r="A12149">
        <f>HYPERLINK("https://www.youtube.com/watch?v=cC4Hqwr0C14", "Video")</f>
        <v/>
      </c>
      <c r="B12149" t="inlineStr">
        <is>
          <t>2:32</t>
        </is>
      </c>
      <c r="C12149" t="inlineStr">
        <is>
          <t>i think it'll take you a little bit</t>
        </is>
      </c>
      <c r="D12149">
        <f>HYPERLINK("https://www.youtube.com/watch?v=cC4Hqwr0C14&amp;t=152s", "Go to time")</f>
        <v/>
      </c>
    </row>
    <row r="12150">
      <c r="A12150">
        <f>HYPERLINK("https://www.youtube.com/watch?v=KBKovqDDbhE", "Video")</f>
        <v/>
      </c>
      <c r="B12150" t="inlineStr">
        <is>
          <t>10:14</t>
        </is>
      </c>
      <c r="C12150" t="inlineStr">
        <is>
          <t>inhibitions. This was the gateway. You</t>
        </is>
      </c>
      <c r="D12150">
        <f>HYPERLINK("https://www.youtube.com/watch?v=KBKovqDDbhE&amp;t=614s", "Go to time")</f>
        <v/>
      </c>
    </row>
    <row r="12151">
      <c r="A12151">
        <f>HYPERLINK("https://www.youtube.com/watch?v=Y3_Hpe1AfLU", "Video")</f>
        <v/>
      </c>
      <c r="B12151" t="inlineStr">
        <is>
          <t>10:29</t>
        </is>
      </c>
      <c r="C12151" t="inlineStr">
        <is>
          <t>after a bit you did it run away fearful</t>
        </is>
      </c>
      <c r="D12151">
        <f>HYPERLINK("https://www.youtube.com/watch?v=Y3_Hpe1AfLU&amp;t=629s", "Go to time")</f>
        <v/>
      </c>
    </row>
    <row r="12152">
      <c r="A12152">
        <f>HYPERLINK("https://www.youtube.com/watch?v=C4mtt7jltJk", "Video")</f>
        <v/>
      </c>
      <c r="B12152" t="inlineStr">
        <is>
          <t>14:26</t>
        </is>
      </c>
      <c r="C12152" t="inlineStr">
        <is>
          <t>shot was when you were bitten by a bat a</t>
        </is>
      </c>
      <c r="D12152">
        <f>HYPERLINK("https://www.youtube.com/watch?v=C4mtt7jltJk&amp;t=866s", "Go to time")</f>
        <v/>
      </c>
    </row>
    <row r="12153">
      <c r="A12153">
        <f>HYPERLINK("https://www.youtube.com/watch?v=C4mtt7jltJk", "Video")</f>
        <v/>
      </c>
      <c r="B12153" t="inlineStr">
        <is>
          <t>14:35</t>
        </is>
      </c>
      <c r="C12153" t="inlineStr">
        <is>
          <t>were recently bitten by a raccoon and a</t>
        </is>
      </c>
      <c r="D12153">
        <f>HYPERLINK("https://www.youtube.com/watch?v=C4mtt7jltJk&amp;t=875s", "Go to time")</f>
        <v/>
      </c>
    </row>
    <row r="12154">
      <c r="A12154">
        <f>HYPERLINK("https://www.youtube.com/watch?v=2n2oT44oIZI", "Video")</f>
        <v/>
      </c>
      <c r="B12154" t="inlineStr">
        <is>
          <t>6:00</t>
        </is>
      </c>
      <c r="C12154" t="inlineStr">
        <is>
          <t>gets an Ace inhibitor with her meal if</t>
        </is>
      </c>
      <c r="D12154">
        <f>HYPERLINK("https://www.youtube.com/watch?v=2n2oT44oIZI&amp;t=360s", "Go to time")</f>
        <v/>
      </c>
    </row>
    <row r="12155">
      <c r="A12155">
        <f>HYPERLINK("https://www.youtube.com/watch?v=2n2oT44oIZI", "Video")</f>
        <v/>
      </c>
      <c r="B12155" t="inlineStr">
        <is>
          <t>13:58</t>
        </is>
      </c>
      <c r="C12155" t="inlineStr">
        <is>
          <t>bit more nice and polite then people</t>
        </is>
      </c>
      <c r="D12155">
        <f>HYPERLINK("https://www.youtube.com/watch?v=2n2oT44oIZI&amp;t=838s", "Go to time")</f>
        <v/>
      </c>
    </row>
    <row r="12156">
      <c r="A12156">
        <f>HYPERLINK("https://www.youtube.com/watch?v=iYvvc1fwoWw", "Video")</f>
        <v/>
      </c>
      <c r="B12156" t="inlineStr">
        <is>
          <t>4:55</t>
        </is>
      </c>
      <c r="C12156" t="inlineStr">
        <is>
          <t>having just eaten human flesh it's a bit</t>
        </is>
      </c>
      <c r="D12156">
        <f>HYPERLINK("https://www.youtube.com/watch?v=iYvvc1fwoWw&amp;t=295s", "Go to time")</f>
        <v/>
      </c>
    </row>
    <row r="12157">
      <c r="A12157">
        <f>HYPERLINK("https://www.youtube.com/watch?v=ClzJkv3dpY8", "Video")</f>
        <v/>
      </c>
      <c r="B12157" t="inlineStr">
        <is>
          <t>3:51</t>
        </is>
      </c>
      <c r="C12157" t="inlineStr">
        <is>
          <t>Dwight: One more bite of eclair each. Hold it in your mouth if you can't swallow.</t>
        </is>
      </c>
      <c r="D12157">
        <f>HYPERLINK("https://www.youtube.com/watch?v=ClzJkv3dpY8&amp;t=231s", "Go to time")</f>
        <v/>
      </c>
    </row>
    <row r="12158">
      <c r="A12158">
        <f>HYPERLINK("https://www.youtube.com/watch?v=ZC-Mk2iIXgk", "Video")</f>
        <v/>
      </c>
      <c r="B12158" t="inlineStr">
        <is>
          <t>1:13</t>
        </is>
      </c>
      <c r="C12158" t="inlineStr">
        <is>
          <t>it's got a little bit of a zing to it</t>
        </is>
      </c>
      <c r="D12158">
        <f>HYPERLINK("https://www.youtube.com/watch?v=ZC-Mk2iIXgk&amp;t=73s", "Go to time")</f>
        <v/>
      </c>
    </row>
    <row r="12159">
      <c r="A12159">
        <f>HYPERLINK("https://www.youtube.com/watch?v=vSLcEPdd0v0", "Video")</f>
        <v/>
      </c>
      <c r="B12159" t="inlineStr">
        <is>
          <t>0:48</t>
        </is>
      </c>
      <c r="C12159" t="inlineStr">
        <is>
          <t>stanley we're having a little bit we're</t>
        </is>
      </c>
      <c r="D12159">
        <f>HYPERLINK("https://www.youtube.com/watch?v=vSLcEPdd0v0&amp;t=48s", "Go to time")</f>
        <v/>
      </c>
    </row>
    <row r="12160">
      <c r="A12160">
        <f>HYPERLINK("https://www.youtube.com/watch?v=YId_6G-YLpQ", "Video")</f>
        <v/>
      </c>
      <c r="B12160" t="inlineStr">
        <is>
          <t>3:39</t>
        </is>
      </c>
      <c r="C12160" t="inlineStr">
        <is>
          <t>are in for a bitter surprise I am not to</t>
        </is>
      </c>
      <c r="D12160">
        <f>HYPERLINK("https://www.youtube.com/watch?v=YId_6G-YLpQ&amp;t=219s", "Go to time")</f>
        <v/>
      </c>
    </row>
    <row r="12161">
      <c r="A12161">
        <f>HYPERLINK("https://www.youtube.com/watch?v=j8RNwdcDn0g", "Video")</f>
        <v/>
      </c>
      <c r="B12161" t="inlineStr">
        <is>
          <t>0:17</t>
        </is>
      </c>
      <c r="C12161" t="inlineStr">
        <is>
          <t>she came with she's going to orbit</t>
        </is>
      </c>
      <c r="D12161">
        <f>HYPERLINK("https://www.youtube.com/watch?v=j8RNwdcDn0g&amp;t=17s", "Go to time")</f>
        <v/>
      </c>
    </row>
    <row r="12162">
      <c r="A12162">
        <f>HYPERLINK("https://www.youtube.com/watch?v=AjxHnKdi50w", "Video")</f>
        <v/>
      </c>
      <c r="B12162" t="inlineStr">
        <is>
          <t>5:29</t>
        </is>
      </c>
      <c r="C12162" t="inlineStr">
        <is>
          <t>just a little bit different maybe a uh</t>
        </is>
      </c>
      <c r="D12162">
        <f>HYPERLINK("https://www.youtube.com/watch?v=AjxHnKdi50w&amp;t=329s", "Go to time")</f>
        <v/>
      </c>
    </row>
    <row r="12163">
      <c r="A12163">
        <f>HYPERLINK("https://www.youtube.com/watch?v=AjxHnKdi50w", "Video")</f>
        <v/>
      </c>
      <c r="B12163" t="inlineStr">
        <is>
          <t>6:13</t>
        </is>
      </c>
      <c r="C12163" t="inlineStr">
        <is>
          <t>biting it i' prefer for him to think of</t>
        </is>
      </c>
      <c r="D12163">
        <f>HYPERLINK("https://www.youtube.com/watch?v=AjxHnKdi50w&amp;t=373s", "Go to time")</f>
        <v/>
      </c>
    </row>
    <row r="12164">
      <c r="A12164">
        <f>HYPERLINK("https://www.youtube.com/watch?v=dBUGfs9rwms", "Video")</f>
        <v/>
      </c>
      <c r="B12164" t="inlineStr">
        <is>
          <t>2:40</t>
        </is>
      </c>
      <c r="C12164" t="inlineStr">
        <is>
          <t>-One more bite of eclair each.</t>
        </is>
      </c>
      <c r="D12164">
        <f>HYPERLINK("https://www.youtube.com/watch?v=dBUGfs9rwms&amp;t=160s", "Go to time")</f>
        <v/>
      </c>
    </row>
    <row r="12165">
      <c r="A12165">
        <f>HYPERLINK("https://www.youtube.com/watch?v=GB8e5_hmCNY", "Video")</f>
        <v/>
      </c>
      <c r="B12165" t="inlineStr">
        <is>
          <t>6:33</t>
        </is>
      </c>
      <c r="C12165" t="inlineStr">
        <is>
          <t>♪♪ My rhymes bite like piranha
hotter than a sauna ♪♪</t>
        </is>
      </c>
      <c r="D12165">
        <f>HYPERLINK("https://www.youtube.com/watch?v=GB8e5_hmCNY&amp;t=393s", "Go to time")</f>
        <v/>
      </c>
    </row>
    <row r="12166">
      <c r="A12166">
        <f>HYPERLINK("https://www.youtube.com/watch?v=FgiS9jpMl6g", "Video")</f>
        <v/>
      </c>
      <c r="B12166" t="inlineStr">
        <is>
          <t>6:43</t>
        </is>
      </c>
      <c r="C12166" t="inlineStr">
        <is>
          <t>having a limited a little bit louder I'm</t>
        </is>
      </c>
      <c r="D12166">
        <f>HYPERLINK("https://www.youtube.com/watch?v=FgiS9jpMl6g&amp;t=403s", "Go to time")</f>
        <v/>
      </c>
    </row>
    <row r="12167">
      <c r="A12167">
        <f>HYPERLINK("https://www.youtube.com/watch?v=FgiS9jpMl6g", "Video")</f>
        <v/>
      </c>
      <c r="B12167" t="inlineStr">
        <is>
          <t>9:48</t>
        </is>
      </c>
      <c r="C12167" t="inlineStr">
        <is>
          <t>increase Pro everyone gets a little bit</t>
        </is>
      </c>
      <c r="D12167">
        <f>HYPERLINK("https://www.youtube.com/watch?v=FgiS9jpMl6g&amp;t=588s", "Go to time")</f>
        <v/>
      </c>
    </row>
    <row r="12168">
      <c r="A12168">
        <f>HYPERLINK("https://www.youtube.com/watch?v=PtwgCeKMhhY", "Video")</f>
        <v/>
      </c>
      <c r="B12168" t="inlineStr">
        <is>
          <t>8:36</t>
        </is>
      </c>
      <c r="C12168" t="inlineStr">
        <is>
          <t>pillow once and I got bit</t>
        </is>
      </c>
      <c r="D12168">
        <f>HYPERLINK("https://www.youtube.com/watch?v=PtwgCeKMhhY&amp;t=516s", "Go to time")</f>
        <v/>
      </c>
    </row>
    <row r="12169">
      <c r="A12169">
        <f>HYPERLINK("https://www.youtube.com/watch?v=g9wlrjt3vPY", "Video")</f>
        <v/>
      </c>
      <c r="B12169" t="inlineStr">
        <is>
          <t>5:48</t>
        </is>
      </c>
      <c r="C12169" t="inlineStr">
        <is>
          <t>happens to be biting it i prefer for him</t>
        </is>
      </c>
      <c r="D12169">
        <f>HYPERLINK("https://www.youtube.com/watch?v=g9wlrjt3vPY&amp;t=348s", "Go to time")</f>
        <v/>
      </c>
    </row>
    <row r="12170">
      <c r="A12170">
        <f>HYPERLINK("https://www.youtube.com/watch?v=CwMaSMBOebc", "Video")</f>
        <v/>
      </c>
      <c r="B12170" t="inlineStr">
        <is>
          <t>9:11</t>
        </is>
      </c>
      <c r="C12170" t="inlineStr">
        <is>
          <t>it all seems so very arbitrary I applied</t>
        </is>
      </c>
      <c r="D12170">
        <f>HYPERLINK("https://www.youtube.com/watch?v=CwMaSMBOebc&amp;t=551s", "Go to time")</f>
        <v/>
      </c>
    </row>
    <row r="12171">
      <c r="A12171">
        <f>HYPERLINK("https://www.youtube.com/watch?v=1W_GIE1shhc", "Video")</f>
        <v/>
      </c>
      <c r="B12171" t="inlineStr">
        <is>
          <t>10:35</t>
        </is>
      </c>
      <c r="C12171" t="inlineStr">
        <is>
          <t>bit</t>
        </is>
      </c>
      <c r="D12171">
        <f>HYPERLINK("https://www.youtube.com/watch?v=1W_GIE1shhc&amp;t=635s", "Go to time")</f>
        <v/>
      </c>
    </row>
    <row r="12172">
      <c r="A12172">
        <f>HYPERLINK("https://www.youtube.com/watch?v=1W_GIE1shhc", "Video")</f>
        <v/>
      </c>
      <c r="B12172" t="inlineStr">
        <is>
          <t>13:07</t>
        </is>
      </c>
      <c r="C12172" t="inlineStr">
        <is>
          <t>little bit andy you all right</t>
        </is>
      </c>
      <c r="D12172">
        <f>HYPERLINK("https://www.youtube.com/watch?v=1W_GIE1shhc&amp;t=787s", "Go to time")</f>
        <v/>
      </c>
    </row>
    <row r="12173">
      <c r="A12173">
        <f>HYPERLINK("https://www.youtube.com/watch?v=1W_GIE1shhc", "Video")</f>
        <v/>
      </c>
      <c r="B12173" t="inlineStr">
        <is>
          <t>13:24</t>
        </is>
      </c>
      <c r="C12173" t="inlineStr">
        <is>
          <t>you're like a bit you're like a</t>
        </is>
      </c>
      <c r="D12173">
        <f>HYPERLINK("https://www.youtube.com/watch?v=1W_GIE1shhc&amp;t=804s", "Go to time")</f>
        <v/>
      </c>
    </row>
    <row r="12174">
      <c r="A12174">
        <f>HYPERLINK("https://www.youtube.com/watch?v=tagwCS0T0pg", "Video")</f>
        <v/>
      </c>
      <c r="B12174" t="inlineStr">
        <is>
          <t>5:20</t>
        </is>
      </c>
      <c r="C12174" t="inlineStr">
        <is>
          <t>exhibition love to see that dunk ears</t>
        </is>
      </c>
      <c r="D12174">
        <f>HYPERLINK("https://www.youtube.com/watch?v=tagwCS0T0pg&amp;t=320s", "Go to time")</f>
        <v/>
      </c>
    </row>
    <row r="12175">
      <c r="A12175">
        <f>HYPERLINK("https://www.youtube.com/watch?v=ulxDhZIaSCU", "Video")</f>
        <v/>
      </c>
      <c r="B12175" t="inlineStr">
        <is>
          <t>3:15</t>
        </is>
      </c>
      <c r="C12175" t="inlineStr">
        <is>
          <t>put my heart out but after a bit you did</t>
        </is>
      </c>
      <c r="D12175">
        <f>HYPERLINK("https://www.youtube.com/watch?v=ulxDhZIaSCU&amp;t=195s", "Go to time")</f>
        <v/>
      </c>
    </row>
    <row r="12176">
      <c r="A12176">
        <f>HYPERLINK("https://www.youtube.com/watch?v=48IueM7_oY8", "Video")</f>
        <v/>
      </c>
      <c r="B12176" t="inlineStr">
        <is>
          <t>5:38</t>
        </is>
      </c>
      <c r="C12176" t="inlineStr">
        <is>
          <t>just chill out a little bit on the herp</t>
        </is>
      </c>
      <c r="D12176">
        <f>HYPERLINK("https://www.youtube.com/watch?v=48IueM7_oY8&amp;t=338s", "Go to time")</f>
        <v/>
      </c>
    </row>
    <row r="12177">
      <c r="A12177">
        <f>HYPERLINK("https://www.youtube.com/watch?v=GAqh9zQuNPU", "Video")</f>
        <v/>
      </c>
      <c r="B12177" t="inlineStr">
        <is>
          <t>4:52</t>
        </is>
      </c>
      <c r="C12177" t="inlineStr">
        <is>
          <t>to be biting it I prefer for him to</t>
        </is>
      </c>
      <c r="D12177">
        <f>HYPERLINK("https://www.youtube.com/watch?v=GAqh9zQuNPU&amp;t=292s", "Go to time")</f>
        <v/>
      </c>
    </row>
    <row r="12178">
      <c r="A12178">
        <f>HYPERLINK("https://www.youtube.com/watch?v=GAqh9zQuNPU", "Video")</f>
        <v/>
      </c>
      <c r="B12178" t="inlineStr">
        <is>
          <t>9:12</t>
        </is>
      </c>
      <c r="C12178" t="inlineStr">
        <is>
          <t>be a little bit of feather and your</t>
        </is>
      </c>
      <c r="D12178">
        <f>HYPERLINK("https://www.youtube.com/watch?v=GAqh9zQuNPU&amp;t=552s", "Go to time")</f>
        <v/>
      </c>
    </row>
    <row r="12179">
      <c r="A12179">
        <f>HYPERLINK("https://www.youtube.com/watch?v=GAqh9zQuNPU", "Video")</f>
        <v/>
      </c>
      <c r="B12179" t="inlineStr">
        <is>
          <t>9:13</t>
        </is>
      </c>
      <c r="C12179" t="inlineStr">
        <is>
          <t>nuggets or just a little bit of meat</t>
        </is>
      </c>
      <c r="D12179">
        <f>HYPERLINK("https://www.youtube.com/watch?v=GAqh9zQuNPU&amp;t=553s", "Go to time")</f>
        <v/>
      </c>
    </row>
    <row r="12180">
      <c r="A12180">
        <f>HYPERLINK("https://www.youtube.com/watch?v=4Vic0qKl64Y", "Video")</f>
        <v/>
      </c>
      <c r="B12180" t="inlineStr">
        <is>
          <t>1:23</t>
        </is>
      </c>
      <c r="C12180" t="inlineStr">
        <is>
          <t>know I felt it bite me but look there's</t>
        </is>
      </c>
      <c r="D12180">
        <f>HYPERLINK("https://www.youtube.com/watch?v=4Vic0qKl64Y&amp;t=83s", "Go to time")</f>
        <v/>
      </c>
    </row>
    <row r="12181">
      <c r="A12181">
        <f>HYPERLINK("https://www.youtube.com/watch?v=YA82OoS0JaM", "Video")</f>
        <v/>
      </c>
      <c r="B12181" t="inlineStr">
        <is>
          <t>7:58</t>
        </is>
      </c>
      <c r="C12181" t="inlineStr">
        <is>
          <t>little bit of a weird smell it's okay at</t>
        </is>
      </c>
      <c r="D12181">
        <f>HYPERLINK("https://www.youtube.com/watch?v=YA82OoS0JaM&amp;t=478s", "Go to time")</f>
        <v/>
      </c>
    </row>
    <row r="12182">
      <c r="A12182">
        <f>HYPERLINK("https://www.youtube.com/watch?v=7iaC5iITLe0", "Video")</f>
        <v/>
      </c>
      <c r="B12182" t="inlineStr">
        <is>
          <t>1:59</t>
        </is>
      </c>
      <c r="C12182" t="inlineStr">
        <is>
          <t>little bit about what you're going</t>
        </is>
      </c>
      <c r="D12182">
        <f>HYPERLINK("https://www.youtube.com/watch?v=7iaC5iITLe0&amp;t=119s", "Go to time")</f>
        <v/>
      </c>
    </row>
    <row r="12183">
      <c r="A12183">
        <f>HYPERLINK("https://www.youtube.com/watch?v=Iv22Ko4LQEQ", "Video")</f>
        <v/>
      </c>
      <c r="B12183" t="inlineStr">
        <is>
          <t>6:18</t>
        </is>
      </c>
      <c r="C12183" t="inlineStr">
        <is>
          <t>have which is a home and a bit</t>
        </is>
      </c>
      <c r="D12183">
        <f>HYPERLINK("https://www.youtube.com/watch?v=Iv22Ko4LQEQ&amp;t=378s", "Go to time")</f>
        <v/>
      </c>
    </row>
    <row r="12184">
      <c r="A12184">
        <f>HYPERLINK("https://www.youtube.com/watch?v=fcCJLxaA5gw", "Video")</f>
        <v/>
      </c>
      <c r="B12184" t="inlineStr">
        <is>
          <t>40:22</t>
        </is>
      </c>
      <c r="C12184" t="inlineStr">
        <is>
          <t>opening hey my name is Tabitha I'm</t>
        </is>
      </c>
      <c r="D12184">
        <f>HYPERLINK("https://www.youtube.com/watch?v=fcCJLxaA5gw&amp;t=2422s", "Go to time")</f>
        <v/>
      </c>
    </row>
    <row r="12185">
      <c r="A12185">
        <f>HYPERLINK("https://www.youtube.com/watch?v=Itbsnna09MY", "Video")</f>
        <v/>
      </c>
      <c r="B12185" t="inlineStr">
        <is>
          <t>3:14</t>
        </is>
      </c>
      <c r="C12185" t="inlineStr">
        <is>
          <t>minutes I it'll take you a little bit</t>
        </is>
      </c>
      <c r="D12185">
        <f>HYPERLINK("https://www.youtube.com/watch?v=Itbsnna09MY&amp;t=194s", "Go to time")</f>
        <v/>
      </c>
    </row>
    <row r="12186">
      <c r="A12186">
        <f>HYPERLINK("https://www.youtube.com/watch?v=Itbsnna09MY", "Video")</f>
        <v/>
      </c>
      <c r="B12186" t="inlineStr">
        <is>
          <t>8:27</t>
        </is>
      </c>
      <c r="C12186" t="inlineStr">
        <is>
          <t>see just how deep the rabbit hole</t>
        </is>
      </c>
      <c r="D12186">
        <f>HYPERLINK("https://www.youtube.com/watch?v=Itbsnna09MY&amp;t=507s", "Go to time")</f>
        <v/>
      </c>
    </row>
    <row r="12187">
      <c r="A12187">
        <f>HYPERLINK("https://www.youtube.com/watch?v=Yp-Gm-Xb7Ck", "Video")</f>
        <v/>
      </c>
      <c r="B12187" t="inlineStr">
        <is>
          <t>12:13</t>
        </is>
      </c>
      <c r="C12187" t="inlineStr">
        <is>
          <t>bit because every little bump in the</t>
        </is>
      </c>
      <c r="D12187">
        <f>HYPERLINK("https://www.youtube.com/watch?v=Yp-Gm-Xb7Ck&amp;t=733s", "Go to time")</f>
        <v/>
      </c>
    </row>
    <row r="12188">
      <c r="A12188">
        <f>HYPERLINK("https://www.youtube.com/watch?v=Yp-Gm-Xb7Ck", "Video")</f>
        <v/>
      </c>
      <c r="B12188" t="inlineStr">
        <is>
          <t>12:24</t>
        </is>
      </c>
      <c r="C12188" t="inlineStr">
        <is>
          <t>bit okay I was kind of doing your job so</t>
        </is>
      </c>
      <c r="D12188">
        <f>HYPERLINK("https://www.youtube.com/watch?v=Yp-Gm-Xb7Ck&amp;t=744s", "Go to time")</f>
        <v/>
      </c>
    </row>
    <row r="12189">
      <c r="A12189">
        <f>HYPERLINK("https://www.youtube.com/watch?v=Bd_nvjvrrds", "Video")</f>
        <v/>
      </c>
      <c r="B12189" t="inlineStr">
        <is>
          <t>1:52</t>
        </is>
      </c>
      <c r="C12189" t="inlineStr">
        <is>
          <t>bit scared I'm sure everything will be</t>
        </is>
      </c>
      <c r="D12189">
        <f>HYPERLINK("https://www.youtube.com/watch?v=Bd_nvjvrrds&amp;t=112s", "Go to time")</f>
        <v/>
      </c>
    </row>
    <row r="12190">
      <c r="A12190">
        <f>HYPERLINK("https://www.youtube.com/watch?v=Wclm0bykAEE", "Video")</f>
        <v/>
      </c>
      <c r="B12190" t="inlineStr">
        <is>
          <t>1:55</t>
        </is>
      </c>
      <c r="C12190" t="inlineStr">
        <is>
          <t>sprinkles cotton candy bits and powdered</t>
        </is>
      </c>
      <c r="D12190">
        <f>HYPERLINK("https://www.youtube.com/watch?v=Wclm0bykAEE&amp;t=115s", "Go to time")</f>
        <v/>
      </c>
    </row>
    <row r="12191">
      <c r="A12191">
        <f>HYPERLINK("https://www.youtube.com/watch?v=C-TY__6zWhA", "Video")</f>
        <v/>
      </c>
      <c r="B12191" t="inlineStr">
        <is>
          <t>3:04</t>
        </is>
      </c>
      <c r="C12191" t="inlineStr">
        <is>
          <t>a little bit of the comedy juice</t>
        </is>
      </c>
      <c r="D12191">
        <f>HYPERLINK("https://www.youtube.com/watch?v=C-TY__6zWhA&amp;t=184s", "Go to time")</f>
        <v/>
      </c>
    </row>
    <row r="12192">
      <c r="A12192">
        <f>HYPERLINK("https://www.youtube.com/watch?v=ckdfR61vSnk", "Video")</f>
        <v/>
      </c>
      <c r="B12192" t="inlineStr">
        <is>
          <t>7:48</t>
        </is>
      </c>
      <c r="C12192" t="inlineStr">
        <is>
          <t>send a message about your Ambitions by</t>
        </is>
      </c>
      <c r="D12192">
        <f>HYPERLINK("https://www.youtube.com/watch?v=ckdfR61vSnk&amp;t=468s", "Go to time")</f>
        <v/>
      </c>
    </row>
    <row r="12193">
      <c r="A12193">
        <f>HYPERLINK("https://www.youtube.com/watch?v=zJdByIACzTc", "Video")</f>
        <v/>
      </c>
      <c r="B12193" t="inlineStr">
        <is>
          <t>13:05</t>
        </is>
      </c>
      <c r="C12193" t="inlineStr">
        <is>
          <t>okay he was salty he is a little bit</t>
        </is>
      </c>
      <c r="D12193">
        <f>HYPERLINK("https://www.youtube.com/watch?v=zJdByIACzTc&amp;t=785s", "Go to time")</f>
        <v/>
      </c>
    </row>
    <row r="12194">
      <c r="A12194">
        <f>HYPERLINK("https://www.youtube.com/watch?v=7lmQuD385kI", "Video")</f>
        <v/>
      </c>
      <c r="B12194" t="inlineStr">
        <is>
          <t>0:00</t>
        </is>
      </c>
      <c r="C12194" t="inlineStr">
        <is>
          <t>I can't come on a little bit dairy oh</t>
        </is>
      </c>
      <c r="D12194">
        <f>HYPERLINK("https://www.youtube.com/watch?v=7lmQuD385kI&amp;t=0s", "Go to time")</f>
        <v/>
      </c>
    </row>
    <row r="12195">
      <c r="A12195">
        <f>HYPERLINK("https://www.youtube.com/watch?v=IzFw-TdkJog", "Video")</f>
        <v/>
      </c>
      <c r="B12195" t="inlineStr">
        <is>
          <t>8:06</t>
        </is>
      </c>
      <c r="C12195" t="inlineStr">
        <is>
          <t>just doing a wee bit of oil market talk</t>
        </is>
      </c>
      <c r="D12195">
        <f>HYPERLINK("https://www.youtube.com/watch?v=IzFw-TdkJog&amp;t=486s", "Go to time")</f>
        <v/>
      </c>
    </row>
    <row r="12196">
      <c r="A12196">
        <f>HYPERLINK("https://www.youtube.com/watch?v=cq6RWwG5w9w", "Video")</f>
        <v/>
      </c>
      <c r="B12196" t="inlineStr">
        <is>
          <t>11:21</t>
        </is>
      </c>
      <c r="C12196" t="inlineStr">
        <is>
          <t>bit longer than that really if I can</t>
        </is>
      </c>
      <c r="D12196">
        <f>HYPERLINK("https://www.youtube.com/watch?v=cq6RWwG5w9w&amp;t=681s", "Go to time")</f>
        <v/>
      </c>
    </row>
    <row r="12197">
      <c r="A12197">
        <f>HYPERLINK("https://www.youtube.com/watch?v=LxeINIgEp38", "Video")</f>
        <v/>
      </c>
      <c r="B12197" t="inlineStr">
        <is>
          <t>5:39</t>
        </is>
      </c>
      <c r="C12197" t="inlineStr">
        <is>
          <t>repulsive habits that is a very very</t>
        </is>
      </c>
      <c r="D12197">
        <f>HYPERLINK("https://www.youtube.com/watch?v=LxeINIgEp38&amp;t=339s", "Go to time")</f>
        <v/>
      </c>
    </row>
    <row r="12198">
      <c r="A12198">
        <f>HYPERLINK("https://www.youtube.com/watch?v=KODMgQ6EKiU", "Video")</f>
        <v/>
      </c>
      <c r="B12198" t="inlineStr">
        <is>
          <t>5:52</t>
        </is>
      </c>
      <c r="C12198" t="inlineStr">
        <is>
          <t>bit just ignore sooner or later she'll</t>
        </is>
      </c>
      <c r="D12198">
        <f>HYPERLINK("https://www.youtube.com/watch?v=KODMgQ6EKiU&amp;t=352s", "Go to time")</f>
        <v/>
      </c>
    </row>
    <row r="12199">
      <c r="A12199">
        <f>HYPERLINK("https://www.youtube.com/watch?v=NcE6mL2rn1A", "Video")</f>
        <v/>
      </c>
      <c r="B12199" t="inlineStr">
        <is>
          <t>3:59</t>
        </is>
      </c>
      <c r="C12199" t="inlineStr">
        <is>
          <t>bit of uh mozzarella right there</t>
        </is>
      </c>
      <c r="D12199">
        <f>HYPERLINK("https://www.youtube.com/watch?v=NcE6mL2rn1A&amp;t=239s", "Go to time")</f>
        <v/>
      </c>
    </row>
    <row r="12200">
      <c r="A12200">
        <f>HYPERLINK("https://www.youtube.com/watch?v=HAIzFIOJA2c", "Video")</f>
        <v/>
      </c>
      <c r="B12200" t="inlineStr">
        <is>
          <t>1:59</t>
        </is>
      </c>
      <c r="C12200" t="inlineStr">
        <is>
          <t>little bit andy you all right</t>
        </is>
      </c>
      <c r="D12200">
        <f>HYPERLINK("https://www.youtube.com/watch?v=HAIzFIOJA2c&amp;t=119s", "Go to time")</f>
        <v/>
      </c>
    </row>
    <row r="12201">
      <c r="A12201">
        <f>HYPERLINK("https://www.youtube.com/watch?v=HAIzFIOJA2c", "Video")</f>
        <v/>
      </c>
      <c r="B12201" t="inlineStr">
        <is>
          <t>2:16</t>
        </is>
      </c>
      <c r="C12201" t="inlineStr">
        <is>
          <t>you're like a bit you're like a</t>
        </is>
      </c>
      <c r="D12201">
        <f>HYPERLINK("https://www.youtube.com/watch?v=HAIzFIOJA2c&amp;t=136s", "Go to time")</f>
        <v/>
      </c>
    </row>
    <row r="12202">
      <c r="A12202">
        <f>HYPERLINK("https://www.youtube.com/watch?v=bJsTZIvqmes", "Video")</f>
        <v/>
      </c>
      <c r="B12202" t="inlineStr">
        <is>
          <t>0:55</t>
        </is>
      </c>
      <c r="C12202" t="inlineStr">
        <is>
          <t>who cares if we sell a little bit less</t>
        </is>
      </c>
      <c r="D12202">
        <f>HYPERLINK("https://www.youtube.com/watch?v=bJsTZIvqmes&amp;t=55s", "Go to time")</f>
        <v/>
      </c>
    </row>
    <row r="12203">
      <c r="A12203">
        <f>HYPERLINK("https://www.youtube.com/watch?v=iO6-QVVMRTo", "Video")</f>
        <v/>
      </c>
      <c r="B12203" t="inlineStr">
        <is>
          <t>7:24</t>
        </is>
      </c>
      <c r="C12203" t="inlineStr">
        <is>
          <t>forest is bitten by a radioactive bear</t>
        </is>
      </c>
      <c r="D12203">
        <f>HYPERLINK("https://www.youtube.com/watch?v=iO6-QVVMRTo&amp;t=444s", "Go to time")</f>
        <v/>
      </c>
    </row>
    <row r="12204">
      <c r="A12204">
        <f>HYPERLINK("https://www.youtube.com/watch?v=v62enz16ug8", "Video")</f>
        <v/>
      </c>
      <c r="B12204" t="inlineStr">
        <is>
          <t>1:30</t>
        </is>
      </c>
      <c r="C12204" t="inlineStr">
        <is>
          <t>-The bat -- I mean,
I know I felt it bite me,</t>
        </is>
      </c>
      <c r="D12204">
        <f>HYPERLINK("https://www.youtube.com/watch?v=v62enz16ug8&amp;t=90s", "Go to time")</f>
        <v/>
      </c>
    </row>
    <row r="12205">
      <c r="A12205">
        <f>HYPERLINK("https://www.youtube.com/watch?v=LMrwM5Qu-l4", "Video")</f>
        <v/>
      </c>
      <c r="B12205" t="inlineStr">
        <is>
          <t>1:50</t>
        </is>
      </c>
      <c r="C12205" t="inlineStr">
        <is>
          <t>cell like not good it's a little bit</t>
        </is>
      </c>
      <c r="D12205">
        <f>HYPERLINK("https://www.youtube.com/watch?v=LMrwM5Qu-l4&amp;t=110s", "Go to time")</f>
        <v/>
      </c>
    </row>
    <row r="12206">
      <c r="A12206">
        <f>HYPERLINK("https://www.youtube.com/watch?v=UIdjERtLpRA", "Video")</f>
        <v/>
      </c>
      <c r="B12206" t="inlineStr">
        <is>
          <t>14:30</t>
        </is>
      </c>
      <c r="C12206" t="inlineStr">
        <is>
          <t>passed out a little bit but these are</t>
        </is>
      </c>
      <c r="D12206">
        <f>HYPERLINK("https://www.youtube.com/watch?v=UIdjERtLpRA&amp;t=870s", "Go to time")</f>
        <v/>
      </c>
    </row>
    <row r="12207">
      <c r="A12207">
        <f>HYPERLINK("https://www.youtube.com/watch?v=UIdjERtLpRA", "Video")</f>
        <v/>
      </c>
      <c r="B12207" t="inlineStr">
        <is>
          <t>21:59</t>
        </is>
      </c>
      <c r="C12207" t="inlineStr">
        <is>
          <t>I bit my lip at lunch</t>
        </is>
      </c>
      <c r="D12207">
        <f>HYPERLINK("https://www.youtube.com/watch?v=UIdjERtLpRA&amp;t=1319s", "Go to time")</f>
        <v/>
      </c>
    </row>
    <row r="12208">
      <c r="A12208">
        <f>HYPERLINK("https://www.youtube.com/watch?v=UIdjERtLpRA", "Video")</f>
        <v/>
      </c>
      <c r="B12208" t="inlineStr">
        <is>
          <t>28:41</t>
        </is>
      </c>
      <c r="C12208" t="inlineStr">
        <is>
          <t>bit longer than that really if I can</t>
        </is>
      </c>
      <c r="D12208">
        <f>HYPERLINK("https://www.youtube.com/watch?v=UIdjERtLpRA&amp;t=1721s", "Go to time")</f>
        <v/>
      </c>
    </row>
    <row r="12209">
      <c r="A12209">
        <f>HYPERLINK("https://www.youtube.com/watch?v=j8LWg42E1M4", "Video")</f>
        <v/>
      </c>
      <c r="B12209" t="inlineStr">
        <is>
          <t>8:47</t>
        </is>
      </c>
      <c r="C12209" t="inlineStr">
        <is>
          <t>me up a little bit bring a wet towel</t>
        </is>
      </c>
      <c r="D12209">
        <f>HYPERLINK("https://www.youtube.com/watch?v=j8LWg42E1M4&amp;t=527s", "Go to time")</f>
        <v/>
      </c>
    </row>
    <row r="12210">
      <c r="A12210">
        <f>HYPERLINK("https://www.youtube.com/watch?v=YTUTD6KAkj0", "Video")</f>
        <v/>
      </c>
      <c r="B12210" t="inlineStr">
        <is>
          <t>7:45</t>
        </is>
      </c>
      <c r="C12210" t="inlineStr">
        <is>
          <t>friend hey my name is Tabitha I'm camped</t>
        </is>
      </c>
      <c r="D12210">
        <f>HYPERLINK("https://www.youtube.com/watch?v=YTUTD6KAkj0&amp;t=465s", "Go to time")</f>
        <v/>
      </c>
    </row>
    <row r="12211">
      <c r="A12211">
        <f>HYPERLINK("https://www.youtube.com/watch?v=YTUTD6KAkj0", "Video")</f>
        <v/>
      </c>
      <c r="B12211" t="inlineStr">
        <is>
          <t>13:09</t>
        </is>
      </c>
      <c r="C12211" t="inlineStr">
        <is>
          <t>put together a little bit if a baby were</t>
        </is>
      </c>
      <c r="D12211">
        <f>HYPERLINK("https://www.youtube.com/watch?v=YTUTD6KAkj0&amp;t=789s", "Go to time")</f>
        <v/>
      </c>
    </row>
    <row r="12212">
      <c r="A12212">
        <f>HYPERLINK("https://www.youtube.com/watch?v=KXvixDm6zVo", "Video")</f>
        <v/>
      </c>
      <c r="B12212" t="inlineStr">
        <is>
          <t>14:10</t>
        </is>
      </c>
      <c r="C12212" t="inlineStr">
        <is>
          <t>see just how deep the rabbit hole</t>
        </is>
      </c>
      <c r="D12212">
        <f>HYPERLINK("https://www.youtube.com/watch?v=KXvixDm6zVo&amp;t=850s", "Go to time")</f>
        <v/>
      </c>
    </row>
    <row r="12213">
      <c r="A12213">
        <f>HYPERLINK("https://www.youtube.com/watch?v=0CVHig7pXtc", "Video")</f>
        <v/>
      </c>
      <c r="B12213" t="inlineStr">
        <is>
          <t>4:02</t>
        </is>
      </c>
      <c r="C12213" t="inlineStr">
        <is>
          <t>little bit about it but i see the way</t>
        </is>
      </c>
      <c r="D12213">
        <f>HYPERLINK("https://www.youtube.com/watch?v=0CVHig7pXtc&amp;t=242s", "Go to time")</f>
        <v/>
      </c>
    </row>
    <row r="12214">
      <c r="A12214">
        <f>HYPERLINK("https://www.youtube.com/watch?v=vq6jowSyd_4", "Video")</f>
        <v/>
      </c>
      <c r="B12214" t="inlineStr">
        <is>
          <t>0:03</t>
        </is>
      </c>
      <c r="C12214" t="inlineStr">
        <is>
          <t>stretched him a little bit</t>
        </is>
      </c>
      <c r="D12214">
        <f>HYPERLINK("https://www.youtube.com/watch?v=vq6jowSyd_4&amp;t=3s", "Go to time")</f>
        <v/>
      </c>
    </row>
    <row r="12215">
      <c r="A12215">
        <f>HYPERLINK("https://www.youtube.com/watch?v=vq6jowSyd_4", "Video")</f>
        <v/>
      </c>
      <c r="B12215" t="inlineStr">
        <is>
          <t>1:00</t>
        </is>
      </c>
      <c r="C12215" t="inlineStr">
        <is>
          <t>describe it brown shiny painful bite</t>
        </is>
      </c>
      <c r="D12215">
        <f>HYPERLINK("https://www.youtube.com/watch?v=vq6jowSyd_4&amp;t=60s", "Go to time")</f>
        <v/>
      </c>
    </row>
    <row r="12216">
      <c r="A12216">
        <f>HYPERLINK("https://www.youtube.com/watch?v=vq6jowSyd_4", "Video")</f>
        <v/>
      </c>
      <c r="B12216" t="inlineStr">
        <is>
          <t>1:09</t>
        </is>
      </c>
      <c r="C12216" t="inlineStr">
        <is>
          <t>fair enough but after a bit you did it</t>
        </is>
      </c>
      <c r="D12216">
        <f>HYPERLINK("https://www.youtube.com/watch?v=vq6jowSyd_4&amp;t=69s", "Go to time")</f>
        <v/>
      </c>
    </row>
    <row r="12217">
      <c r="A12217">
        <f>HYPERLINK("https://www.youtube.com/watch?v=vq6jowSyd_4", "Video")</f>
        <v/>
      </c>
      <c r="B12217" t="inlineStr">
        <is>
          <t>1:53</t>
        </is>
      </c>
      <c r="C12217" t="inlineStr">
        <is>
          <t>let the bed bugs bite oh god i feel so</t>
        </is>
      </c>
      <c r="D12217">
        <f>HYPERLINK("https://www.youtube.com/watch?v=vq6jowSyd_4&amp;t=113s", "Go to time")</f>
        <v/>
      </c>
    </row>
    <row r="12218">
      <c r="A12218">
        <f>HYPERLINK("https://www.youtube.com/watch?v=vq6jowSyd_4", "Video")</f>
        <v/>
      </c>
      <c r="B12218" t="inlineStr">
        <is>
          <t>2:11</t>
        </is>
      </c>
      <c r="C12218" t="inlineStr">
        <is>
          <t>bitten</t>
        </is>
      </c>
      <c r="D12218">
        <f>HYPERLINK("https://www.youtube.com/watch?v=vq6jowSyd_4&amp;t=131s", "Go to time")</f>
        <v/>
      </c>
    </row>
    <row r="12219">
      <c r="A12219">
        <f>HYPERLINK("https://www.youtube.com/watch?v=SlBtQZnm_68", "Video")</f>
        <v/>
      </c>
      <c r="B12219" t="inlineStr">
        <is>
          <t>6:38</t>
        </is>
      </c>
      <c r="C12219" t="inlineStr">
        <is>
          <t>just doing a wee bit of oral marketer to</t>
        </is>
      </c>
      <c r="D12219">
        <f>HYPERLINK("https://www.youtube.com/watch?v=SlBtQZnm_68&amp;t=398s", "Go to time")</f>
        <v/>
      </c>
    </row>
    <row r="12220">
      <c r="A12220">
        <f>HYPERLINK("https://www.youtube.com/watch?v=SlBtQZnm_68", "Video")</f>
        <v/>
      </c>
      <c r="B12220" t="inlineStr">
        <is>
          <t>7:43</t>
        </is>
      </c>
      <c r="C12220" t="inlineStr">
        <is>
          <t>with an arbitrary review process</t>
        </is>
      </c>
      <c r="D12220">
        <f>HYPERLINK("https://www.youtube.com/watch?v=SlBtQZnm_68&amp;t=463s", "Go to time")</f>
        <v/>
      </c>
    </row>
    <row r="12221">
      <c r="A12221">
        <f>HYPERLINK("https://www.youtube.com/watch?v=H_uBfQPkcNc", "Video")</f>
        <v/>
      </c>
      <c r="B12221" t="inlineStr">
        <is>
          <t>7:10</t>
        </is>
      </c>
      <c r="C12221" t="inlineStr">
        <is>
          <t>a little bit anybody have any ideas what</t>
        </is>
      </c>
      <c r="D12221">
        <f>HYPERLINK("https://www.youtube.com/watch?v=H_uBfQPkcNc&amp;t=430s", "Go to time")</f>
        <v/>
      </c>
    </row>
    <row r="12222">
      <c r="A12222">
        <f>HYPERLINK("https://www.youtube.com/watch?v=wZga0-YE9cQ", "Video")</f>
        <v/>
      </c>
      <c r="B12222" t="inlineStr">
        <is>
          <t>2:02</t>
        </is>
      </c>
      <c r="C12222" t="inlineStr">
        <is>
          <t>flushed a little bit of blood rushed</t>
        </is>
      </c>
      <c r="D12222">
        <f>HYPERLINK("https://www.youtube.com/watch?v=wZga0-YE9cQ&amp;t=122s", "Go to time")</f>
        <v/>
      </c>
    </row>
    <row r="12223">
      <c r="A12223">
        <f>HYPERLINK("https://www.youtube.com/watch?v=wZga0-YE9cQ", "Video")</f>
        <v/>
      </c>
      <c r="B12223" t="inlineStr">
        <is>
          <t>2:06</t>
        </is>
      </c>
      <c r="C12223" t="inlineStr">
        <is>
          <t>into your penis well a little bit of</t>
        </is>
      </c>
      <c r="D12223">
        <f>HYPERLINK("https://www.youtube.com/watch?v=wZga0-YE9cQ&amp;t=126s", "Go to time")</f>
        <v/>
      </c>
    </row>
    <row r="12224">
      <c r="A12224">
        <f>HYPERLINK("https://www.youtube.com/watch?v=IS2Ozgx-ih8", "Video")</f>
        <v/>
      </c>
      <c r="B12224" t="inlineStr">
        <is>
          <t>0:39</t>
        </is>
      </c>
      <c r="C12224" t="inlineStr">
        <is>
          <t>-Alright, everybody.
Stretch out a little bit.</t>
        </is>
      </c>
      <c r="D12224">
        <f>HYPERLINK("https://www.youtube.com/watch?v=IS2Ozgx-ih8&amp;t=39s", "Go to time")</f>
        <v/>
      </c>
    </row>
    <row r="12225">
      <c r="A12225">
        <f>HYPERLINK("https://www.youtube.com/watch?v=A-HYv97NKSg", "Video")</f>
        <v/>
      </c>
      <c r="B12225" t="inlineStr">
        <is>
          <t>5:56</t>
        </is>
      </c>
      <c r="C12225" t="inlineStr">
        <is>
          <t>little bit of reason to believe that</t>
        </is>
      </c>
      <c r="D12225">
        <f>HYPERLINK("https://www.youtube.com/watch?v=A-HYv97NKSg&amp;t=356s", "Go to time")</f>
        <v/>
      </c>
    </row>
    <row r="12226">
      <c r="A12226">
        <f>HYPERLINK("https://www.youtube.com/watch?v=lQYzT49hyKo", "Video")</f>
        <v/>
      </c>
      <c r="B12226" t="inlineStr">
        <is>
          <t>2:25</t>
        </is>
      </c>
      <c r="C12226" t="inlineStr">
        <is>
          <t>second have you noticed a little bit of</t>
        </is>
      </c>
      <c r="D12226">
        <f>HYPERLINK("https://www.youtube.com/watch?v=lQYzT49hyKo&amp;t=145s", "Go to time")</f>
        <v/>
      </c>
    </row>
    <row r="12227">
      <c r="A12227">
        <f>HYPERLINK("https://www.youtube.com/watch?v=lm3vCks0oWU", "Video")</f>
        <v/>
      </c>
      <c r="B12227" t="inlineStr">
        <is>
          <t>1:52</t>
        </is>
      </c>
      <c r="C12227" t="inlineStr">
        <is>
          <t>bit like we how it looks like um but I</t>
        </is>
      </c>
      <c r="D12227">
        <f>HYPERLINK("https://www.youtube.com/watch?v=lm3vCks0oWU&amp;t=112s", "Go to time")</f>
        <v/>
      </c>
    </row>
    <row r="12228">
      <c r="A12228">
        <f>HYPERLINK("https://www.youtube.com/watch?v=5iyXQuxqWHQ", "Video")</f>
        <v/>
      </c>
      <c r="B12228" t="inlineStr">
        <is>
          <t>0:28</t>
        </is>
      </c>
      <c r="C12228" t="inlineStr">
        <is>
          <t>bit you going to eat these today if you</t>
        </is>
      </c>
      <c r="D12228">
        <f>HYPERLINK("https://www.youtube.com/watch?v=5iyXQuxqWHQ&amp;t=28s", "Go to time")</f>
        <v/>
      </c>
    </row>
    <row r="12229">
      <c r="A12229">
        <f>HYPERLINK("https://www.youtube.com/watch?v=EkZrJC4_xHA", "Video")</f>
        <v/>
      </c>
      <c r="B12229" t="inlineStr">
        <is>
          <t>0:08</t>
        </is>
      </c>
      <c r="C12229" t="inlineStr">
        <is>
          <t>so good remember the dark bit mention</t>
        </is>
      </c>
      <c r="D12229">
        <f>HYPERLINK("https://www.youtube.com/watch?v=EkZrJC4_xHA&amp;t=8s", "Go to time")</f>
        <v/>
      </c>
    </row>
    <row r="12230">
      <c r="A12230">
        <f>HYPERLINK("https://www.youtube.com/watch?v=OqG_LIGvtUU", "Video")</f>
        <v/>
      </c>
      <c r="B12230" t="inlineStr">
        <is>
          <t>8:43</t>
        </is>
      </c>
      <c r="C12230" t="inlineStr">
        <is>
          <t>bit about my life and and the era of the</t>
        </is>
      </c>
      <c r="D12230">
        <f>HYPERLINK("https://www.youtube.com/watch?v=OqG_LIGvtUU&amp;t=523s", "Go to time")</f>
        <v/>
      </c>
    </row>
    <row r="12231">
      <c r="A12231">
        <f>HYPERLINK("https://www.youtube.com/watch?v=OqG_LIGvtUU", "Video")</f>
        <v/>
      </c>
      <c r="B12231" t="inlineStr">
        <is>
          <t>9:12</t>
        </is>
      </c>
      <c r="C12231" t="inlineStr">
        <is>
          <t>I think Ben Franklin has a little bit of</t>
        </is>
      </c>
      <c r="D12231">
        <f>HYPERLINK("https://www.youtube.com/watch?v=OqG_LIGvtUU&amp;t=552s", "Go to time")</f>
        <v/>
      </c>
    </row>
    <row r="12232">
      <c r="A12232">
        <f>HYPERLINK("https://www.youtube.com/watch?v=_MWuROcJYNQ", "Video")</f>
        <v/>
      </c>
      <c r="B12232" t="inlineStr">
        <is>
          <t>2:51</t>
        </is>
      </c>
      <c r="C12232" t="inlineStr">
        <is>
          <t>you're bit by a spider but check that</t>
        </is>
      </c>
      <c r="D12232">
        <f>HYPERLINK("https://www.youtube.com/watch?v=_MWuROcJYNQ&amp;t=171s", "Go to time")</f>
        <v/>
      </c>
    </row>
    <row r="12233">
      <c r="A12233">
        <f>HYPERLINK("https://www.youtube.com/watch?v=jjg4hWDFbmY", "Video")</f>
        <v/>
      </c>
      <c r="B12233" t="inlineStr">
        <is>
          <t>7:12</t>
        </is>
      </c>
      <c r="C12233" t="inlineStr">
        <is>
          <t>bit of viral</t>
        </is>
      </c>
      <c r="D12233">
        <f>HYPERLINK("https://www.youtube.com/watch?v=jjg4hWDFbmY&amp;t=432s", "Go to time")</f>
        <v/>
      </c>
    </row>
    <row r="12234">
      <c r="A12234">
        <f>HYPERLINK("https://www.youtube.com/watch?v=u7HDSeGqRz0", "Video")</f>
        <v/>
      </c>
      <c r="B12234" t="inlineStr">
        <is>
          <t>0:36</t>
        </is>
      </c>
      <c r="C12234" t="inlineStr">
        <is>
          <t>with an arbitrary
review process."</t>
        </is>
      </c>
      <c r="D12234">
        <f>HYPERLINK("https://www.youtube.com/watch?v=u7HDSeGqRz0&amp;t=36s", "Go to time")</f>
        <v/>
      </c>
    </row>
    <row r="12235">
      <c r="A12235">
        <f>HYPERLINK("https://www.youtube.com/watch?v=MtPRQPXJ9E4", "Video")</f>
        <v/>
      </c>
      <c r="B12235" t="inlineStr">
        <is>
          <t>5:50</t>
        </is>
      </c>
      <c r="C12235" t="inlineStr">
        <is>
          <t>a little bit anybody have any ideas what</t>
        </is>
      </c>
      <c r="D12235">
        <f>HYPERLINK("https://www.youtube.com/watch?v=MtPRQPXJ9E4&amp;t=350s", "Go to time")</f>
        <v/>
      </c>
    </row>
    <row r="12236">
      <c r="A12236">
        <f>HYPERLINK("https://www.youtube.com/watch?v=MtPRQPXJ9E4", "Video")</f>
        <v/>
      </c>
      <c r="B12236" t="inlineStr">
        <is>
          <t>11:34</t>
        </is>
      </c>
      <c r="C12236" t="inlineStr">
        <is>
          <t>having a limited of a little bit louder</t>
        </is>
      </c>
      <c r="D12236">
        <f>HYPERLINK("https://www.youtube.com/watch?v=MtPRQPXJ9E4&amp;t=694s", "Go to time")</f>
        <v/>
      </c>
    </row>
    <row r="12237">
      <c r="A12237">
        <f>HYPERLINK("https://www.youtube.com/watch?v=WL17Gi9sUnU", "Video")</f>
        <v/>
      </c>
      <c r="B12237" t="inlineStr">
        <is>
          <t>3:08</t>
        </is>
      </c>
      <c r="C12237" t="inlineStr">
        <is>
          <t>I think it'll take you a little bit</t>
        </is>
      </c>
      <c r="D12237">
        <f>HYPERLINK("https://www.youtube.com/watch?v=WL17Gi9sUnU&amp;t=188s", "Go to time")</f>
        <v/>
      </c>
    </row>
    <row r="12238">
      <c r="A12238">
        <f>HYPERLINK("https://www.youtube.com/watch?v=fY9mcl9gbt0", "Video")</f>
        <v/>
      </c>
      <c r="B12238" t="inlineStr">
        <is>
          <t>9:05</t>
        </is>
      </c>
      <c r="C12238" t="inlineStr">
        <is>
          <t>Drake has a bit of a rash and he's hot I</t>
        </is>
      </c>
      <c r="D12238">
        <f>HYPERLINK("https://www.youtube.com/watch?v=fY9mcl9gbt0&amp;t=545s", "Go to time")</f>
        <v/>
      </c>
    </row>
    <row r="12239">
      <c r="A12239">
        <f>HYPERLINK("https://www.youtube.com/watch?v=zKKQmBIcXPk", "Video")</f>
        <v/>
      </c>
      <c r="B12239" t="inlineStr">
        <is>
          <t>3:24</t>
        </is>
      </c>
      <c r="C12239" t="inlineStr">
        <is>
          <t>bit longer than that really if I can</t>
        </is>
      </c>
      <c r="D12239">
        <f>HYPERLINK("https://www.youtube.com/watch?v=zKKQmBIcXPk&amp;t=204s", "Go to time")</f>
        <v/>
      </c>
    </row>
    <row r="12240">
      <c r="A12240">
        <f>HYPERLINK("https://www.youtube.com/watch?v=P7ldZ7ZSF58", "Video")</f>
        <v/>
      </c>
      <c r="B12240" t="inlineStr">
        <is>
          <t>2:23</t>
        </is>
      </c>
      <c r="C12240" t="inlineStr">
        <is>
          <t>would seem a bit like we uh</t>
        </is>
      </c>
      <c r="D12240">
        <f>HYPERLINK("https://www.youtube.com/watch?v=P7ldZ7ZSF58&amp;t=143s", "Go to time")</f>
        <v/>
      </c>
    </row>
    <row r="12241">
      <c r="A12241">
        <f>HYPERLINK("https://www.youtube.com/watch?v=qyEGsclHsYU", "Video")</f>
        <v/>
      </c>
      <c r="B12241" t="inlineStr">
        <is>
          <t>0:57</t>
        </is>
      </c>
      <c r="C12241" t="inlineStr">
        <is>
          <t>model I could just bite her head</t>
        </is>
      </c>
      <c r="D12241">
        <f>HYPERLINK("https://www.youtube.com/watch?v=qyEGsclHsYU&amp;t=57s", "Go to time")</f>
        <v/>
      </c>
    </row>
    <row r="12242">
      <c r="A12242">
        <f>HYPERLINK("https://www.youtube.com/watch?v=qyEGsclHsYU", "Video")</f>
        <v/>
      </c>
      <c r="B12242" t="inlineStr">
        <is>
          <t>12:53</t>
        </is>
      </c>
      <c r="C12242" t="inlineStr">
        <is>
          <t>bit uh yeah okay all right I'm just</t>
        </is>
      </c>
      <c r="D12242">
        <f>HYPERLINK("https://www.youtube.com/watch?v=qyEGsclHsYU&amp;t=773s", "Go to time")</f>
        <v/>
      </c>
    </row>
    <row r="12243">
      <c r="A12243">
        <f>HYPERLINK("https://www.youtube.com/watch?v=qyEGsclHsYU", "Video")</f>
        <v/>
      </c>
      <c r="B12243" t="inlineStr">
        <is>
          <t>18:58</t>
        </is>
      </c>
      <c r="C12243" t="inlineStr">
        <is>
          <t>little bit about it but I see the way</t>
        </is>
      </c>
      <c r="D12243">
        <f>HYPERLINK("https://www.youtube.com/watch?v=qyEGsclHsYU&amp;t=1138s", "Go to time")</f>
        <v/>
      </c>
    </row>
    <row r="12244">
      <c r="A12244">
        <f>HYPERLINK("https://www.youtube.com/watch?v=qyEGsclHsYU", "Video")</f>
        <v/>
      </c>
      <c r="B12244" t="inlineStr">
        <is>
          <t>23:01</t>
        </is>
      </c>
      <c r="C12244" t="inlineStr">
        <is>
          <t>diary this is plaintiff's exhibit</t>
        </is>
      </c>
      <c r="D12244">
        <f>HYPERLINK("https://www.youtube.com/watch?v=qyEGsclHsYU&amp;t=1381s", "Go to time")</f>
        <v/>
      </c>
    </row>
    <row r="12245">
      <c r="A12245">
        <f>HYPERLINK("https://www.youtube.com/watch?v=VcQvAze0_PI", "Video")</f>
        <v/>
      </c>
      <c r="B12245" t="inlineStr">
        <is>
          <t>1:02</t>
        </is>
      </c>
      <c r="C12245" t="inlineStr">
        <is>
          <t>mind just a bit warm in here</t>
        </is>
      </c>
      <c r="D12245">
        <f>HYPERLINK("https://www.youtube.com/watch?v=VcQvAze0_PI&amp;t=62s", "Go to time")</f>
        <v/>
      </c>
    </row>
    <row r="12246">
      <c r="A12246">
        <f>HYPERLINK("https://www.youtube.com/watch?v=WUptjd1SWGc", "Video")</f>
        <v/>
      </c>
      <c r="B12246" t="inlineStr">
        <is>
          <t>0:18</t>
        </is>
      </c>
      <c r="C12246" t="inlineStr">
        <is>
          <t>everyone gets a little bit con you look</t>
        </is>
      </c>
      <c r="D12246">
        <f>HYPERLINK("https://www.youtube.com/watch?v=WUptjd1SWGc&amp;t=18s", "Go to time")</f>
        <v/>
      </c>
    </row>
    <row r="12247">
      <c r="A12247">
        <f>HYPERLINK("https://www.youtube.com/watch?v=C41LmsI43Ck", "Video")</f>
        <v/>
      </c>
      <c r="B12247" t="inlineStr">
        <is>
          <t>9:45</t>
        </is>
      </c>
      <c r="C12247" t="inlineStr">
        <is>
          <t>little bit more I've been a brainstorm</t>
        </is>
      </c>
      <c r="D12247">
        <f>HYPERLINK("https://www.youtube.com/watch?v=C41LmsI43Ck&amp;t=585s", "Go to time")</f>
        <v/>
      </c>
    </row>
    <row r="12248">
      <c r="A12248">
        <f>HYPERLINK("https://www.youtube.com/watch?v=PUt-ZVQI9E8", "Video")</f>
        <v/>
      </c>
      <c r="B12248" t="inlineStr">
        <is>
          <t>1:00</t>
        </is>
      </c>
      <c r="C12248" t="inlineStr">
        <is>
          <t>in a a bit of a a fog i think</t>
        </is>
      </c>
      <c r="D12248">
        <f>HYPERLINK("https://www.youtube.com/watch?v=PUt-ZVQI9E8&amp;t=60s", "Go to time")</f>
        <v/>
      </c>
    </row>
    <row r="12249">
      <c r="A12249">
        <f>HYPERLINK("https://www.youtube.com/watch?v=OnSeCWL5FqY", "Video")</f>
        <v/>
      </c>
      <c r="B12249" t="inlineStr">
        <is>
          <t>11:07</t>
        </is>
      </c>
      <c r="C12249" t="inlineStr">
        <is>
          <t>happens to be biting it I'd prefer for</t>
        </is>
      </c>
      <c r="D12249">
        <f>HYPERLINK("https://www.youtube.com/watch?v=OnSeCWL5FqY&amp;t=667s", "Go to time")</f>
        <v/>
      </c>
    </row>
    <row r="12250">
      <c r="A12250">
        <f>HYPERLINK("https://www.youtube.com/watch?v=OnSeCWL5FqY", "Video")</f>
        <v/>
      </c>
      <c r="B12250" t="inlineStr">
        <is>
          <t>18:12</t>
        </is>
      </c>
      <c r="C12250" t="inlineStr">
        <is>
          <t>we have a little bit of a problem know</t>
        </is>
      </c>
      <c r="D12250">
        <f>HYPERLINK("https://www.youtube.com/watch?v=OnSeCWL5FqY&amp;t=1092s", "Go to time")</f>
        <v/>
      </c>
    </row>
    <row r="12251">
      <c r="A12251">
        <f>HYPERLINK("https://www.youtube.com/watch?v=ILX8oLwTZEY", "Video")</f>
        <v/>
      </c>
      <c r="B12251" t="inlineStr">
        <is>
          <t>8:29</t>
        </is>
      </c>
      <c r="C12251" t="inlineStr">
        <is>
          <t>we have a little bit of a problem</t>
        </is>
      </c>
      <c r="D12251">
        <f>HYPERLINK("https://www.youtube.com/watch?v=ILX8oLwTZEY&amp;t=509s", "Go to time")</f>
        <v/>
      </c>
    </row>
    <row r="12252">
      <c r="A12252">
        <f>HYPERLINK("https://www.youtube.com/watch?v=5E9EsqCcJVY", "Video")</f>
        <v/>
      </c>
      <c r="B12252" t="inlineStr">
        <is>
          <t>4:40</t>
        </is>
      </c>
      <c r="C12252" t="inlineStr">
        <is>
          <t>stick insect exhibit</t>
        </is>
      </c>
      <c r="D12252">
        <f>HYPERLINK("https://www.youtube.com/watch?v=5E9EsqCcJVY&amp;t=280s", "Go to time")</f>
        <v/>
      </c>
    </row>
    <row r="12253">
      <c r="A12253">
        <f>HYPERLINK("https://www.youtube.com/watch?v=K2iuiPOLSfA", "Video")</f>
        <v/>
      </c>
      <c r="B12253" t="inlineStr">
        <is>
          <t>3:17</t>
        </is>
      </c>
      <c r="C12253" t="inlineStr">
        <is>
          <t>when you were bitten by a bat a few</t>
        </is>
      </c>
      <c r="D12253">
        <f>HYPERLINK("https://www.youtube.com/watch?v=K2iuiPOLSfA&amp;t=197s", "Go to time")</f>
        <v/>
      </c>
    </row>
    <row r="12254">
      <c r="A12254">
        <f>HYPERLINK("https://www.youtube.com/watch?v=K2iuiPOLSfA", "Video")</f>
        <v/>
      </c>
      <c r="B12254" t="inlineStr">
        <is>
          <t>3:25</t>
        </is>
      </c>
      <c r="C12254" t="inlineStr">
        <is>
          <t>recently bitten by a raccoon and a rat</t>
        </is>
      </c>
      <c r="D12254">
        <f>HYPERLINK("https://www.youtube.com/watch?v=K2iuiPOLSfA&amp;t=205s", "Go to time")</f>
        <v/>
      </c>
    </row>
    <row r="12255">
      <c r="A12255">
        <f>HYPERLINK("https://www.youtube.com/watch?v=K2iuiPOLSfA", "Video")</f>
        <v/>
      </c>
      <c r="B12255" t="inlineStr">
        <is>
          <t>3:40</t>
        </is>
      </c>
      <c r="C12255" t="inlineStr">
        <is>
          <t>STD or no you've got to be bitten by</t>
        </is>
      </c>
      <c r="D12255">
        <f>HYPERLINK("https://www.youtube.com/watch?v=K2iuiPOLSfA&amp;t=220s", "Go to time")</f>
        <v/>
      </c>
    </row>
    <row r="12256">
      <c r="A12256">
        <f>HYPERLINK("https://www.youtube.com/watch?v=K2iuiPOLSfA", "Video")</f>
        <v/>
      </c>
      <c r="B12256" t="inlineStr">
        <is>
          <t>4:01</t>
        </is>
      </c>
      <c r="C12256" t="inlineStr">
        <is>
          <t>but it may make you feel a little bit</t>
        </is>
      </c>
      <c r="D12256">
        <f>HYPERLINK("https://www.youtube.com/watch?v=K2iuiPOLSfA&amp;t=241s", "Go to time")</f>
        <v/>
      </c>
    </row>
    <row r="12257">
      <c r="A12257">
        <f>HYPERLINK("https://www.youtube.com/watch?v=mPYl_uI5ipA", "Video")</f>
        <v/>
      </c>
      <c r="B12257" t="inlineStr">
        <is>
          <t>0:33</t>
        </is>
      </c>
      <c r="C12257" t="inlineStr">
        <is>
          <t>were at the dentist you do bite hey you</t>
        </is>
      </c>
      <c r="D12257">
        <f>HYPERLINK("https://www.youtube.com/watch?v=mPYl_uI5ipA&amp;t=33s", "Go to time")</f>
        <v/>
      </c>
    </row>
    <row r="12258">
      <c r="A12258">
        <f>HYPERLINK("https://www.youtube.com/watch?v=PAlq_YSB-eE", "Video")</f>
        <v/>
      </c>
      <c r="B12258" t="inlineStr">
        <is>
          <t>3:05</t>
        </is>
      </c>
      <c r="C12258" t="inlineStr">
        <is>
          <t>it's a bit warm in here</t>
        </is>
      </c>
      <c r="D12258">
        <f>HYPERLINK("https://www.youtube.com/watch?v=PAlq_YSB-eE&amp;t=185s", "Go to time")</f>
        <v/>
      </c>
    </row>
    <row r="12259">
      <c r="A12259">
        <f>HYPERLINK("https://www.youtube.com/watch?v=EGYCVX78RtA", "Video")</f>
        <v/>
      </c>
      <c r="B12259" t="inlineStr">
        <is>
          <t>8:52</t>
        </is>
      </c>
      <c r="C12259" t="inlineStr">
        <is>
          <t>just chill out a little bit on the herp</t>
        </is>
      </c>
      <c r="D12259">
        <f>HYPERLINK("https://www.youtube.com/watch?v=EGYCVX78RtA&amp;t=532s", "Go to time")</f>
        <v/>
      </c>
    </row>
    <row r="12260">
      <c r="A12260">
        <f>HYPERLINK("https://www.youtube.com/watch?v=19MNAajZnts", "Video")</f>
        <v/>
      </c>
      <c r="B12260" t="inlineStr">
        <is>
          <t>3:59</t>
        </is>
      </c>
      <c r="C12260" t="inlineStr">
        <is>
          <t>it's a little bit of uh mozzarella right</t>
        </is>
      </c>
      <c r="D12260">
        <f>HYPERLINK("https://www.youtube.com/watch?v=19MNAajZnts&amp;t=239s", "Go to time")</f>
        <v/>
      </c>
    </row>
    <row r="12261">
      <c r="A12261">
        <f>HYPERLINK("https://www.youtube.com/watch?v=bScxXio_gH8", "Video")</f>
        <v/>
      </c>
      <c r="B12261" t="inlineStr">
        <is>
          <t>9:07</t>
        </is>
      </c>
      <c r="C12261" t="inlineStr">
        <is>
          <t>she came with she's got to orbit that's</t>
        </is>
      </c>
      <c r="D12261">
        <f>HYPERLINK("https://www.youtube.com/watch?v=bScxXio_gH8&amp;t=547s", "Go to time")</f>
        <v/>
      </c>
    </row>
    <row r="12262">
      <c r="A12262">
        <f>HYPERLINK("https://www.youtube.com/watch?v=bScxXio_gH8", "Video")</f>
        <v/>
      </c>
      <c r="B12262" t="inlineStr">
        <is>
          <t>10:27</t>
        </is>
      </c>
      <c r="C12262" t="inlineStr">
        <is>
          <t>boss we sold bit's trash can and we</t>
        </is>
      </c>
      <c r="D12262">
        <f>HYPERLINK("https://www.youtube.com/watch?v=bScxXio_gH8&amp;t=627s", "Go to time")</f>
        <v/>
      </c>
    </row>
    <row r="12263">
      <c r="A12263">
        <f>HYPERLINK("https://www.youtube.com/watch?v=bScxXio_gH8", "Video")</f>
        <v/>
      </c>
      <c r="B12263" t="inlineStr">
        <is>
          <t>20:19</t>
        </is>
      </c>
      <c r="C12263" t="inlineStr">
        <is>
          <t>room what can I say old habits die hard</t>
        </is>
      </c>
      <c r="D12263">
        <f>HYPERLINK("https://www.youtube.com/watch?v=bScxXio_gH8&amp;t=1219s", "Go to time")</f>
        <v/>
      </c>
    </row>
    <row r="12264">
      <c r="A12264">
        <f>HYPERLINK("https://www.youtube.com/watch?v=z7KEiWP50eY", "Video")</f>
        <v/>
      </c>
      <c r="B12264" t="inlineStr">
        <is>
          <t>5:15</t>
        </is>
      </c>
      <c r="C12264" t="inlineStr">
        <is>
          <t>bit just ignore soon or later she'll</t>
        </is>
      </c>
      <c r="D12264">
        <f>HYPERLINK("https://www.youtube.com/watch?v=z7KEiWP50eY&amp;t=315s", "Go to time")</f>
        <v/>
      </c>
    </row>
    <row r="12265">
      <c r="A12265">
        <f>HYPERLINK("https://www.youtube.com/watch?v=sVSYPlBysdE", "Video")</f>
        <v/>
      </c>
      <c r="B12265" t="inlineStr">
        <is>
          <t>2:29</t>
        </is>
      </c>
      <c r="C12265" t="inlineStr">
        <is>
          <t>we're watching that one habitable you</t>
        </is>
      </c>
      <c r="D12265">
        <f>HYPERLINK("https://www.youtube.com/watch?v=sVSYPlBysdE&amp;t=149s", "Go to time")</f>
        <v/>
      </c>
    </row>
    <row r="12266">
      <c r="A12266">
        <f>HYPERLINK("https://www.youtube.com/watch?v=UUD_zudIDb8", "Video")</f>
        <v/>
      </c>
      <c r="B12266" t="inlineStr">
        <is>
          <t>1:45</t>
        </is>
      </c>
      <c r="C12266" t="inlineStr">
        <is>
          <t>little bit anybody have any ideas what</t>
        </is>
      </c>
      <c r="D12266">
        <f>HYPERLINK("https://www.youtube.com/watch?v=UUD_zudIDb8&amp;t=105s", "Go to time")</f>
        <v/>
      </c>
    </row>
    <row r="12267">
      <c r="A12267">
        <f>HYPERLINK("https://www.youtube.com/watch?v=OvoOnZkQCcw", "Video")</f>
        <v/>
      </c>
      <c r="B12267" t="inlineStr">
        <is>
          <t>1:37</t>
        </is>
      </c>
      <c r="C12267" t="inlineStr">
        <is>
          <t>give in a little bit to just of see what</t>
        </is>
      </c>
      <c r="D12267">
        <f>HYPERLINK("https://www.youtube.com/watch?v=OvoOnZkQCcw&amp;t=97s", "Go to time")</f>
        <v/>
      </c>
    </row>
    <row r="12268">
      <c r="A12268">
        <f>HYPERLINK("https://www.youtube.com/watch?v=OvoOnZkQCcw", "Video")</f>
        <v/>
      </c>
      <c r="B12268" t="inlineStr">
        <is>
          <t>1:47</t>
        </is>
      </c>
      <c r="C12268" t="inlineStr">
        <is>
          <t>if you resisted brad pitt a little bit</t>
        </is>
      </c>
      <c r="D12268">
        <f>HYPERLINK("https://www.youtube.com/watch?v=OvoOnZkQCcw&amp;t=107s", "Go to time")</f>
        <v/>
      </c>
    </row>
    <row r="12269">
      <c r="A12269">
        <f>HYPERLINK("https://www.youtube.com/watch?v=3vfoNAXwPMo", "Video")</f>
        <v/>
      </c>
      <c r="B12269" t="inlineStr">
        <is>
          <t>5:29</t>
        </is>
      </c>
      <c r="C12269" t="inlineStr">
        <is>
          <t>slow down a little bit break this</t>
        </is>
      </c>
      <c r="D12269">
        <f>HYPERLINK("https://www.youtube.com/watch?v=3vfoNAXwPMo&amp;t=329s", "Go to time")</f>
        <v/>
      </c>
    </row>
    <row r="12270">
      <c r="A12270">
        <f>HYPERLINK("https://www.youtube.com/watch?v=FgaxHR-92Is", "Video")</f>
        <v/>
      </c>
      <c r="B12270" t="inlineStr">
        <is>
          <t>6:22</t>
        </is>
      </c>
      <c r="C12270" t="inlineStr">
        <is>
          <t>hobbit do you live in a regular sized</t>
        </is>
      </c>
      <c r="D12270">
        <f>HYPERLINK("https://www.youtube.com/watch?v=FgaxHR-92Is&amp;t=382s", "Go to time")</f>
        <v/>
      </c>
    </row>
    <row r="12271">
      <c r="A12271">
        <f>HYPERLINK("https://www.youtube.com/watch?v=VlUL5xD-6Nw", "Video")</f>
        <v/>
      </c>
      <c r="B12271" t="inlineStr">
        <is>
          <t>12:11</t>
        </is>
      </c>
      <c r="C12271" t="inlineStr">
        <is>
          <t>time you should bite your tongue before</t>
        </is>
      </c>
      <c r="D12271">
        <f>HYPERLINK("https://www.youtube.com/watch?v=VlUL5xD-6Nw&amp;t=731s", "Go to time")</f>
        <v/>
      </c>
    </row>
    <row r="12272">
      <c r="A12272">
        <f>HYPERLINK("https://www.youtube.com/watch?v=VlUL5xD-6Nw", "Video")</f>
        <v/>
      </c>
      <c r="B12272" t="inlineStr">
        <is>
          <t>17:04</t>
        </is>
      </c>
      <c r="C12272" t="inlineStr">
        <is>
          <t>to clean me up a little bit bring a wet</t>
        </is>
      </c>
      <c r="D12272">
        <f>HYPERLINK("https://www.youtube.com/watch?v=VlUL5xD-6Nw&amp;t=1024s", "Go to time")</f>
        <v/>
      </c>
    </row>
    <row r="12273">
      <c r="A12273">
        <f>HYPERLINK("https://www.youtube.com/watch?v=VlUL5xD-6Nw", "Video")</f>
        <v/>
      </c>
      <c r="B12273" t="inlineStr">
        <is>
          <t>18:53</t>
        </is>
      </c>
      <c r="C12273" t="inlineStr">
        <is>
          <t>you're bit by a spider but check that</t>
        </is>
      </c>
      <c r="D12273">
        <f>HYPERLINK("https://www.youtube.com/watch?v=VlUL5xD-6Nw&amp;t=1133s", "Go to time")</f>
        <v/>
      </c>
    </row>
    <row r="12274">
      <c r="A12274">
        <f>HYPERLINK("https://www.youtube.com/watch?v=242HMrCscEo", "Video")</f>
        <v/>
      </c>
      <c r="B12274" t="inlineStr">
        <is>
          <t>7:03</t>
        </is>
      </c>
      <c r="C12274" t="inlineStr">
        <is>
          <t>hey my name is Tabitha I'm camped out in</t>
        </is>
      </c>
      <c r="D12274">
        <f>HYPERLINK("https://www.youtube.com/watch?v=242HMrCscEo&amp;t=423s", "Go to time")</f>
        <v/>
      </c>
    </row>
    <row r="12275">
      <c r="A12275">
        <f>HYPERLINK("https://www.youtube.com/watch?v=242HMrCscEo", "Video")</f>
        <v/>
      </c>
      <c r="B12275" t="inlineStr">
        <is>
          <t>11:06</t>
        </is>
      </c>
      <c r="C12275" t="inlineStr">
        <is>
          <t>store a little bit here a little bit</t>
        </is>
      </c>
      <c r="D12275">
        <f>HYPERLINK("https://www.youtube.com/watch?v=242HMrCscEo&amp;t=666s", "Go to time")</f>
        <v/>
      </c>
    </row>
    <row r="12276">
      <c r="A12276">
        <f>HYPERLINK("https://www.youtube.com/watch?v=2n-w1VDC3vE", "Video")</f>
        <v/>
      </c>
      <c r="B12276" t="inlineStr">
        <is>
          <t>0:04</t>
        </is>
      </c>
      <c r="C12276" t="inlineStr">
        <is>
          <t>bit of this a little bit of that I'm</t>
        </is>
      </c>
      <c r="D12276">
        <f>HYPERLINK("https://www.youtube.com/watch?v=2n-w1VDC3vE&amp;t=4s", "Go to time")</f>
        <v/>
      </c>
    </row>
    <row r="12277">
      <c r="A12277">
        <f>HYPERLINK("https://www.youtube.com/watch?v=pyfrnrfRhZo", "Video")</f>
        <v/>
      </c>
      <c r="B12277" t="inlineStr">
        <is>
          <t>5:45</t>
        </is>
      </c>
      <c r="C12277" t="inlineStr">
        <is>
          <t>i know a little bit about what you're</t>
        </is>
      </c>
      <c r="D12277">
        <f>HYPERLINK("https://www.youtube.com/watch?v=pyfrnrfRhZo&amp;t=345s", "Go to time")</f>
        <v/>
      </c>
    </row>
    <row r="12278">
      <c r="A12278">
        <f>HYPERLINK("https://www.youtube.com/watch?v=pkb2B6OCIY4", "Video")</f>
        <v/>
      </c>
      <c r="B12278" t="inlineStr">
        <is>
          <t>3:11</t>
        </is>
      </c>
      <c r="C12278" t="inlineStr">
        <is>
          <t>i judge her yeah as ambition oh</t>
        </is>
      </c>
      <c r="D12278">
        <f>HYPERLINK("https://www.youtube.com/watch?v=pkb2B6OCIY4&amp;t=191s", "Go to time")</f>
        <v/>
      </c>
    </row>
    <row r="12279">
      <c r="A12279">
        <f>HYPERLINK("https://www.youtube.com/watch?v=sFkLbj789OQ", "Video")</f>
        <v/>
      </c>
      <c r="B12279" t="inlineStr">
        <is>
          <t>1:43</t>
        </is>
      </c>
      <c r="C12279" t="inlineStr">
        <is>
          <t>and it was just
a little bit different.</t>
        </is>
      </c>
      <c r="D12279">
        <f>HYPERLINK("https://www.youtube.com/watch?v=sFkLbj789OQ&amp;t=103s", "Go to time")</f>
        <v/>
      </c>
    </row>
    <row r="12280">
      <c r="A12280">
        <f>HYPERLINK("https://www.youtube.com/watch?v=K_sGDf1RufA", "Video")</f>
        <v/>
      </c>
      <c r="B12280" t="inlineStr">
        <is>
          <t>2:32</t>
        </is>
      </c>
      <c r="C12280" t="inlineStr">
        <is>
          <t>I think I'll take a little bit longer</t>
        </is>
      </c>
      <c r="D12280">
        <f>HYPERLINK("https://www.youtube.com/watch?v=K_sGDf1RufA&amp;t=152s", "Go to time")</f>
        <v/>
      </c>
    </row>
    <row r="12281">
      <c r="A12281">
        <f>HYPERLINK("https://www.youtube.com/watch?v=Y9Um-8nPnVQ", "Video")</f>
        <v/>
      </c>
      <c r="B12281" t="inlineStr">
        <is>
          <t>1:33</t>
        </is>
      </c>
      <c r="C12281" t="inlineStr">
        <is>
          <t>I think I'll take you a little bit</t>
        </is>
      </c>
      <c r="D12281">
        <f>HYPERLINK("https://www.youtube.com/watch?v=Y9Um-8nPnVQ&amp;t=93s", "Go to time")</f>
        <v/>
      </c>
    </row>
    <row r="12282">
      <c r="A12282">
        <f>HYPERLINK("https://www.youtube.com/watch?v=Y9Um-8nPnVQ", "Video")</f>
        <v/>
      </c>
      <c r="B12282" t="inlineStr">
        <is>
          <t>12:33</t>
        </is>
      </c>
      <c r="C12282" t="inlineStr">
        <is>
          <t>we have a little bit of a problem</t>
        </is>
      </c>
      <c r="D12282">
        <f>HYPERLINK("https://www.youtube.com/watch?v=Y9Um-8nPnVQ&amp;t=753s", "Go to time")</f>
        <v/>
      </c>
    </row>
    <row r="12283">
      <c r="A12283">
        <f>HYPERLINK("https://www.youtube.com/watch?v=fVnh9NqFvZQ", "Video")</f>
        <v/>
      </c>
      <c r="B12283" t="inlineStr">
        <is>
          <t>1:45</t>
        </is>
      </c>
      <c r="C12283" t="inlineStr">
        <is>
          <t>bit that'd be great they're already off</t>
        </is>
      </c>
      <c r="D12283">
        <f>HYPERLINK("https://www.youtube.com/watch?v=fVnh9NqFvZQ&amp;t=105s", "Go to time")</f>
        <v/>
      </c>
    </row>
    <row r="12284">
      <c r="A12284">
        <f>HYPERLINK("https://www.youtube.com/watch?v=1tfI4ug17FI", "Video")</f>
        <v/>
      </c>
      <c r="B12284" t="inlineStr">
        <is>
          <t>15:50</t>
        </is>
      </c>
      <c r="C12284" t="inlineStr">
        <is>
          <t>Shar oh God you're not the least bit</t>
        </is>
      </c>
      <c r="D12284">
        <f>HYPERLINK("https://www.youtube.com/watch?v=1tfI4ug17FI&amp;t=950s", "Go to time")</f>
        <v/>
      </c>
    </row>
    <row r="12285">
      <c r="A12285">
        <f>HYPERLINK("https://www.youtube.com/watch?v=gG2rw4OftRI", "Video")</f>
        <v/>
      </c>
      <c r="B12285" t="inlineStr">
        <is>
          <t>16:12</t>
        </is>
      </c>
      <c r="C12285" t="inlineStr">
        <is>
          <t>bit longer than that really if I can</t>
        </is>
      </c>
      <c r="D12285">
        <f>HYPERLINK("https://www.youtube.com/watch?v=gG2rw4OftRI&amp;t=972s", "Go to time")</f>
        <v/>
      </c>
    </row>
    <row r="12286">
      <c r="A12286">
        <f>HYPERLINK("https://www.youtube.com/watch?v=gG2rw4OftRI", "Video")</f>
        <v/>
      </c>
      <c r="B12286" t="inlineStr">
        <is>
          <t>25:03</t>
        </is>
      </c>
      <c r="C12286" t="inlineStr">
        <is>
          <t>mean I know I felt it bite me but look</t>
        </is>
      </c>
      <c r="D12286">
        <f>HYPERLINK("https://www.youtube.com/watch?v=gG2rw4OftRI&amp;t=1503s", "Go to time")</f>
        <v/>
      </c>
    </row>
    <row r="12287">
      <c r="A12287">
        <f>HYPERLINK("https://www.youtube.com/watch?v=gG2rw4OftRI", "Video")</f>
        <v/>
      </c>
      <c r="B12287" t="inlineStr">
        <is>
          <t>36:11</t>
        </is>
      </c>
      <c r="C12287" t="inlineStr">
        <is>
          <t>a little bit I'm just calling it like I</t>
        </is>
      </c>
      <c r="D12287">
        <f>HYPERLINK("https://www.youtube.com/watch?v=gG2rw4OftRI&amp;t=2171s", "Go to time")</f>
        <v/>
      </c>
    </row>
    <row r="12288">
      <c r="A12288">
        <f>HYPERLINK("https://www.youtube.com/watch?v=gG2rw4OftRI", "Video")</f>
        <v/>
      </c>
      <c r="B12288" t="inlineStr">
        <is>
          <t>39:36</t>
        </is>
      </c>
      <c r="C12288" t="inlineStr">
        <is>
          <t>we have a little bit of a problem no</t>
        </is>
      </c>
      <c r="D12288">
        <f>HYPERLINK("https://www.youtube.com/watch?v=gG2rw4OftRI&amp;t=2376s", "Go to time")</f>
        <v/>
      </c>
    </row>
    <row r="12289">
      <c r="A12289">
        <f>HYPERLINK("https://www.youtube.com/watch?v=ANeMS5HhtLc", "Video")</f>
        <v/>
      </c>
      <c r="B12289" t="inlineStr">
        <is>
          <t>6:56</t>
        </is>
      </c>
      <c r="C12289" t="inlineStr">
        <is>
          <t>one's falling asleep a little bit Danny</t>
        </is>
      </c>
      <c r="D12289">
        <f>HYPERLINK("https://www.youtube.com/watch?v=ANeMS5HhtLc&amp;t=416s", "Go to time")</f>
        <v/>
      </c>
    </row>
    <row r="12290">
      <c r="A12290">
        <f>HYPERLINK("https://www.youtube.com/watch?v=Ljp4fHFulgE", "Video")</f>
        <v/>
      </c>
      <c r="B12290" t="inlineStr">
        <is>
          <t>2:17</t>
        </is>
      </c>
      <c r="C12290" t="inlineStr">
        <is>
          <t>Now, when you get down there,
Jo's a little bit, uh,</t>
        </is>
      </c>
      <c r="D12290">
        <f>HYPERLINK("https://www.youtube.com/watch?v=Ljp4fHFulgE&amp;t=137s", "Go to time")</f>
        <v/>
      </c>
    </row>
    <row r="12291">
      <c r="A12291">
        <f>HYPERLINK("https://www.youtube.com/watch?v=8pWITEaMgcU", "Video")</f>
        <v/>
      </c>
      <c r="B12291" t="inlineStr">
        <is>
          <t>4:30</t>
        </is>
      </c>
      <c r="C12291" t="inlineStr">
        <is>
          <t>-Well, there was a little bit
of a learning curve</t>
        </is>
      </c>
      <c r="D12291">
        <f>HYPERLINK("https://www.youtube.com/watch?v=8pWITEaMgcU&amp;t=270s", "Go to time")</f>
        <v/>
      </c>
    </row>
    <row r="12292">
      <c r="A12292">
        <f>HYPERLINK("https://www.youtube.com/watch?v=8pWITEaMgcU", "Video")</f>
        <v/>
      </c>
      <c r="B12292" t="inlineStr">
        <is>
          <t>11:00</t>
        </is>
      </c>
      <c r="C12292" t="inlineStr">
        <is>
          <t>-I can't.
-Come on. A little bit.</t>
        </is>
      </c>
      <c r="D12292">
        <f>HYPERLINK("https://www.youtube.com/watch?v=8pWITEaMgcU&amp;t=660s", "Go to time")</f>
        <v/>
      </c>
    </row>
    <row r="12293">
      <c r="A12293">
        <f>HYPERLINK("https://www.youtube.com/watch?v=tUqkX3xCb5M", "Video")</f>
        <v/>
      </c>
      <c r="B12293" t="inlineStr">
        <is>
          <t>2:37</t>
        </is>
      </c>
      <c r="C12293" t="inlineStr">
        <is>
          <t>it just feels a little bit like uh</t>
        </is>
      </c>
      <c r="D12293">
        <f>HYPERLINK("https://www.youtube.com/watch?v=tUqkX3xCb5M&amp;t=157s", "Go to time")</f>
        <v/>
      </c>
    </row>
    <row r="12294">
      <c r="A12294">
        <f>HYPERLINK("https://www.youtube.com/watch?v=tUqkX3xCb5M", "Video")</f>
        <v/>
      </c>
      <c r="B12294" t="inlineStr">
        <is>
          <t>3:00</t>
        </is>
      </c>
      <c r="C12294" t="inlineStr">
        <is>
          <t>little close a little bit much hmm</t>
        </is>
      </c>
      <c r="D12294">
        <f>HYPERLINK("https://www.youtube.com/watch?v=tUqkX3xCb5M&amp;t=180s", "Go to time")</f>
        <v/>
      </c>
    </row>
    <row r="12295">
      <c r="A12295">
        <f>HYPERLINK("https://www.youtube.com/watch?v=S8gHPeO792g", "Video")</f>
        <v/>
      </c>
      <c r="B12295" t="inlineStr">
        <is>
          <t>0:45</t>
        </is>
      </c>
      <c r="C12295" t="inlineStr">
        <is>
          <t>highlights little bit of Pam all night</t>
        </is>
      </c>
      <c r="D12295">
        <f>HYPERLINK("https://www.youtube.com/watch?v=S8gHPeO792g&amp;t=45s", "Go to time")</f>
        <v/>
      </c>
    </row>
    <row r="12296">
      <c r="A12296">
        <f>HYPERLINK("https://www.youtube.com/watch?v=S8gHPeO792g", "Video")</f>
        <v/>
      </c>
      <c r="B12296" t="inlineStr">
        <is>
          <t>8:31</t>
        </is>
      </c>
      <c r="C12296" t="inlineStr">
        <is>
          <t>I will exqueeze you one more bite of</t>
        </is>
      </c>
      <c r="D12296">
        <f>HYPERLINK("https://www.youtube.com/watch?v=S8gHPeO792g&amp;t=511s", "Go to time")</f>
        <v/>
      </c>
    </row>
    <row r="12297">
      <c r="A12297">
        <f>HYPERLINK("https://www.youtube.com/watch?v=S8gHPeO792g", "Video")</f>
        <v/>
      </c>
      <c r="B12297" t="inlineStr">
        <is>
          <t>16:41</t>
        </is>
      </c>
      <c r="C12297" t="inlineStr">
        <is>
          <t>just a little bit</t>
        </is>
      </c>
      <c r="D12297">
        <f>HYPERLINK("https://www.youtube.com/watch?v=S8gHPeO792g&amp;t=1001s", "Go to time")</f>
        <v/>
      </c>
    </row>
    <row r="12298">
      <c r="A12298">
        <f>HYPERLINK("https://www.youtube.com/watch?v=yY-77aBc6TY", "Video")</f>
        <v/>
      </c>
      <c r="B12298" t="inlineStr">
        <is>
          <t>1:06</t>
        </is>
      </c>
      <c r="C12298" t="inlineStr">
        <is>
          <t>just cool off a bit i'm telling you to</t>
        </is>
      </c>
      <c r="D12298">
        <f>HYPERLINK("https://www.youtube.com/watch?v=yY-77aBc6TY&amp;t=66s", "Go to time")</f>
        <v/>
      </c>
    </row>
    <row r="12299">
      <c r="A12299">
        <f>HYPERLINK("https://www.youtube.com/watch?v=Kp80693kNCs", "Video")</f>
        <v/>
      </c>
      <c r="B12299" t="inlineStr">
        <is>
          <t>6:23</t>
        </is>
      </c>
      <c r="C12299" t="inlineStr">
        <is>
          <t>Mondays wait a minute one more bite of</t>
        </is>
      </c>
      <c r="D12299">
        <f>HYPERLINK("https://www.youtube.com/watch?v=Kp80693kNCs&amp;t=383s", "Go to time")</f>
        <v/>
      </c>
    </row>
    <row r="12300">
      <c r="A12300">
        <f>HYPERLINK("https://www.youtube.com/watch?v=QRlABeKgMB8", "Video")</f>
        <v/>
      </c>
      <c r="B12300" t="inlineStr">
        <is>
          <t>11:00</t>
        </is>
      </c>
      <c r="C12300" t="inlineStr">
        <is>
          <t>industry back quite a bit yes Michael</t>
        </is>
      </c>
      <c r="D12300">
        <f>HYPERLINK("https://www.youtube.com/watch?v=QRlABeKgMB8&amp;t=660s", "Go to time")</f>
        <v/>
      </c>
    </row>
    <row r="12301">
      <c r="A12301">
        <f>HYPERLINK("https://www.youtube.com/watch?v=9ulRAIDGUe4", "Video")</f>
        <v/>
      </c>
      <c r="B12301" t="inlineStr">
        <is>
          <t>3:00</t>
        </is>
      </c>
      <c r="C12301" t="inlineStr">
        <is>
          <t>wow you're shaking things up a bit huh</t>
        </is>
      </c>
      <c r="D12301">
        <f>HYPERLINK("https://www.youtube.com/watch?v=9ulRAIDGUe4&amp;t=180s", "Go to time")</f>
        <v/>
      </c>
    </row>
    <row r="12302">
      <c r="A12302">
        <f>HYPERLINK("https://www.youtube.com/watch?v=9ulRAIDGUe4", "Video")</f>
        <v/>
      </c>
      <c r="B12302" t="inlineStr">
        <is>
          <t>5:23</t>
        </is>
      </c>
      <c r="C12302" t="inlineStr">
        <is>
          <t>mother bites the cord okay stop</t>
        </is>
      </c>
      <c r="D12302">
        <f>HYPERLINK("https://www.youtube.com/watch?v=9ulRAIDGUe4&amp;t=323s", "Go to time")</f>
        <v/>
      </c>
    </row>
    <row r="12303">
      <c r="A12303">
        <f>HYPERLINK("https://www.youtube.com/watch?v=PgCYFM2hguI", "Video")</f>
        <v/>
      </c>
      <c r="B12303" t="inlineStr">
        <is>
          <t>1:22</t>
        </is>
      </c>
      <c r="C12303" t="inlineStr">
        <is>
          <t>mother bites the cord okay stop</t>
        </is>
      </c>
      <c r="D12303">
        <f>HYPERLINK("https://www.youtube.com/watch?v=PgCYFM2hguI&amp;t=82s", "Go to time")</f>
        <v/>
      </c>
    </row>
    <row r="12304">
      <c r="A12304">
        <f>HYPERLINK("https://www.youtube.com/watch?v=VJ9de3uUNME", "Video")</f>
        <v/>
      </c>
      <c r="B12304" t="inlineStr">
        <is>
          <t>10:47</t>
        </is>
      </c>
      <c r="C12304" t="inlineStr">
        <is>
          <t>have which is a home and a bit a shower</t>
        </is>
      </c>
      <c r="D12304">
        <f>HYPERLINK("https://www.youtube.com/watch?v=VJ9de3uUNME&amp;t=647s", "Go to time")</f>
        <v/>
      </c>
    </row>
    <row r="12305">
      <c r="A12305">
        <f>HYPERLINK("https://www.youtube.com/watch?v=1WreFhKETAQ", "Video")</f>
        <v/>
      </c>
      <c r="B12305" t="inlineStr">
        <is>
          <t>5:19</t>
        </is>
      </c>
      <c r="C12305" t="inlineStr">
        <is>
          <t>happens to be biting it I prefer for him</t>
        </is>
      </c>
      <c r="D12305">
        <f>HYPERLINK("https://www.youtube.com/watch?v=1WreFhKETAQ&amp;t=319s", "Go to time")</f>
        <v/>
      </c>
    </row>
    <row r="12306">
      <c r="A12306">
        <f>HYPERLINK("https://www.youtube.com/watch?v=1QQBB3cwNM0", "Video")</f>
        <v/>
      </c>
      <c r="B12306" t="inlineStr">
        <is>
          <t>1:17</t>
        </is>
      </c>
      <c r="C12306" t="inlineStr">
        <is>
          <t>Sorry could you speak up a little bit louder?</t>
        </is>
      </c>
      <c r="D12306">
        <f>HYPERLINK("https://www.youtube.com/watch?v=1QQBB3cwNM0&amp;t=77s", "Go to time")</f>
        <v/>
      </c>
    </row>
    <row r="12307">
      <c r="A12307">
        <f>HYPERLINK("https://www.youtube.com/watch?v=mYp0WQssACo", "Video")</f>
        <v/>
      </c>
      <c r="B12307" t="inlineStr">
        <is>
          <t>17:03</t>
        </is>
      </c>
      <c r="C12307" t="inlineStr">
        <is>
          <t>mother bites the cord okayy stop forever</t>
        </is>
      </c>
      <c r="D12307">
        <f>HYPERLINK("https://www.youtube.com/watch?v=mYp0WQssACo&amp;t=1023s", "Go to time")</f>
        <v/>
      </c>
    </row>
    <row r="12308">
      <c r="A12308">
        <f>HYPERLINK("https://www.youtube.com/watch?v=VSh71MzSxkU", "Video")</f>
        <v/>
      </c>
      <c r="B12308" t="inlineStr">
        <is>
          <t>9:41</t>
        </is>
      </c>
      <c r="C12308" t="inlineStr">
        <is>
          <t>deserved every bit of it you made my</t>
        </is>
      </c>
      <c r="D12308">
        <f>HYPERLINK("https://www.youtube.com/watch?v=VSh71MzSxkU&amp;t=581s", "Go to time")</f>
        <v/>
      </c>
    </row>
    <row r="12309">
      <c r="A12309">
        <f>HYPERLINK("https://www.youtube.com/watch?v=QDSN2M3yp48", "Video")</f>
        <v/>
      </c>
      <c r="B12309" t="inlineStr">
        <is>
          <t>3:42</t>
        </is>
      </c>
      <c r="C12309" t="inlineStr">
        <is>
          <t>all right okay in a bit</t>
        </is>
      </c>
      <c r="D12309">
        <f>HYPERLINK("https://www.youtube.com/watch?v=QDSN2M3yp48&amp;t=222s", "Go to time")</f>
        <v/>
      </c>
    </row>
    <row r="12310">
      <c r="A12310">
        <f>HYPERLINK("https://www.youtube.com/watch?v=1mipOFszqNE", "Video")</f>
        <v/>
      </c>
      <c r="B12310" t="inlineStr">
        <is>
          <t>0:21</t>
        </is>
      </c>
      <c r="C12310" t="inlineStr">
        <is>
          <t>you seem a little bit agitated michael</t>
        </is>
      </c>
      <c r="D12310">
        <f>HYPERLINK("https://www.youtube.com/watch?v=1mipOFszqNE&amp;t=21s", "Go to time")</f>
        <v/>
      </c>
    </row>
    <row r="12311">
      <c r="A12311">
        <f>HYPERLINK("https://www.youtube.com/watch?v=QS87RLjFE_g", "Video")</f>
        <v/>
      </c>
      <c r="B12311" t="inlineStr">
        <is>
          <t>0:31</t>
        </is>
      </c>
      <c r="C12311" t="inlineStr">
        <is>
          <t>little bit tight lately but at the end</t>
        </is>
      </c>
      <c r="D12311">
        <f>HYPERLINK("https://www.youtube.com/watch?v=QS87RLjFE_g&amp;t=31s", "Go to time")</f>
        <v/>
      </c>
    </row>
    <row r="12312">
      <c r="A12312">
        <f>HYPERLINK("https://www.youtube.com/watch?v=uJqzHkEe0RE", "Video")</f>
        <v/>
      </c>
      <c r="B12312" t="inlineStr">
        <is>
          <t>0:00</t>
        </is>
      </c>
      <c r="C12312" t="inlineStr">
        <is>
          <t>well i'm going through a little bit of a</t>
        </is>
      </c>
      <c r="D12312">
        <f>HYPERLINK("https://www.youtube.com/watch?v=uJqzHkEe0RE&amp;t=0s", "Go to time")</f>
        <v/>
      </c>
    </row>
    <row r="12313">
      <c r="A12313">
        <f>HYPERLINK("https://www.youtube.com/watch?v=gRkbIqL72Io", "Video")</f>
        <v/>
      </c>
      <c r="B12313" t="inlineStr">
        <is>
          <t>1:44</t>
        </is>
      </c>
      <c r="C12313" t="inlineStr">
        <is>
          <t>a little bit of a weird smell it's okay</t>
        </is>
      </c>
      <c r="D12313">
        <f>HYPERLINK("https://www.youtube.com/watch?v=gRkbIqL72Io&amp;t=104s", "Go to time")</f>
        <v/>
      </c>
    </row>
    <row r="12314">
      <c r="A12314">
        <f>HYPERLINK("https://www.youtube.com/watch?v=7PQglJfavIM", "Video")</f>
        <v/>
      </c>
      <c r="B12314" t="inlineStr">
        <is>
          <t>4:50</t>
        </is>
      </c>
      <c r="C12314" t="inlineStr">
        <is>
          <t>bit like that one</t>
        </is>
      </c>
      <c r="D12314">
        <f>HYPERLINK("https://www.youtube.com/watch?v=7PQglJfavIM&amp;t=290s", "Go to time")</f>
        <v/>
      </c>
    </row>
    <row r="12315">
      <c r="A12315">
        <f>HYPERLINK("https://www.youtube.com/watch?v=D7EiXlrWTUg", "Video")</f>
        <v/>
      </c>
      <c r="B12315" t="inlineStr">
        <is>
          <t>1:06</t>
        </is>
      </c>
      <c r="C12315" t="inlineStr">
        <is>
          <t>this party to be a tiny tiny bit like</t>
        </is>
      </c>
      <c r="D12315">
        <f>HYPERLINK("https://www.youtube.com/watch?v=D7EiXlrWTUg&amp;t=66s", "Go to time")</f>
        <v/>
      </c>
    </row>
    <row r="12316">
      <c r="A12316">
        <f>HYPERLINK("https://www.youtube.com/watch?v=dv0kh5a5RqA", "Video")</f>
        <v/>
      </c>
      <c r="B12316" t="inlineStr">
        <is>
          <t>13:02</t>
        </is>
      </c>
      <c r="C12316" t="inlineStr">
        <is>
          <t>exhibition love to see that dunk</t>
        </is>
      </c>
      <c r="D12316">
        <f>HYPERLINK("https://www.youtube.com/watch?v=dv0kh5a5RqA&amp;t=782s", "Go to time")</f>
        <v/>
      </c>
    </row>
    <row r="12317">
      <c r="A12317">
        <f>HYPERLINK("https://www.youtube.com/watch?v=f3meSYa9LfQ", "Video")</f>
        <v/>
      </c>
      <c r="B12317" t="inlineStr">
        <is>
          <t>10:53</t>
        </is>
      </c>
      <c r="C12317" t="inlineStr">
        <is>
          <t>you want to ease up a little bit look</t>
        </is>
      </c>
      <c r="D12317">
        <f>HYPERLINK("https://www.youtube.com/watch?v=f3meSYa9LfQ&amp;t=653s", "Go to time")</f>
        <v/>
      </c>
    </row>
    <row r="12318">
      <c r="A12318">
        <f>HYPERLINK("https://www.youtube.com/watch?v=f3meSYa9LfQ", "Video")</f>
        <v/>
      </c>
      <c r="B12318" t="inlineStr">
        <is>
          <t>12:50</t>
        </is>
      </c>
      <c r="C12318" t="inlineStr">
        <is>
          <t>think the lesson will last a bit my</t>
        </is>
      </c>
      <c r="D12318">
        <f>HYPERLINK("https://www.youtube.com/watch?v=f3meSYa9LfQ&amp;t=770s", "Go to time")</f>
        <v/>
      </c>
    </row>
    <row r="12319">
      <c r="A12319">
        <f>HYPERLINK("https://www.youtube.com/watch?v=f3meSYa9LfQ", "Video")</f>
        <v/>
      </c>
      <c r="B12319" t="inlineStr">
        <is>
          <t>17:36</t>
        </is>
      </c>
      <c r="C12319" t="inlineStr">
        <is>
          <t>Drake has a bit of a rash and he's hot I</t>
        </is>
      </c>
      <c r="D12319">
        <f>HYPERLINK("https://www.youtube.com/watch?v=f3meSYa9LfQ&amp;t=1056s", "Go to time")</f>
        <v/>
      </c>
    </row>
    <row r="12320">
      <c r="A12320">
        <f>HYPERLINK("https://www.youtube.com/watch?v=GRo32Ug22HY", "Video")</f>
        <v/>
      </c>
      <c r="B12320" t="inlineStr">
        <is>
          <t>4:15</t>
        </is>
      </c>
      <c r="C12320" t="inlineStr">
        <is>
          <t>bit about what you're going through in a</t>
        </is>
      </c>
      <c r="D12320">
        <f>HYPERLINK("https://www.youtube.com/watch?v=GRo32Ug22HY&amp;t=255s", "Go to time")</f>
        <v/>
      </c>
    </row>
    <row r="12321">
      <c r="A12321">
        <f>HYPERLINK("https://www.youtube.com/watch?v=7dgqhKxH3jg", "Video")</f>
        <v/>
      </c>
      <c r="B12321" t="inlineStr">
        <is>
          <t>2:03</t>
        </is>
      </c>
      <c r="C12321" t="inlineStr">
        <is>
          <t>Walk away, bitch.</t>
        </is>
      </c>
      <c r="D12321">
        <f>HYPERLINK("https://www.youtube.com/watch?v=7dgqhKxH3jg&amp;t=123s", "Go to time")</f>
        <v/>
      </c>
    </row>
    <row r="12322">
      <c r="A12322">
        <f>HYPERLINK("https://www.youtube.com/watch?v=5MCNL0k0YlU", "Video")</f>
        <v/>
      </c>
      <c r="B12322" t="inlineStr">
        <is>
          <t>1:09</t>
        </is>
      </c>
      <c r="C12322" t="inlineStr">
        <is>
          <t>symbolically their inhibitions this was</t>
        </is>
      </c>
      <c r="D12322">
        <f>HYPERLINK("https://www.youtube.com/watch?v=5MCNL0k0YlU&amp;t=69s", "Go to time")</f>
        <v/>
      </c>
    </row>
    <row r="12323">
      <c r="A12323">
        <f>HYPERLINK("https://www.youtube.com/watch?v=3xZ30C898VY", "Video")</f>
        <v/>
      </c>
      <c r="B12323" t="inlineStr">
        <is>
          <t>1:59</t>
        </is>
      </c>
      <c r="C12323" t="inlineStr">
        <is>
          <t>careful he bites</t>
        </is>
      </c>
      <c r="D12323">
        <f>HYPERLINK("https://www.youtube.com/watch?v=3xZ30C898VY&amp;t=119s", "Go to time")</f>
        <v/>
      </c>
    </row>
    <row r="12324">
      <c r="A12324">
        <f>HYPERLINK("https://www.youtube.com/watch?v=3xZ30C898VY", "Video")</f>
        <v/>
      </c>
      <c r="B12324" t="inlineStr">
        <is>
          <t>2:05</t>
        </is>
      </c>
      <c r="C12324" t="inlineStr">
        <is>
          <t>bites manager's office before you want</t>
        </is>
      </c>
      <c r="D12324">
        <f>HYPERLINK("https://www.youtube.com/watch?v=3xZ30C898VY&amp;t=125s", "Go to time")</f>
        <v/>
      </c>
    </row>
    <row r="12325">
      <c r="A12325">
        <f>HYPERLINK("https://www.youtube.com/watch?v=_xWljJScu70", "Video")</f>
        <v/>
      </c>
      <c r="B12325" t="inlineStr">
        <is>
          <t>3:09</t>
        </is>
      </c>
      <c r="C12325" t="inlineStr">
        <is>
          <t>it you know you could go a little bit</t>
        </is>
      </c>
      <c r="D12325">
        <f>HYPERLINK("https://www.youtube.com/watch?v=_xWljJScu70&amp;t=189s", "Go to time")</f>
        <v/>
      </c>
    </row>
    <row r="12326">
      <c r="A12326">
        <f>HYPERLINK("https://www.youtube.com/watch?v=_xWljJScu70", "Video")</f>
        <v/>
      </c>
      <c r="B12326" t="inlineStr">
        <is>
          <t>11:16</t>
        </is>
      </c>
      <c r="C12326" t="inlineStr">
        <is>
          <t>it's a caprese salad it's a little bit</t>
        </is>
      </c>
      <c r="D12326">
        <f>HYPERLINK("https://www.youtube.com/watch?v=_xWljJScu70&amp;t=676s", "Go to time")</f>
        <v/>
      </c>
    </row>
    <row r="12327">
      <c r="A12327">
        <f>HYPERLINK("https://www.youtube.com/watch?v=_5IareL3rac", "Video")</f>
        <v/>
      </c>
      <c r="B12327" t="inlineStr">
        <is>
          <t>6:57</t>
        </is>
      </c>
      <c r="C12327" t="inlineStr">
        <is>
          <t>clean me up a little bit bring a wet</t>
        </is>
      </c>
      <c r="D12327">
        <f>HYPERLINK("https://www.youtube.com/watch?v=_5IareL3rac&amp;t=417s", "Go to time")</f>
        <v/>
      </c>
    </row>
    <row r="12328">
      <c r="A12328">
        <f>HYPERLINK("https://www.youtube.com/watch?v=_5IareL3rac", "Video")</f>
        <v/>
      </c>
      <c r="B12328" t="inlineStr">
        <is>
          <t>16:18</t>
        </is>
      </c>
      <c r="C12328" t="inlineStr">
        <is>
          <t>I think I'll take a little bit longer</t>
        </is>
      </c>
      <c r="D12328">
        <f>HYPERLINK("https://www.youtube.com/watch?v=_5IareL3rac&amp;t=978s", "Go to time")</f>
        <v/>
      </c>
    </row>
    <row r="12329">
      <c r="A12329">
        <f>HYPERLINK("https://www.youtube.com/watch?v=Nv4e-rFwJpY", "Video")</f>
        <v/>
      </c>
      <c r="B12329" t="inlineStr">
        <is>
          <t>4:20</t>
        </is>
      </c>
      <c r="C12329" t="inlineStr">
        <is>
          <t>history but after a bit you did it run</t>
        </is>
      </c>
      <c r="D12329">
        <f>HYPERLINK("https://www.youtube.com/watch?v=Nv4e-rFwJpY&amp;t=260s", "Go to time")</f>
        <v/>
      </c>
    </row>
    <row r="12330">
      <c r="A12330">
        <f>HYPERLINK("https://www.youtube.com/watch?v=Nv4e-rFwJpY", "Video")</f>
        <v/>
      </c>
      <c r="B12330" t="inlineStr">
        <is>
          <t>20:05</t>
        </is>
      </c>
      <c r="C12330" t="inlineStr">
        <is>
          <t>and I got bit just ignore sooner or</t>
        </is>
      </c>
      <c r="D12330">
        <f>HYPERLINK("https://www.youtube.com/watch?v=Nv4e-rFwJpY&amp;t=1205s", "Go to time")</f>
        <v/>
      </c>
    </row>
    <row r="12331">
      <c r="A12331">
        <f>HYPERLINK("https://www.youtube.com/watch?v=pk5tFczY224", "Video")</f>
        <v/>
      </c>
      <c r="B12331" t="inlineStr">
        <is>
          <t>1:09</t>
        </is>
      </c>
      <c r="C12331" t="inlineStr">
        <is>
          <t>just feels a little bit like uh</t>
        </is>
      </c>
      <c r="D12331">
        <f>HYPERLINK("https://www.youtube.com/watch?v=pk5tFczY224&amp;t=69s", "Go to time")</f>
        <v/>
      </c>
    </row>
    <row r="12332">
      <c r="A12332">
        <f>HYPERLINK("https://www.youtube.com/watch?v=dld9NQFp--A", "Video")</f>
        <v/>
      </c>
      <c r="B12332" t="inlineStr">
        <is>
          <t>0:39</t>
        </is>
      </c>
      <c r="C12332" t="inlineStr">
        <is>
          <t>wait a minute one more bite of eclair</t>
        </is>
      </c>
      <c r="D12332">
        <f>HYPERLINK("https://www.youtube.com/watch?v=dld9NQFp--A&amp;t=39s", "Go to time")</f>
        <v/>
      </c>
    </row>
    <row r="12333">
      <c r="A12333">
        <f>HYPERLINK("https://www.youtube.com/watch?v=dld9NQFp--A", "Video")</f>
        <v/>
      </c>
      <c r="B12333" t="inlineStr">
        <is>
          <t>4:58</t>
        </is>
      </c>
      <c r="C12333" t="inlineStr">
        <is>
          <t>little bit harder if we are going to win</t>
        </is>
      </c>
      <c r="D12333">
        <f>HYPERLINK("https://www.youtube.com/watch?v=dld9NQFp--A&amp;t=298s", "Go to time")</f>
        <v/>
      </c>
    </row>
    <row r="12334">
      <c r="A12334">
        <f>HYPERLINK("https://www.youtube.com/watch?v=dld9NQFp--A", "Video")</f>
        <v/>
      </c>
      <c r="B12334" t="inlineStr">
        <is>
          <t>6:52</t>
        </is>
      </c>
      <c r="C12334" t="inlineStr">
        <is>
          <t>just got a little bit closer to winning</t>
        </is>
      </c>
      <c r="D12334">
        <f>HYPERLINK("https://www.youtube.com/watch?v=dld9NQFp--A&amp;t=412s", "Go to time")</f>
        <v/>
      </c>
    </row>
    <row r="12335">
      <c r="A12335">
        <f>HYPERLINK("https://www.youtube.com/watch?v=dld9NQFp--A", "Video")</f>
        <v/>
      </c>
      <c r="B12335" t="inlineStr">
        <is>
          <t>7:07</t>
        </is>
      </c>
      <c r="C12335" t="inlineStr">
        <is>
          <t>unhealthy dieting habits or Extreme</t>
        </is>
      </c>
      <c r="D12335">
        <f>HYPERLINK("https://www.youtube.com/watch?v=dld9NQFp--A&amp;t=427s", "Go to time")</f>
        <v/>
      </c>
    </row>
    <row r="12336">
      <c r="A12336">
        <f>HYPERLINK("https://www.youtube.com/watch?v=tFxpyk9IE-Y", "Video")</f>
        <v/>
      </c>
      <c r="B12336" t="inlineStr">
        <is>
          <t>5:22</t>
        </is>
      </c>
      <c r="C12336" t="inlineStr">
        <is>
          <t>this party to be a tiny tiny bit like</t>
        </is>
      </c>
      <c r="D12336">
        <f>HYPERLINK("https://www.youtube.com/watch?v=tFxpyk9IE-Y&amp;t=322s", "Go to time")</f>
        <v/>
      </c>
    </row>
    <row r="12337">
      <c r="A12337">
        <f>HYPERLINK("https://www.youtube.com/watch?v=pK3se4G1Grs", "Video")</f>
        <v/>
      </c>
      <c r="B12337" t="inlineStr">
        <is>
          <t>0:27</t>
        </is>
      </c>
      <c r="C12337" t="inlineStr">
        <is>
          <t>i think it'll take you a little bit</t>
        </is>
      </c>
      <c r="D12337">
        <f>HYPERLINK("https://www.youtube.com/watch?v=pK3se4G1Grs&amp;t=27s", "Go to time")</f>
        <v/>
      </c>
    </row>
    <row r="12338">
      <c r="A12338">
        <f>HYPERLINK("https://www.youtube.com/watch?v=4OYKsYJY3cw", "Video")</f>
        <v/>
      </c>
      <c r="B12338" t="inlineStr">
        <is>
          <t>0:28</t>
        </is>
      </c>
      <c r="C12338" t="inlineStr">
        <is>
          <t>It's actually caused
a bit of a traffic hazard.</t>
        </is>
      </c>
      <c r="D12338">
        <f>HYPERLINK("https://www.youtube.com/watch?v=4OYKsYJY3cw&amp;t=28s", "Go to time")</f>
        <v/>
      </c>
    </row>
    <row r="12339">
      <c r="A12339">
        <f>HYPERLINK("https://www.youtube.com/watch?v=iyOunTA0b-s", "Video")</f>
        <v/>
      </c>
      <c r="B12339" t="inlineStr">
        <is>
          <t>11:03</t>
        </is>
      </c>
      <c r="C12339" t="inlineStr">
        <is>
          <t>will you lighten up a little bit that's</t>
        </is>
      </c>
      <c r="D12339">
        <f>HYPERLINK("https://www.youtube.com/watch?v=iyOunTA0b-s&amp;t=663s", "Go to time")</f>
        <v/>
      </c>
    </row>
    <row r="12340">
      <c r="A12340">
        <f>HYPERLINK("https://www.youtube.com/watch?v=_OzF0CWn8Ss", "Video")</f>
        <v/>
      </c>
      <c r="B12340" t="inlineStr">
        <is>
          <t>8:08</t>
        </is>
      </c>
      <c r="C12340" t="inlineStr">
        <is>
          <t>ooh burn burn on you and a little bit on</t>
        </is>
      </c>
      <c r="D12340">
        <f>HYPERLINK("https://www.youtube.com/watch?v=_OzF0CWn8Ss&amp;t=488s", "Go to time")</f>
        <v/>
      </c>
    </row>
    <row r="12341">
      <c r="A12341">
        <f>HYPERLINK("https://www.youtube.com/watch?v=lCkdmMVBi9E", "Video")</f>
        <v/>
      </c>
      <c r="B12341" t="inlineStr">
        <is>
          <t>0:58</t>
        </is>
      </c>
      <c r="C12341" t="inlineStr">
        <is>
          <t>flowers it's creating a bit of a hostile</t>
        </is>
      </c>
      <c r="D12341">
        <f>HYPERLINK("https://www.youtube.com/watch?v=lCkdmMVBi9E&amp;t=58s", "Go to time")</f>
        <v/>
      </c>
    </row>
    <row r="12342">
      <c r="A12342">
        <f>HYPERLINK("https://www.youtube.com/watch?v=3YZBJBdDf1Y", "Video")</f>
        <v/>
      </c>
      <c r="B12342" t="inlineStr">
        <is>
          <t>10:55</t>
        </is>
      </c>
      <c r="C12342" t="inlineStr">
        <is>
          <t>little bit of uh mozzarella right there</t>
        </is>
      </c>
      <c r="D12342">
        <f>HYPERLINK("https://www.youtube.com/watch?v=3YZBJBdDf1Y&amp;t=655s", "Go to time")</f>
        <v/>
      </c>
    </row>
    <row r="12343">
      <c r="A12343">
        <f>HYPERLINK("https://www.youtube.com/watch?v=sItKwZdGkTM", "Video")</f>
        <v/>
      </c>
      <c r="B12343" t="inlineStr">
        <is>
          <t>2:55</t>
        </is>
      </c>
      <c r="C12343" t="inlineStr">
        <is>
          <t>not just another arbitrary job and</t>
        </is>
      </c>
      <c r="D12343">
        <f>HYPERLINK("https://www.youtube.com/watch?v=sItKwZdGkTM&amp;t=175s", "Go to time")</f>
        <v/>
      </c>
    </row>
    <row r="12344">
      <c r="A12344">
        <f>HYPERLINK("https://www.youtube.com/watch?v=iOIGa9cA8hQ", "Video")</f>
        <v/>
      </c>
      <c r="B12344" t="inlineStr">
        <is>
          <t>1:05</t>
        </is>
      </c>
      <c r="C12344" t="inlineStr">
        <is>
          <t>intentional a little bit of P all night</t>
        </is>
      </c>
      <c r="D12344">
        <f>HYPERLINK("https://www.youtube.com/watch?v=iOIGa9cA8hQ&amp;t=65s", "Go to time")</f>
        <v/>
      </c>
    </row>
    <row r="12345">
      <c r="A12345">
        <f>HYPERLINK("https://www.youtube.com/watch?v=Cy9kugD9rzI", "Video")</f>
        <v/>
      </c>
      <c r="B12345" t="inlineStr">
        <is>
          <t>14:48</t>
        </is>
      </c>
      <c r="C12345" t="inlineStr">
        <is>
          <t>it all seems so very arbitrary I applied</t>
        </is>
      </c>
      <c r="D12345">
        <f>HYPERLINK("https://www.youtube.com/watch?v=Cy9kugD9rzI&amp;t=888s", "Go to time")</f>
        <v/>
      </c>
    </row>
    <row r="12346">
      <c r="A12346">
        <f>HYPERLINK("https://www.youtube.com/watch?v=6lAcQcN05-s", "Video")</f>
        <v/>
      </c>
      <c r="B12346" t="inlineStr">
        <is>
          <t>0:29</t>
        </is>
      </c>
      <c r="C12346" t="inlineStr">
        <is>
          <t>shake it she gets an ace inhibitor with</t>
        </is>
      </c>
      <c r="D12346">
        <f>HYPERLINK("https://www.youtube.com/watch?v=6lAcQcN05-s&amp;t=29s", "Go to time")</f>
        <v/>
      </c>
    </row>
    <row r="12347">
      <c r="A12347">
        <f>HYPERLINK("https://www.youtube.com/watch?v=6lAcQcN05-s", "Video")</f>
        <v/>
      </c>
      <c r="B12347" t="inlineStr">
        <is>
          <t>4:25</t>
        </is>
      </c>
      <c r="C12347" t="inlineStr">
        <is>
          <t>you don't understand take back bite</t>
        </is>
      </c>
      <c r="D12347">
        <f>HYPERLINK("https://www.youtube.com/watch?v=6lAcQcN05-s&amp;t=265s", "Go to time")</f>
        <v/>
      </c>
    </row>
    <row r="12348">
      <c r="A12348">
        <f>HYPERLINK("https://www.youtube.com/watch?v=6lAcQcN05-s", "Video")</f>
        <v/>
      </c>
      <c r="B12348" t="inlineStr">
        <is>
          <t>4:28</t>
        </is>
      </c>
      <c r="C12348" t="inlineStr">
        <is>
          <t>seriously don't get bit</t>
        </is>
      </c>
      <c r="D12348">
        <f>HYPERLINK("https://www.youtube.com/watch?v=6lAcQcN05-s&amp;t=268s", "Go to time")</f>
        <v/>
      </c>
    </row>
    <row r="12349">
      <c r="A12349">
        <f>HYPERLINK("https://www.youtube.com/watch?v=sODwNUHDMnw", "Video")</f>
        <v/>
      </c>
      <c r="B12349" t="inlineStr">
        <is>
          <t>6:38</t>
        </is>
      </c>
      <c r="C12349" t="inlineStr">
        <is>
          <t>bit longer than that really if I can</t>
        </is>
      </c>
      <c r="D12349">
        <f>HYPERLINK("https://www.youtube.com/watch?v=sODwNUHDMnw&amp;t=398s", "Go to time")</f>
        <v/>
      </c>
    </row>
    <row r="12350">
      <c r="A12350">
        <f>HYPERLINK("https://www.youtube.com/watch?v=78SgHHz6kuQ", "Video")</f>
        <v/>
      </c>
      <c r="B12350" t="inlineStr">
        <is>
          <t>6:55</t>
        </is>
      </c>
      <c r="C12350" t="inlineStr">
        <is>
          <t>A little bit louder.</t>
        </is>
      </c>
      <c r="D12350">
        <f>HYPERLINK("https://www.youtube.com/watch?v=78SgHHz6kuQ&amp;t=415s", "Go to time")</f>
        <v/>
      </c>
    </row>
    <row r="12351">
      <c r="A12351">
        <f>HYPERLINK("https://www.youtube.com/watch?v=WsxaADC3m1k", "Video")</f>
        <v/>
      </c>
      <c r="B12351" t="inlineStr">
        <is>
          <t>7:57</t>
        </is>
      </c>
      <c r="C12351" t="inlineStr">
        <is>
          <t>to punish him just a little bit more and</t>
        </is>
      </c>
      <c r="D12351">
        <f>HYPERLINK("https://www.youtube.com/watch?v=WsxaADC3m1k&amp;t=477s", "Go to time")</f>
        <v/>
      </c>
    </row>
    <row r="12352">
      <c r="A12352">
        <f>HYPERLINK("https://www.youtube.com/watch?v=6GTw3kyaKgQ", "Video")</f>
        <v/>
      </c>
      <c r="B12352" t="inlineStr">
        <is>
          <t>1:45</t>
        </is>
      </c>
      <c r="C12352" t="inlineStr">
        <is>
          <t>describe it brown shiny painful bite</t>
        </is>
      </c>
      <c r="D12352">
        <f>HYPERLINK("https://www.youtube.com/watch?v=6GTw3kyaKgQ&amp;t=105s", "Go to time")</f>
        <v/>
      </c>
    </row>
    <row r="12353">
      <c r="A12353">
        <f>HYPERLINK("https://www.youtube.com/watch?v=6GTw3kyaKgQ", "Video")</f>
        <v/>
      </c>
      <c r="B12353" t="inlineStr">
        <is>
          <t>1:54</t>
        </is>
      </c>
      <c r="C12353" t="inlineStr">
        <is>
          <t>enough but after a bit you did it run</t>
        </is>
      </c>
      <c r="D12353">
        <f>HYPERLINK("https://www.youtube.com/watch?v=6GTw3kyaKgQ&amp;t=114s", "Go to time")</f>
        <v/>
      </c>
    </row>
    <row r="12354">
      <c r="A12354">
        <f>HYPERLINK("https://www.youtube.com/watch?v=6GTw3kyaKgQ", "Video")</f>
        <v/>
      </c>
      <c r="B12354" t="inlineStr">
        <is>
          <t>2:38</t>
        </is>
      </c>
      <c r="C12354" t="inlineStr">
        <is>
          <t>let the bed bugs bite oh god i feel so</t>
        </is>
      </c>
      <c r="D12354">
        <f>HYPERLINK("https://www.youtube.com/watch?v=6GTw3kyaKgQ&amp;t=158s", "Go to time")</f>
        <v/>
      </c>
    </row>
    <row r="12355">
      <c r="A12355">
        <f>HYPERLINK("https://www.youtube.com/watch?v=i1MuhzA73nU", "Video")</f>
        <v/>
      </c>
      <c r="B12355" t="inlineStr">
        <is>
          <t>0:13</t>
        </is>
      </c>
      <c r="C12355" t="inlineStr">
        <is>
          <t>routine I'm just a little bit scared I'm</t>
        </is>
      </c>
      <c r="D12355">
        <f>HYPERLINK("https://www.youtube.com/watch?v=i1MuhzA73nU&amp;t=13s", "Go to time")</f>
        <v/>
      </c>
    </row>
    <row r="12356">
      <c r="A12356">
        <f>HYPERLINK("https://www.youtube.com/watch?v=8NMj9WJpK5c", "Video")</f>
        <v/>
      </c>
      <c r="B12356" t="inlineStr">
        <is>
          <t>10:52</t>
        </is>
      </c>
      <c r="C12356" t="inlineStr">
        <is>
          <t>off a pillow once and I got bit just</t>
        </is>
      </c>
      <c r="D12356">
        <f>HYPERLINK("https://www.youtube.com/watch?v=8NMj9WJpK5c&amp;t=652s", "Go to time")</f>
        <v/>
      </c>
    </row>
    <row r="12357">
      <c r="A12357">
        <f>HYPERLINK("https://www.youtube.com/watch?v=9IDvInOaSgM", "Video")</f>
        <v/>
      </c>
      <c r="B12357" t="inlineStr">
        <is>
          <t>5:33</t>
        </is>
      </c>
      <c r="C12357" t="inlineStr">
        <is>
          <t>drizzle Oreo sprinkles cotton candy bits</t>
        </is>
      </c>
      <c r="D12357">
        <f>HYPERLINK("https://www.youtube.com/watch?v=9IDvInOaSgM&amp;t=333s", "Go to time")</f>
        <v/>
      </c>
    </row>
    <row r="12358">
      <c r="A12358">
        <f>HYPERLINK("https://www.youtube.com/watch?v=FldGxkUFuuQ", "Video")</f>
        <v/>
      </c>
      <c r="B12358" t="inlineStr">
        <is>
          <t>2:37</t>
        </is>
      </c>
      <c r="C12358" t="inlineStr">
        <is>
          <t>drizzle Oreo sprinkles cotton candy bits</t>
        </is>
      </c>
      <c r="D12358">
        <f>HYPERLINK("https://www.youtube.com/watch?v=FldGxkUFuuQ&amp;t=157s", "Go to time")</f>
        <v/>
      </c>
    </row>
    <row r="12359">
      <c r="A12359">
        <f>HYPERLINK("https://www.youtube.com/watch?v=fiYelN8zJGw", "Video")</f>
        <v/>
      </c>
      <c r="B12359" t="inlineStr">
        <is>
          <t>3:43</t>
        </is>
      </c>
      <c r="C12359" t="inlineStr">
        <is>
          <t>take a little bit longer than that</t>
        </is>
      </c>
      <c r="D12359">
        <f>HYPERLINK("https://www.youtube.com/watch?v=fiYelN8zJGw&amp;t=223s", "Go to time")</f>
        <v/>
      </c>
    </row>
    <row r="12360">
      <c r="A12360">
        <f>HYPERLINK("https://www.youtube.com/watch?v=fiYelN8zJGw", "Video")</f>
        <v/>
      </c>
      <c r="B12360" t="inlineStr">
        <is>
          <t>5:12</t>
        </is>
      </c>
      <c r="C12360" t="inlineStr">
        <is>
          <t>having a limit of a little bit louder</t>
        </is>
      </c>
      <c r="D12360">
        <f>HYPERLINK("https://www.youtube.com/watch?v=fiYelN8zJGw&amp;t=312s", "Go to time")</f>
        <v/>
      </c>
    </row>
    <row r="12361">
      <c r="A12361">
        <f>HYPERLINK("https://www.youtube.com/watch?v=O4WFtfi5Lfk", "Video")</f>
        <v/>
      </c>
      <c r="B12361" t="inlineStr">
        <is>
          <t>7:05</t>
        </is>
      </c>
      <c r="C12361" t="inlineStr">
        <is>
          <t>don't you guys take off a little bit</t>
        </is>
      </c>
      <c r="D12361">
        <f>HYPERLINK("https://www.youtube.com/watch?v=O4WFtfi5Lfk&amp;t=425s", "Go to time")</f>
        <v/>
      </c>
    </row>
    <row r="12362">
      <c r="A12362">
        <f>HYPERLINK("https://www.youtube.com/watch?v=rD0uWHoKS_w", "Video")</f>
        <v/>
      </c>
      <c r="B12362" t="inlineStr">
        <is>
          <t>0:58</t>
        </is>
      </c>
      <c r="C12362" t="inlineStr">
        <is>
          <t>bit longer than that really if I can</t>
        </is>
      </c>
      <c r="D12362">
        <f>HYPERLINK("https://www.youtube.com/watch?v=rD0uWHoKS_w&amp;t=58s", "Go to time")</f>
        <v/>
      </c>
    </row>
    <row r="12363">
      <c r="A12363">
        <f>HYPERLINK("https://www.youtube.com/watch?v=rD0uWHoKS_w", "Video")</f>
        <v/>
      </c>
      <c r="B12363" t="inlineStr">
        <is>
          <t>7:06</t>
        </is>
      </c>
      <c r="C12363" t="inlineStr">
        <is>
          <t>see just how deep the rabbit hole</t>
        </is>
      </c>
      <c r="D12363">
        <f>HYPERLINK("https://www.youtube.com/watch?v=rD0uWHoKS_w&amp;t=426s", "Go to time")</f>
        <v/>
      </c>
    </row>
    <row r="12364">
      <c r="A12364">
        <f>HYPERLINK("https://www.youtube.com/watch?v=UPEHV0GJaiU", "Video")</f>
        <v/>
      </c>
      <c r="B12364" t="inlineStr">
        <is>
          <t>3:42</t>
        </is>
      </c>
      <c r="C12364" t="inlineStr">
        <is>
          <t>and a little bit of fat and salt</t>
        </is>
      </c>
      <c r="D12364">
        <f>HYPERLINK("https://www.youtube.com/watch?v=UPEHV0GJaiU&amp;t=222s", "Go to time")</f>
        <v/>
      </c>
    </row>
    <row r="12365">
      <c r="A12365">
        <f>HYPERLINK("https://www.youtube.com/watch?v=Ngn6Y9ZqAGA", "Video")</f>
        <v/>
      </c>
      <c r="B12365" t="inlineStr">
        <is>
          <t>0:05</t>
        </is>
      </c>
      <c r="C12365" t="inlineStr">
        <is>
          <t>who cares if we sell a little bit less</t>
        </is>
      </c>
      <c r="D12365">
        <f>HYPERLINK("https://www.youtube.com/watch?v=Ngn6Y9ZqAGA&amp;t=5s", "Go to time")</f>
        <v/>
      </c>
    </row>
    <row r="12366">
      <c r="A12366">
        <f>HYPERLINK("https://www.youtube.com/watch?v=Ngn6Y9ZqAGA", "Video")</f>
        <v/>
      </c>
      <c r="B12366" t="inlineStr">
        <is>
          <t>3:01</t>
        </is>
      </c>
      <c r="C12366" t="inlineStr">
        <is>
          <t>it's creating a bit of a hostile working</t>
        </is>
      </c>
      <c r="D12366">
        <f>HYPERLINK("https://www.youtube.com/watch?v=Ngn6Y9ZqAGA&amp;t=181s", "Go to time")</f>
        <v/>
      </c>
    </row>
    <row r="12367">
      <c r="A12367">
        <f>HYPERLINK("https://www.youtube.com/watch?v=zn5I9909R7w", "Video")</f>
        <v/>
      </c>
      <c r="B12367" t="inlineStr">
        <is>
          <t>0:32</t>
        </is>
      </c>
      <c r="C12367" t="inlineStr">
        <is>
          <t>pillow once and i got bit just ignore</t>
        </is>
      </c>
      <c r="D12367">
        <f>HYPERLINK("https://www.youtube.com/watch?v=zn5I9909R7w&amp;t=32s", "Go to time")</f>
        <v/>
      </c>
    </row>
    <row r="12368">
      <c r="A12368">
        <f>HYPERLINK("https://www.youtube.com/watch?v=dd-P5Y_7Mfg", "Video")</f>
        <v/>
      </c>
      <c r="B12368" t="inlineStr">
        <is>
          <t>2:22</t>
        </is>
      </c>
      <c r="C12368" t="inlineStr">
        <is>
          <t>it all seems so very arbitrary I applied</t>
        </is>
      </c>
      <c r="D12368">
        <f>HYPERLINK("https://www.youtube.com/watch?v=dd-P5Y_7Mfg&amp;t=142s", "Go to time")</f>
        <v/>
      </c>
    </row>
    <row r="12369">
      <c r="A12369">
        <f>HYPERLINK("https://www.youtube.com/watch?v=4D652TBXdJA", "Video")</f>
        <v/>
      </c>
      <c r="B12369" t="inlineStr">
        <is>
          <t>8:40</t>
        </is>
      </c>
      <c r="C12369" t="inlineStr">
        <is>
          <t>we have a little bit of a problem</t>
        </is>
      </c>
      <c r="D12369">
        <f>HYPERLINK("https://www.youtube.com/watch?v=4D652TBXdJA&amp;t=520s", "Go to time")</f>
        <v/>
      </c>
    </row>
    <row r="12370">
      <c r="A12370">
        <f>HYPERLINK("https://www.youtube.com/watch?v=3jtwvEe6htA", "Video")</f>
        <v/>
      </c>
      <c r="B12370" t="inlineStr">
        <is>
          <t>0:43</t>
        </is>
      </c>
      <c r="C12370" t="inlineStr">
        <is>
          <t>gets an Ace inhibitor with her meal if</t>
        </is>
      </c>
      <c r="D12370">
        <f>HYPERLINK("https://www.youtube.com/watch?v=3jtwvEe6htA&amp;t=43s", "Go to time")</f>
        <v/>
      </c>
    </row>
    <row r="12371">
      <c r="A12371">
        <f>HYPERLINK("https://www.youtube.com/watch?v=3jtwvEe6htA", "Video")</f>
        <v/>
      </c>
      <c r="B12371" t="inlineStr">
        <is>
          <t>1:40</t>
        </is>
      </c>
      <c r="C12371" t="inlineStr">
        <is>
          <t>can see how it would seem a bit like we</t>
        </is>
      </c>
      <c r="D12371">
        <f>HYPERLINK("https://www.youtube.com/watch?v=3jtwvEe6htA&amp;t=100s", "Go to time")</f>
        <v/>
      </c>
    </row>
    <row r="12372">
      <c r="A12372">
        <f>HYPERLINK("https://www.youtube.com/watch?v=3jtwvEe6htA", "Video")</f>
        <v/>
      </c>
      <c r="B12372" t="inlineStr">
        <is>
          <t>2:53</t>
        </is>
      </c>
      <c r="C12372" t="inlineStr">
        <is>
          <t>bit finishing that 5K was the hardest</t>
        </is>
      </c>
      <c r="D12372">
        <f>HYPERLINK("https://www.youtube.com/watch?v=3jtwvEe6htA&amp;t=173s", "Go to time")</f>
        <v/>
      </c>
    </row>
    <row r="12373">
      <c r="A12373">
        <f>HYPERLINK("https://www.youtube.com/watch?v=HP5Vj0qf6pw", "Video")</f>
        <v/>
      </c>
      <c r="B12373" t="inlineStr">
        <is>
          <t>8:19</t>
        </is>
      </c>
      <c r="C12373" t="inlineStr">
        <is>
          <t>bit longer than that really if I can</t>
        </is>
      </c>
      <c r="D12373">
        <f>HYPERLINK("https://www.youtube.com/watch?v=HP5Vj0qf6pw&amp;t=499s", "Go to time")</f>
        <v/>
      </c>
    </row>
    <row r="12374">
      <c r="A12374">
        <f>HYPERLINK("https://www.youtube.com/watch?v=AqMRtz9lWFU", "Video")</f>
        <v/>
      </c>
      <c r="B12374" t="inlineStr">
        <is>
          <t>0:56</t>
        </is>
      </c>
      <c r="C12374" t="inlineStr">
        <is>
          <t>ambitious guy you know cut your throat</t>
        </is>
      </c>
      <c r="D12374">
        <f>HYPERLINK("https://www.youtube.com/watch?v=AqMRtz9lWFU&amp;t=56s", "Go to time")</f>
        <v/>
      </c>
    </row>
    <row r="12375">
      <c r="A12375">
        <f>HYPERLINK("https://www.youtube.com/watch?v=AqMRtz9lWFU", "Video")</f>
        <v/>
      </c>
      <c r="B12375" t="inlineStr">
        <is>
          <t>3:06</t>
        </is>
      </c>
      <c r="C12375" t="inlineStr">
        <is>
          <t>seems so very arbitrary I applied for a</t>
        </is>
      </c>
      <c r="D12375">
        <f>HYPERLINK("https://www.youtube.com/watch?v=AqMRtz9lWFU&amp;t=186s", "Go to time")</f>
        <v/>
      </c>
    </row>
    <row r="12376">
      <c r="A12376">
        <f>HYPERLINK("https://www.youtube.com/watch?v=AqMRtz9lWFU", "Video")</f>
        <v/>
      </c>
      <c r="B12376" t="inlineStr">
        <is>
          <t>6:41</t>
        </is>
      </c>
      <c r="C12376" t="inlineStr">
        <is>
          <t>that quite a bit I really enjoy being</t>
        </is>
      </c>
      <c r="D12376">
        <f>HYPERLINK("https://www.youtube.com/watch?v=AqMRtz9lWFU&amp;t=401s", "Go to time")</f>
        <v/>
      </c>
    </row>
    <row r="12377">
      <c r="A12377">
        <f>HYPERLINK("https://www.youtube.com/watch?v=y9l6DhHcksg", "Video")</f>
        <v/>
      </c>
      <c r="B12377" t="inlineStr">
        <is>
          <t>1:04</t>
        </is>
      </c>
      <c r="C12377" t="inlineStr">
        <is>
          <t>you're bit by a spider but check that</t>
        </is>
      </c>
      <c r="D12377">
        <f>HYPERLINK("https://www.youtube.com/watch?v=y9l6DhHcksg&amp;t=64s", "Go to time")</f>
        <v/>
      </c>
    </row>
    <row r="12378">
      <c r="A12378">
        <f>HYPERLINK("https://www.youtube.com/watch?v=Gpu3Ryq3k2s", "Video")</f>
        <v/>
      </c>
      <c r="B12378" t="inlineStr">
        <is>
          <t>8:05</t>
        </is>
      </c>
      <c r="C12378" t="inlineStr">
        <is>
          <t>you get down there Joe's a little bit uh</t>
        </is>
      </c>
      <c r="D12378">
        <f>HYPERLINK("https://www.youtube.com/watch?v=Gpu3Ryq3k2s&amp;t=485s", "Go to time")</f>
        <v/>
      </c>
    </row>
    <row r="12379">
      <c r="A12379">
        <f>HYPERLINK("https://www.youtube.com/watch?v=IXF7TwgBj3k", "Video")</f>
        <v/>
      </c>
      <c r="B12379" t="inlineStr">
        <is>
          <t>1:27</t>
        </is>
      </c>
      <c r="C12379" t="inlineStr">
        <is>
          <t>I'd show you around a little bit
since you made the trip out.</t>
        </is>
      </c>
      <c r="D12379">
        <f>HYPERLINK("https://www.youtube.com/watch?v=IXF7TwgBj3k&amp;t=87s", "Go to time")</f>
        <v/>
      </c>
    </row>
    <row r="12380">
      <c r="A12380">
        <f>HYPERLINK("https://www.youtube.com/watch?v=xf3jtSIZryQ", "Video")</f>
        <v/>
      </c>
      <c r="B12380" t="inlineStr">
        <is>
          <t>8:52</t>
        </is>
      </c>
      <c r="C12380" t="inlineStr">
        <is>
          <t>flushed and I'm assuming a little bit of</t>
        </is>
      </c>
      <c r="D12380">
        <f>HYPERLINK("https://www.youtube.com/watch?v=xf3jtSIZryQ&amp;t=532s", "Go to time")</f>
        <v/>
      </c>
    </row>
    <row r="12381">
      <c r="A12381">
        <f>HYPERLINK("https://www.youtube.com/watch?v=xf3jtSIZryQ", "Video")</f>
        <v/>
      </c>
      <c r="B12381" t="inlineStr">
        <is>
          <t>18:34</t>
        </is>
      </c>
      <c r="C12381" t="inlineStr">
        <is>
          <t>yeah yeah a little bit I</t>
        </is>
      </c>
      <c r="D12381">
        <f>HYPERLINK("https://www.youtube.com/watch?v=xf3jtSIZryQ&amp;t=1114s", "Go to time")</f>
        <v/>
      </c>
    </row>
    <row r="12382">
      <c r="A12382">
        <f>HYPERLINK("https://www.youtube.com/watch?v=xf3jtSIZryQ", "Video")</f>
        <v/>
      </c>
      <c r="B12382" t="inlineStr">
        <is>
          <t>18:52</t>
        </is>
      </c>
      <c r="C12382" t="inlineStr">
        <is>
          <t>but actually there's quite a bit of</t>
        </is>
      </c>
      <c r="D12382">
        <f>HYPERLINK("https://www.youtube.com/watch?v=xf3jtSIZryQ&amp;t=1132s", "Go to time")</f>
        <v/>
      </c>
    </row>
    <row r="12383">
      <c r="A12383">
        <f>HYPERLINK("https://www.youtube.com/watch?v=nYH5qkXiP40", "Video")</f>
        <v/>
      </c>
      <c r="B12383" t="inlineStr">
        <is>
          <t>0:08</t>
        </is>
      </c>
      <c r="C12383" t="inlineStr">
        <is>
          <t>and i just do a little bit of a nod sort</t>
        </is>
      </c>
      <c r="D12383">
        <f>HYPERLINK("https://www.youtube.com/watch?v=nYH5qkXiP40&amp;t=8s", "Go to time")</f>
        <v/>
      </c>
    </row>
    <row r="12384">
      <c r="A12384">
        <f>HYPERLINK("https://www.youtube.com/watch?v=g711QAyN1Eo", "Video")</f>
        <v/>
      </c>
      <c r="B12384" t="inlineStr">
        <is>
          <t>6:12</t>
        </is>
      </c>
      <c r="C12384" t="inlineStr">
        <is>
          <t>a nice juicy rabbit would be delicious</t>
        </is>
      </c>
      <c r="D12384">
        <f>HYPERLINK("https://www.youtube.com/watch?v=g711QAyN1Eo&amp;t=372s", "Go to time")</f>
        <v/>
      </c>
    </row>
    <row r="12385">
      <c r="A12385">
        <f>HYPERLINK("https://www.youtube.com/watch?v=g711QAyN1Eo", "Video")</f>
        <v/>
      </c>
      <c r="B12385" t="inlineStr">
        <is>
          <t>6:38</t>
        </is>
      </c>
      <c r="C12385" t="inlineStr">
        <is>
          <t>starting to feel it a little bit rule 17</t>
        </is>
      </c>
      <c r="D12385">
        <f>HYPERLINK("https://www.youtube.com/watch?v=g711QAyN1Eo&amp;t=398s", "Go to time")</f>
        <v/>
      </c>
    </row>
    <row r="12386">
      <c r="A12386">
        <f>HYPERLINK("https://www.youtube.com/watch?v=sb2gtDxQMrM", "Video")</f>
        <v/>
      </c>
      <c r="B12386" t="inlineStr">
        <is>
          <t>1:52</t>
        </is>
      </c>
      <c r="C12386" t="inlineStr">
        <is>
          <t>bit more nice and polite then people</t>
        </is>
      </c>
      <c r="D12386">
        <f>HYPERLINK("https://www.youtube.com/watch?v=sb2gtDxQMrM&amp;t=112s", "Go to time")</f>
        <v/>
      </c>
    </row>
    <row r="12387">
      <c r="A12387">
        <f>HYPERLINK("https://www.youtube.com/watch?v=AKZSaqp_BJc", "Video")</f>
        <v/>
      </c>
      <c r="B12387" t="inlineStr">
        <is>
          <t>11:44</t>
        </is>
      </c>
      <c r="C12387" t="inlineStr">
        <is>
          <t>but after a bit you did it run away</t>
        </is>
      </c>
      <c r="D12387">
        <f>HYPERLINK("https://www.youtube.com/watch?v=AKZSaqp_BJc&amp;t=704s", "Go to time")</f>
        <v/>
      </c>
    </row>
    <row r="12388">
      <c r="A12388">
        <f>HYPERLINK("https://www.youtube.com/watch?v=548cq_NOMPs", "Video")</f>
        <v/>
      </c>
      <c r="B12388" t="inlineStr">
        <is>
          <t>5:52</t>
        </is>
      </c>
      <c r="C12388" t="inlineStr">
        <is>
          <t>falling asleep a little bit handy you</t>
        </is>
      </c>
      <c r="D12388">
        <f>HYPERLINK("https://www.youtube.com/watch?v=548cq_NOMPs&amp;t=352s", "Go to time")</f>
        <v/>
      </c>
    </row>
    <row r="12389">
      <c r="A12389">
        <f>HYPERLINK("https://www.youtube.com/watch?v=XBpc7cGUIi4", "Video")</f>
        <v/>
      </c>
      <c r="B12389" t="inlineStr">
        <is>
          <t>0:16</t>
        </is>
      </c>
      <c r="C12389" t="inlineStr">
        <is>
          <t>-Andrea is the, uh,
office bitch.</t>
        </is>
      </c>
      <c r="D12389">
        <f>HYPERLINK("https://www.youtube.com/watch?v=XBpc7cGUIi4&amp;t=16s", "Go to time")</f>
        <v/>
      </c>
    </row>
    <row r="12390">
      <c r="A12390">
        <f>HYPERLINK("https://www.youtube.com/watch?v=THolqsuG-Do", "Video")</f>
        <v/>
      </c>
      <c r="B12390" t="inlineStr">
        <is>
          <t>10:59</t>
        </is>
      </c>
      <c r="C12390" t="inlineStr">
        <is>
          <t>hey my name is Tabitha I'm camped out in</t>
        </is>
      </c>
      <c r="D12390">
        <f>HYPERLINK("https://www.youtube.com/watch?v=THolqsuG-Do&amp;t=659s", "Go to time")</f>
        <v/>
      </c>
    </row>
    <row r="12391">
      <c r="A12391">
        <f>HYPERLINK("https://www.youtube.com/watch?v=QC-C16ZfVs4", "Video")</f>
        <v/>
      </c>
      <c r="B12391" t="inlineStr">
        <is>
          <t>0:22</t>
        </is>
      </c>
      <c r="C12391" t="inlineStr">
        <is>
          <t>habit I'm afraid I'm going</t>
        </is>
      </c>
      <c r="D12391">
        <f>HYPERLINK("https://www.youtube.com/watch?v=QC-C16ZfVs4&amp;t=22s", "Go to time")</f>
        <v/>
      </c>
    </row>
    <row r="12392">
      <c r="A12392">
        <f>HYPERLINK("https://www.youtube.com/watch?v=QC-C16ZfVs4", "Video")</f>
        <v/>
      </c>
      <c r="B12392" t="inlineStr">
        <is>
          <t>2:43</t>
        </is>
      </c>
      <c r="C12392" t="inlineStr">
        <is>
          <t>bit longer than that really if I can</t>
        </is>
      </c>
      <c r="D12392">
        <f>HYPERLINK("https://www.youtube.com/watch?v=QC-C16ZfVs4&amp;t=163s", "Go to time")</f>
        <v/>
      </c>
    </row>
    <row r="12393">
      <c r="A12393">
        <f>HYPERLINK("https://www.youtube.com/watch?v=QC-C16ZfVs4", "Video")</f>
        <v/>
      </c>
      <c r="B12393" t="inlineStr">
        <is>
          <t>3:08</t>
        </is>
      </c>
      <c r="C12393" t="inlineStr">
        <is>
          <t>mean I know I felt it bite me but look</t>
        </is>
      </c>
      <c r="D12393">
        <f>HYPERLINK("https://www.youtube.com/watch?v=QC-C16ZfVs4&amp;t=188s", "Go to time")</f>
        <v/>
      </c>
    </row>
    <row r="12394">
      <c r="A12394">
        <f>HYPERLINK("https://www.youtube.com/watch?v=QC-C16ZfVs4", "Video")</f>
        <v/>
      </c>
      <c r="B12394" t="inlineStr">
        <is>
          <t>22:37</t>
        </is>
      </c>
      <c r="C12394" t="inlineStr">
        <is>
          <t>see just how deep the rabbit hole</t>
        </is>
      </c>
      <c r="D12394">
        <f>HYPERLINK("https://www.youtube.com/watch?v=QC-C16ZfVs4&amp;t=1357s", "Go to time")</f>
        <v/>
      </c>
    </row>
    <row r="12395">
      <c r="A12395">
        <f>HYPERLINK("https://www.youtube.com/watch?v=KrsLyP4ArlM", "Video")</f>
        <v/>
      </c>
      <c r="B12395" t="inlineStr">
        <is>
          <t>5:59</t>
        </is>
      </c>
      <c r="C12395" t="inlineStr">
        <is>
          <t>-Hey, right back at you, bitch</t>
        </is>
      </c>
      <c r="D12395">
        <f>HYPERLINK("https://www.youtube.com/watch?v=KrsLyP4ArlM&amp;t=359s", "Go to time")</f>
        <v/>
      </c>
    </row>
    <row r="12396">
      <c r="A12396">
        <f>HYPERLINK("https://www.youtube.com/watch?v=5kd4oT0TeDE", "Video")</f>
        <v/>
      </c>
      <c r="B12396" t="inlineStr">
        <is>
          <t>3:43</t>
        </is>
      </c>
      <c r="C12396" t="inlineStr">
        <is>
          <t>little bit ruined it's business it's not</t>
        </is>
      </c>
      <c r="D12396">
        <f>HYPERLINK("https://www.youtube.com/watch?v=5kd4oT0TeDE&amp;t=223s", "Go to time")</f>
        <v/>
      </c>
    </row>
    <row r="12397">
      <c r="A12397">
        <f>HYPERLINK("https://www.youtube.com/watch?v=KkbJ_F__D14", "Video")</f>
        <v/>
      </c>
      <c r="B12397" t="inlineStr">
        <is>
          <t>1:55</t>
        </is>
      </c>
      <c r="C12397" t="inlineStr">
        <is>
          <t>me up a little bit bring a wet towel</t>
        </is>
      </c>
      <c r="D12397">
        <f>HYPERLINK("https://www.youtube.com/watch?v=KkbJ_F__D14&amp;t=115s", "Go to time")</f>
        <v/>
      </c>
    </row>
    <row r="12398">
      <c r="A12398">
        <f>HYPERLINK("https://www.youtube.com/watch?v=QKvDjfXFsSI", "Video")</f>
        <v/>
      </c>
      <c r="B12398" t="inlineStr">
        <is>
          <t>3:25</t>
        </is>
      </c>
      <c r="C12398" t="inlineStr">
        <is>
          <t>it all seems so very arbitrary I applied</t>
        </is>
      </c>
      <c r="D12398">
        <f>HYPERLINK("https://www.youtube.com/watch?v=QKvDjfXFsSI&amp;t=205s", "Go to time")</f>
        <v/>
      </c>
    </row>
    <row r="12399">
      <c r="A12399">
        <f>HYPERLINK("https://www.youtube.com/watch?v=RK78IKPzeNc", "Video")</f>
        <v/>
      </c>
      <c r="B12399" t="inlineStr">
        <is>
          <t>5:03</t>
        </is>
      </c>
      <c r="C12399" t="inlineStr">
        <is>
          <t>father dressed in white pulls me forward,  mother bites the cord-</t>
        </is>
      </c>
      <c r="D12399">
        <f>HYPERLINK("https://www.youtube.com/watch?v=RK78IKPzeNc&amp;t=303s", "Go to time")</f>
        <v/>
      </c>
    </row>
    <row r="12400">
      <c r="A12400">
        <f>HYPERLINK("https://www.youtube.com/watch?v=ZOpf3wpo43w", "Video")</f>
        <v/>
      </c>
      <c r="B12400" t="inlineStr">
        <is>
          <t>9:14</t>
        </is>
      </c>
      <c r="C12400" t="inlineStr">
        <is>
          <t>for a bitter surprise I am not to be</t>
        </is>
      </c>
      <c r="D12400">
        <f>HYPERLINK("https://www.youtube.com/watch?v=ZOpf3wpo43w&amp;t=554s", "Go to time")</f>
        <v/>
      </c>
    </row>
    <row r="12401">
      <c r="A12401">
        <f>HYPERLINK("https://www.youtube.com/watch?v=jgliCvYQ4hY", "Video")</f>
        <v/>
      </c>
      <c r="B12401" t="inlineStr">
        <is>
          <t>6:52</t>
        </is>
      </c>
      <c r="C12401" t="inlineStr">
        <is>
          <t>There's a little bit of, uh,
mozzarella right there.</t>
        </is>
      </c>
      <c r="D12401">
        <f>HYPERLINK("https://www.youtube.com/watch?v=jgliCvYQ4hY&amp;t=412s", "Go to time")</f>
        <v/>
      </c>
    </row>
    <row r="12402">
      <c r="A12402">
        <f>HYPERLINK("https://www.youtube.com/watch?v=OJj93V-HR8U", "Video")</f>
        <v/>
      </c>
      <c r="B12402" t="inlineStr">
        <is>
          <t>15:19</t>
        </is>
      </c>
      <c r="C12402" t="inlineStr">
        <is>
          <t>we have a little bit of a problem know</t>
        </is>
      </c>
      <c r="D12402">
        <f>HYPERLINK("https://www.youtube.com/watch?v=OJj93V-HR8U&amp;t=919s", "Go to time")</f>
        <v/>
      </c>
    </row>
    <row r="12403">
      <c r="A12403">
        <f>HYPERLINK("https://www.youtube.com/watch?v=EHLGvu0P5bk", "Video")</f>
        <v/>
      </c>
      <c r="B12403" t="inlineStr">
        <is>
          <t>2:01</t>
        </is>
      </c>
      <c r="C12403" t="inlineStr">
        <is>
          <t>having a limited a little bit louder I'm</t>
        </is>
      </c>
      <c r="D12403">
        <f>HYPERLINK("https://www.youtube.com/watch?v=EHLGvu0P5bk&amp;t=121s", "Go to time")</f>
        <v/>
      </c>
    </row>
    <row r="12404">
      <c r="A12404">
        <f>HYPERLINK("https://www.youtube.com/watch?v=tvS9mu83YMc", "Video")</f>
        <v/>
      </c>
      <c r="B12404" t="inlineStr">
        <is>
          <t>3:15</t>
        </is>
      </c>
      <c r="C12404" t="inlineStr">
        <is>
          <t>threatening applicant with an arbitrary</t>
        </is>
      </c>
      <c r="D12404">
        <f>HYPERLINK("https://www.youtube.com/watch?v=tvS9mu83YMc&amp;t=195s", "Go to time")</f>
        <v/>
      </c>
    </row>
    <row r="12405">
      <c r="A12405">
        <f>HYPERLINK("https://www.youtube.com/watch?v=T-yT9X4XkH0", "Video")</f>
        <v/>
      </c>
      <c r="B12405" t="inlineStr">
        <is>
          <t>4:04</t>
        </is>
      </c>
      <c r="C12405" t="inlineStr">
        <is>
          <t>room what can I say old habits die hard</t>
        </is>
      </c>
      <c r="D12405">
        <f>HYPERLINK("https://www.youtube.com/watch?v=T-yT9X4XkH0&amp;t=244s", "Go to time")</f>
        <v/>
      </c>
    </row>
    <row r="12406">
      <c r="A12406">
        <f>HYPERLINK("https://www.youtube.com/watch?v=-gTQWOk6dkg", "Video")</f>
        <v/>
      </c>
      <c r="B12406" t="inlineStr">
        <is>
          <t>6:44</t>
        </is>
      </c>
      <c r="C12406" t="inlineStr">
        <is>
          <t>everyone gets a little bit con you look</t>
        </is>
      </c>
      <c r="D12406">
        <f>HYPERLINK("https://www.youtube.com/watch?v=-gTQWOk6dkg&amp;t=404s", "Go to time")</f>
        <v/>
      </c>
    </row>
    <row r="12407">
      <c r="A12407">
        <f>HYPERLINK("https://www.youtube.com/watch?v=-gTQWOk6dkg", "Video")</f>
        <v/>
      </c>
      <c r="B12407" t="inlineStr">
        <is>
          <t>28:43</t>
        </is>
      </c>
      <c r="C12407" t="inlineStr">
        <is>
          <t>little bit break this</t>
        </is>
      </c>
      <c r="D12407">
        <f>HYPERLINK("https://www.youtube.com/watch?v=-gTQWOk6dkg&amp;t=1723s", "Go to time")</f>
        <v/>
      </c>
    </row>
    <row r="12408">
      <c r="A12408">
        <f>HYPERLINK("https://www.youtube.com/watch?v=yt0XYibFwaY", "Video")</f>
        <v/>
      </c>
      <c r="B12408" t="inlineStr">
        <is>
          <t>2:30</t>
        </is>
      </c>
      <c r="C12408" t="inlineStr">
        <is>
          <t>guys take off a little bit early tonight</t>
        </is>
      </c>
      <c r="D12408">
        <f>HYPERLINK("https://www.youtube.com/watch?v=yt0XYibFwaY&amp;t=150s", "Go to time")</f>
        <v/>
      </c>
    </row>
    <row r="12409">
      <c r="A12409">
        <f>HYPERLINK("https://www.youtube.com/watch?v=R0035OsKwFc", "Video")</f>
        <v/>
      </c>
      <c r="B12409" t="inlineStr">
        <is>
          <t>8:25</t>
        </is>
      </c>
      <c r="C12409" t="inlineStr">
        <is>
          <t>doing having a little bit more I've been</t>
        </is>
      </c>
      <c r="D12409">
        <f>HYPERLINK("https://www.youtube.com/watch?v=R0035OsKwFc&amp;t=505s", "Go to time")</f>
        <v/>
      </c>
    </row>
    <row r="12410">
      <c r="A12410">
        <f>HYPERLINK("https://www.youtube.com/watch?v=Ftexl9o4QX8", "Video")</f>
        <v/>
      </c>
      <c r="B12410" t="inlineStr">
        <is>
          <t>12:09</t>
        </is>
      </c>
      <c r="C12410" t="inlineStr">
        <is>
          <t>have a little bit of a problem know what</t>
        </is>
      </c>
      <c r="D12410">
        <f>HYPERLINK("https://www.youtube.com/watch?v=Ftexl9o4QX8&amp;t=729s", "Go to time")</f>
        <v/>
      </c>
    </row>
    <row r="12411">
      <c r="A12411">
        <f>HYPERLINK("https://www.youtube.com/watch?v=gpHoIoo9Ddg", "Video")</f>
        <v/>
      </c>
      <c r="B12411" t="inlineStr">
        <is>
          <t>1:09</t>
        </is>
      </c>
      <c r="C12411" t="inlineStr">
        <is>
          <t>tiny bit anxious me not playing Santa</t>
        </is>
      </c>
      <c r="D12411">
        <f>HYPERLINK("https://www.youtube.com/watch?v=gpHoIoo9Ddg&amp;t=69s", "Go to time")</f>
        <v/>
      </c>
    </row>
    <row r="12412">
      <c r="A12412">
        <f>HYPERLINK("https://www.youtube.com/watch?v=gpHoIoo9Ddg", "Video")</f>
        <v/>
      </c>
      <c r="B12412" t="inlineStr">
        <is>
          <t>1:40</t>
        </is>
      </c>
      <c r="C12412" t="inlineStr">
        <is>
          <t>reindeer that was just a tiny bit</t>
        </is>
      </c>
      <c r="D12412">
        <f>HYPERLINK("https://www.youtube.com/watch?v=gpHoIoo9Ddg&amp;t=100s", "Go to time")</f>
        <v/>
      </c>
    </row>
    <row r="12413">
      <c r="A12413">
        <f>HYPERLINK("https://www.youtube.com/watch?v=hZ2XCDfLFVU", "Video")</f>
        <v/>
      </c>
      <c r="B12413" t="inlineStr">
        <is>
          <t>1:16</t>
        </is>
      </c>
      <c r="C12413" t="inlineStr">
        <is>
          <t>describe it brown shiny painful bite</t>
        </is>
      </c>
      <c r="D12413">
        <f>HYPERLINK("https://www.youtube.com/watch?v=hZ2XCDfLFVU&amp;t=76s", "Go to time")</f>
        <v/>
      </c>
    </row>
    <row r="12414">
      <c r="A12414">
        <f>HYPERLINK("https://www.youtube.com/watch?v=hZ2XCDfLFVU", "Video")</f>
        <v/>
      </c>
      <c r="B12414" t="inlineStr">
        <is>
          <t>1:26</t>
        </is>
      </c>
      <c r="C12414" t="inlineStr">
        <is>
          <t>enough but after a bit you did a runaway</t>
        </is>
      </c>
      <c r="D12414">
        <f>HYPERLINK("https://www.youtube.com/watch?v=hZ2XCDfLFVU&amp;t=86s", "Go to time")</f>
        <v/>
      </c>
    </row>
    <row r="12415">
      <c r="A12415">
        <f>HYPERLINK("https://www.youtube.com/watch?v=hZ2XCDfLFVU", "Video")</f>
        <v/>
      </c>
      <c r="B12415" t="inlineStr">
        <is>
          <t>1:42</t>
        </is>
      </c>
      <c r="C12415" t="inlineStr">
        <is>
          <t>let the bed bugs bite God I feel so</t>
        </is>
      </c>
      <c r="D12415">
        <f>HYPERLINK("https://www.youtube.com/watch?v=hZ2XCDfLFVU&amp;t=102s", "Go to time")</f>
        <v/>
      </c>
    </row>
    <row r="12416">
      <c r="A12416">
        <f>HYPERLINK("https://www.youtube.com/watch?v=_m6DuQd_frg", "Video")</f>
        <v/>
      </c>
      <c r="B12416" t="inlineStr">
        <is>
          <t>6:15</t>
        </is>
      </c>
      <c r="C12416" t="inlineStr">
        <is>
          <t>to do a little bit of this a little bit</t>
        </is>
      </c>
      <c r="D12416">
        <f>HYPERLINK("https://www.youtube.com/watch?v=_m6DuQd_frg&amp;t=375s", "Go to time")</f>
        <v/>
      </c>
    </row>
    <row r="12417">
      <c r="A12417">
        <f>HYPERLINK("https://www.youtube.com/watch?v=2-YKgCzA3RQ", "Video")</f>
        <v/>
      </c>
      <c r="B12417" t="inlineStr">
        <is>
          <t>0:05</t>
        </is>
      </c>
      <c r="C12417" t="inlineStr">
        <is>
          <t>am meeting somebody but I'm a little bit</t>
        </is>
      </c>
      <c r="D12417">
        <f>HYPERLINK("https://www.youtube.com/watch?v=2-YKgCzA3RQ&amp;t=5s", "Go to time")</f>
        <v/>
      </c>
    </row>
    <row r="12418">
      <c r="A12418">
        <f>HYPERLINK("https://www.youtube.com/watch?v=V-ykYZApBAw", "Video")</f>
        <v/>
      </c>
      <c r="B12418" t="inlineStr">
        <is>
          <t>10:30</t>
        </is>
      </c>
      <c r="C12418" t="inlineStr">
        <is>
          <t>describe it brown shiny painful bite</t>
        </is>
      </c>
      <c r="D12418">
        <f>HYPERLINK("https://www.youtube.com/watch?v=V-ykYZApBAw&amp;t=630s", "Go to time")</f>
        <v/>
      </c>
    </row>
    <row r="12419">
      <c r="A12419">
        <f>HYPERLINK("https://www.youtube.com/watch?v=V-ykYZApBAw", "Video")</f>
        <v/>
      </c>
      <c r="B12419" t="inlineStr">
        <is>
          <t>10:39</t>
        </is>
      </c>
      <c r="C12419" t="inlineStr">
        <is>
          <t>enough but after a bit you did a runaway</t>
        </is>
      </c>
      <c r="D12419">
        <f>HYPERLINK("https://www.youtube.com/watch?v=V-ykYZApBAw&amp;t=639s", "Go to time")</f>
        <v/>
      </c>
    </row>
    <row r="12420">
      <c r="A12420">
        <f>HYPERLINK("https://www.youtube.com/watch?v=V-ykYZApBAw", "Video")</f>
        <v/>
      </c>
      <c r="B12420" t="inlineStr">
        <is>
          <t>11:23</t>
        </is>
      </c>
      <c r="C12420" t="inlineStr">
        <is>
          <t>let the bedbugs bite oh God I feel so</t>
        </is>
      </c>
      <c r="D12420">
        <f>HYPERLINK("https://www.youtube.com/watch?v=V-ykYZApBAw&amp;t=683s", "Go to time")</f>
        <v/>
      </c>
    </row>
    <row r="12421">
      <c r="A12421">
        <f>HYPERLINK("https://www.youtube.com/watch?v=cS9qCre_sv8", "Video")</f>
        <v/>
      </c>
      <c r="B12421" t="inlineStr">
        <is>
          <t>0:29</t>
        </is>
      </c>
      <c r="C12421" t="inlineStr">
        <is>
          <t>Call poison control if you’re bit by a spider</t>
        </is>
      </c>
      <c r="D12421">
        <f>HYPERLINK("https://www.youtube.com/watch?v=cS9qCre_sv8&amp;t=29s", "Go to time")</f>
        <v/>
      </c>
    </row>
    <row r="12422">
      <c r="A12422">
        <f>HYPERLINK("https://www.youtube.com/watch?v=TOB2vzPfxNA", "Video")</f>
        <v/>
      </c>
      <c r="B12422" t="inlineStr">
        <is>
          <t>2:10</t>
        </is>
      </c>
      <c r="C12422" t="inlineStr">
        <is>
          <t>for a bitter surprise i am not to be</t>
        </is>
      </c>
      <c r="D12422">
        <f>HYPERLINK("https://www.youtube.com/watch?v=TOB2vzPfxNA&amp;t=130s", "Go to time")</f>
        <v/>
      </c>
    </row>
    <row r="12423">
      <c r="A12423">
        <f>HYPERLINK("https://www.youtube.com/watch?v=V3GbCByGltU", "Video")</f>
        <v/>
      </c>
      <c r="B12423" t="inlineStr">
        <is>
          <t>3:43</t>
        </is>
      </c>
      <c r="C12423" t="inlineStr">
        <is>
          <t>this is plaintiffs exhibit 107 oh hi</t>
        </is>
      </c>
      <c r="D12423">
        <f>HYPERLINK("https://www.youtube.com/watch?v=V3GbCByGltU&amp;t=223s", "Go to time")</f>
        <v/>
      </c>
    </row>
    <row r="12424">
      <c r="A12424">
        <f>HYPERLINK("https://www.youtube.com/watch?v=awv8LL-CAY4", "Video")</f>
        <v/>
      </c>
      <c r="B12424" t="inlineStr">
        <is>
          <t>7:49</t>
        </is>
      </c>
      <c r="C12424" t="inlineStr">
        <is>
          <t>yeah yeah a little bit I</t>
        </is>
      </c>
      <c r="D12424">
        <f>HYPERLINK("https://www.youtube.com/watch?v=awv8LL-CAY4&amp;t=469s", "Go to time")</f>
        <v/>
      </c>
    </row>
    <row r="12425">
      <c r="A12425">
        <f>HYPERLINK("https://www.youtube.com/watch?v=qQwoFaHTpY8", "Video")</f>
        <v/>
      </c>
      <c r="B12425" t="inlineStr">
        <is>
          <t>1:02</t>
        </is>
      </c>
      <c r="C12425" t="inlineStr">
        <is>
          <t>you're shaking things up a bit huh</t>
        </is>
      </c>
      <c r="D12425">
        <f>HYPERLINK("https://www.youtube.com/watch?v=qQwoFaHTpY8&amp;t=62s", "Go to time")</f>
        <v/>
      </c>
    </row>
    <row r="12426">
      <c r="A12426">
        <f>HYPERLINK("https://www.youtube.com/watch?v=qQwoFaHTpY8", "Video")</f>
        <v/>
      </c>
      <c r="B12426" t="inlineStr">
        <is>
          <t>3:07</t>
        </is>
      </c>
      <c r="C12426" t="inlineStr">
        <is>
          <t>sometimes he can be a little bit much i</t>
        </is>
      </c>
      <c r="D12426">
        <f>HYPERLINK("https://www.youtube.com/watch?v=qQwoFaHTpY8&amp;t=187s", "Go to time")</f>
        <v/>
      </c>
    </row>
    <row r="12427">
      <c r="A12427">
        <f>HYPERLINK("https://www.youtube.com/watch?v=AeZ6a1A0-ow", "Video")</f>
        <v/>
      </c>
      <c r="B12427" t="inlineStr">
        <is>
          <t>0:17</t>
        </is>
      </c>
      <c r="C12427" t="inlineStr">
        <is>
          <t>Andrea's the, uh, office bitch you'll get used to her</t>
        </is>
      </c>
      <c r="D12427">
        <f>HYPERLINK("https://www.youtube.com/watch?v=AeZ6a1A0-ow&amp;t=17s", "Go to time")</f>
        <v/>
      </c>
    </row>
    <row r="12428">
      <c r="A12428">
        <f>HYPERLINK("https://www.youtube.com/watch?v=gg3De5xzkk4", "Video")</f>
        <v/>
      </c>
      <c r="B12428" t="inlineStr">
        <is>
          <t>7:42</t>
        </is>
      </c>
      <c r="C12428" t="inlineStr">
        <is>
          <t>mother bites the cord okayy stop forever</t>
        </is>
      </c>
      <c r="D12428">
        <f>HYPERLINK("https://www.youtube.com/watch?v=gg3De5xzkk4&amp;t=462s", "Go to time")</f>
        <v/>
      </c>
    </row>
    <row r="12429">
      <c r="A12429">
        <f>HYPERLINK("https://www.youtube.com/watch?v=9Zp8UlxyjQ4", "Video")</f>
        <v/>
      </c>
      <c r="B12429" t="inlineStr">
        <is>
          <t>13:48</t>
        </is>
      </c>
      <c r="C12429" t="inlineStr">
        <is>
          <t>you yes a little bit yes I think the</t>
        </is>
      </c>
      <c r="D12429">
        <f>HYPERLINK("https://www.youtube.com/watch?v=9Zp8UlxyjQ4&amp;t=828s", "Go to time")</f>
        <v/>
      </c>
    </row>
    <row r="12430">
      <c r="A12430">
        <f>HYPERLINK("https://www.youtube.com/watch?v=9Zp8UlxyjQ4", "Video")</f>
        <v/>
      </c>
      <c r="B12430" t="inlineStr">
        <is>
          <t>43:30</t>
        </is>
      </c>
      <c r="C12430" t="inlineStr">
        <is>
          <t>hey my name is Tabitha I'm camped out in</t>
        </is>
      </c>
      <c r="D12430">
        <f>HYPERLINK("https://www.youtube.com/watch?v=9Zp8UlxyjQ4&amp;t=2610s", "Go to time")</f>
        <v/>
      </c>
    </row>
    <row r="12431">
      <c r="A12431">
        <f>HYPERLINK("https://www.youtube.com/watch?v=9Zp8UlxyjQ4", "Video")</f>
        <v/>
      </c>
      <c r="B12431" t="inlineStr">
        <is>
          <t>55:16</t>
        </is>
      </c>
      <c r="C12431" t="inlineStr">
        <is>
          <t>dog off a pillow once and I got bit just</t>
        </is>
      </c>
      <c r="D12431">
        <f>HYPERLINK("https://www.youtube.com/watch?v=9Zp8UlxyjQ4&amp;t=3316s", "Go to time")</f>
        <v/>
      </c>
    </row>
    <row r="12432">
      <c r="A12432">
        <f>HYPERLINK("https://www.youtube.com/watch?v=hCCladadcR8", "Video")</f>
        <v/>
      </c>
      <c r="B12432" t="inlineStr">
        <is>
          <t>1:35</t>
        </is>
      </c>
      <c r="C12432" t="inlineStr">
        <is>
          <t>and it needs to clean me up a little bit</t>
        </is>
      </c>
      <c r="D12432">
        <f>HYPERLINK("https://www.youtube.com/watch?v=hCCladadcR8&amp;t=95s", "Go to time")</f>
        <v/>
      </c>
    </row>
    <row r="12433">
      <c r="A12433">
        <f>HYPERLINK("https://www.youtube.com/watch?v=hCCladadcR8", "Video")</f>
        <v/>
      </c>
      <c r="B12433" t="inlineStr">
        <is>
          <t>9:59</t>
        </is>
      </c>
      <c r="C12433" t="inlineStr">
        <is>
          <t>you should bite your tongue before you</t>
        </is>
      </c>
      <c r="D12433">
        <f>HYPERLINK("https://www.youtube.com/watch?v=hCCladadcR8&amp;t=599s", "Go to time")</f>
        <v/>
      </c>
    </row>
    <row r="12434">
      <c r="A12434">
        <f>HYPERLINK("https://www.youtube.com/watch?v=EoKN59Cl8Qk", "Video")</f>
        <v/>
      </c>
      <c r="B12434" t="inlineStr">
        <is>
          <t>6:05</t>
        </is>
      </c>
      <c r="C12434" t="inlineStr">
        <is>
          <t>biters that's not</t>
        </is>
      </c>
      <c r="D12434">
        <f>HYPERLINK("https://www.youtube.com/watch?v=EoKN59Cl8Qk&amp;t=365s", "Go to time")</f>
        <v/>
      </c>
    </row>
    <row r="12435">
      <c r="A12435">
        <f>HYPERLINK("https://www.youtube.com/watch?v=qTtFVmSUyV8", "Video")</f>
        <v/>
      </c>
      <c r="B12435" t="inlineStr">
        <is>
          <t>8:46</t>
        </is>
      </c>
      <c r="C12435" t="inlineStr">
        <is>
          <t>every bit of my heart we got something</t>
        </is>
      </c>
      <c r="D12435">
        <f>HYPERLINK("https://www.youtube.com/watch?v=qTtFVmSUyV8&amp;t=526s", "Go to time")</f>
        <v/>
      </c>
    </row>
    <row r="12436">
      <c r="A12436">
        <f>HYPERLINK("https://www.youtube.com/watch?v=23UxXHvKeS4", "Video")</f>
        <v/>
      </c>
      <c r="B12436" t="inlineStr">
        <is>
          <t>6:49</t>
        </is>
      </c>
      <c r="C12436" t="inlineStr">
        <is>
          <t>I think I'll take a little bit longer</t>
        </is>
      </c>
      <c r="D12436">
        <f>HYPERLINK("https://www.youtube.com/watch?v=23UxXHvKeS4&amp;t=409s", "Go to time")</f>
        <v/>
      </c>
    </row>
    <row r="12437">
      <c r="A12437">
        <f>HYPERLINK("https://www.youtube.com/watch?v=DKBq7V5rcvw", "Video")</f>
        <v/>
      </c>
      <c r="B12437" t="inlineStr">
        <is>
          <t>0:57</t>
        </is>
      </c>
      <c r="C12437" t="inlineStr">
        <is>
          <t>insect exhibit</t>
        </is>
      </c>
      <c r="D12437">
        <f>HYPERLINK("https://www.youtube.com/watch?v=DKBq7V5rcvw&amp;t=57s", "Go to time")</f>
        <v/>
      </c>
    </row>
    <row r="12438">
      <c r="A12438">
        <f>HYPERLINK("https://www.youtube.com/watch?v=CcL-lzvs-M4", "Video")</f>
        <v/>
      </c>
      <c r="B12438" t="inlineStr">
        <is>
          <t>0:19</t>
        </is>
      </c>
      <c r="C12438" t="inlineStr">
        <is>
          <t>'cause I might have passed out
a little bit,</t>
        </is>
      </c>
      <c r="D12438">
        <f>HYPERLINK("https://www.youtube.com/watch?v=CcL-lzvs-M4&amp;t=19s", "Go to time")</f>
        <v/>
      </c>
    </row>
    <row r="12439">
      <c r="A12439">
        <f>HYPERLINK("https://www.youtube.com/watch?v=CcL-lzvs-M4", "Video")</f>
        <v/>
      </c>
      <c r="B12439" t="inlineStr">
        <is>
          <t>0:42</t>
        </is>
      </c>
      <c r="C12439" t="inlineStr">
        <is>
          <t>a little bit over here.
-Okay.</t>
        </is>
      </c>
      <c r="D12439">
        <f>HYPERLINK("https://www.youtube.com/watch?v=CcL-lzvs-M4&amp;t=42s", "Go to time")</f>
        <v/>
      </c>
    </row>
    <row r="12440">
      <c r="A12440">
        <f>HYPERLINK("https://www.youtube.com/watch?v=lI7qtMDveBs", "Video")</f>
        <v/>
      </c>
      <c r="B12440" t="inlineStr">
        <is>
          <t>1:54</t>
        </is>
      </c>
      <c r="C12440" t="inlineStr">
        <is>
          <t>maybe if you were a little bit more nice</t>
        </is>
      </c>
      <c r="D12440">
        <f>HYPERLINK("https://www.youtube.com/watch?v=lI7qtMDveBs&amp;t=114s", "Go to time")</f>
        <v/>
      </c>
    </row>
    <row r="12441">
      <c r="A12441">
        <f>HYPERLINK("https://www.youtube.com/watch?v=lI7qtMDveBs", "Video")</f>
        <v/>
      </c>
      <c r="B12441" t="inlineStr">
        <is>
          <t>3:24</t>
        </is>
      </c>
      <c r="C12441" t="inlineStr">
        <is>
          <t>wait a minute one more bite of eclair</t>
        </is>
      </c>
      <c r="D12441">
        <f>HYPERLINK("https://www.youtube.com/watch?v=lI7qtMDveBs&amp;t=204s", "Go to time")</f>
        <v/>
      </c>
    </row>
    <row r="12442">
      <c r="A12442">
        <f>HYPERLINK("https://www.youtube.com/watch?v=c3i7aQGJA8M", "Video")</f>
        <v/>
      </c>
      <c r="B12442" t="inlineStr">
        <is>
          <t>5:33</t>
        </is>
      </c>
      <c r="C12442" t="inlineStr">
        <is>
          <t>one more bite of e Clair each hold it in</t>
        </is>
      </c>
      <c r="D12442">
        <f>HYPERLINK("https://www.youtube.com/watch?v=c3i7aQGJA8M&amp;t=333s", "Go to time")</f>
        <v/>
      </c>
    </row>
    <row r="12443">
      <c r="A12443">
        <f>HYPERLINK("https://www.youtube.com/watch?v=nOAxlqCzJHM", "Video")</f>
        <v/>
      </c>
      <c r="B12443" t="inlineStr">
        <is>
          <t>0:52</t>
        </is>
      </c>
      <c r="C12443" t="inlineStr">
        <is>
          <t>uh i'm here to teach you a little bit</t>
        </is>
      </c>
      <c r="D12443">
        <f>HYPERLINK("https://www.youtube.com/watch?v=nOAxlqCzJHM&amp;t=52s", "Go to time")</f>
        <v/>
      </c>
    </row>
    <row r="12444">
      <c r="A12444">
        <f>HYPERLINK("https://www.youtube.com/watch?v=CU9DmoFarnI", "Video")</f>
        <v/>
      </c>
      <c r="B12444" t="inlineStr">
        <is>
          <t>0:33</t>
        </is>
      </c>
      <c r="C12444" t="inlineStr">
        <is>
          <t>pillow once and I got bit just ignore</t>
        </is>
      </c>
      <c r="D12444">
        <f>HYPERLINK("https://www.youtube.com/watch?v=CU9DmoFarnI&amp;t=33s", "Go to time")</f>
        <v/>
      </c>
    </row>
    <row r="12445">
      <c r="A12445">
        <f>HYPERLINK("https://www.youtube.com/watch?v=KIybJjiSsos", "Video")</f>
        <v/>
      </c>
      <c r="B12445" t="inlineStr">
        <is>
          <t>1:07</t>
        </is>
      </c>
      <c r="C12445" t="inlineStr">
        <is>
          <t>put together a little bit if a baby were</t>
        </is>
      </c>
      <c r="D12445">
        <f>HYPERLINK("https://www.youtube.com/watch?v=KIybJjiSsos&amp;t=67s", "Go to time")</f>
        <v/>
      </c>
    </row>
    <row r="12446">
      <c r="A12446">
        <f>HYPERLINK("https://www.youtube.com/watch?v=KwYzKKDZdCc", "Video")</f>
        <v/>
      </c>
      <c r="B12446" t="inlineStr">
        <is>
          <t>2:46</t>
        </is>
      </c>
      <c r="C12446" t="inlineStr">
        <is>
          <t>squirrels a nice juicy rabbit</t>
        </is>
      </c>
      <c r="D12446">
        <f>HYPERLINK("https://www.youtube.com/watch?v=KwYzKKDZdCc&amp;t=166s", "Go to time")</f>
        <v/>
      </c>
    </row>
    <row r="12447">
      <c r="A12447">
        <f>HYPERLINK("https://www.youtube.com/watch?v=KwYzKKDZdCc", "Video")</f>
        <v/>
      </c>
      <c r="B12447" t="inlineStr">
        <is>
          <t>3:13</t>
        </is>
      </c>
      <c r="C12447" t="inlineStr">
        <is>
          <t>starting to feel it a little bit</t>
        </is>
      </c>
      <c r="D12447">
        <f>HYPERLINK("https://www.youtube.com/watch?v=KwYzKKDZdCc&amp;t=193s", "Go to time")</f>
        <v/>
      </c>
    </row>
    <row r="12448">
      <c r="A12448">
        <f>HYPERLINK("https://www.youtube.com/watch?v=NN2NiPbwZI8", "Video")</f>
        <v/>
      </c>
      <c r="B12448" t="inlineStr">
        <is>
          <t>2:56</t>
        </is>
      </c>
      <c r="C12448" t="inlineStr">
        <is>
          <t>bit longer than that really if I can</t>
        </is>
      </c>
      <c r="D12448">
        <f>HYPERLINK("https://www.youtube.com/watch?v=NN2NiPbwZI8&amp;t=176s", "Go to time")</f>
        <v/>
      </c>
    </row>
    <row r="12449">
      <c r="A12449">
        <f>HYPERLINK("https://www.youtube.com/watch?v=NrXhuER90j8", "Video")</f>
        <v/>
      </c>
      <c r="B12449" t="inlineStr">
        <is>
          <t>1:47</t>
        </is>
      </c>
      <c r="C12449" t="inlineStr">
        <is>
          <t>-Man. Maybe you should have won
the Kind of a Bitch Award.</t>
        </is>
      </c>
      <c r="D12449">
        <f>HYPERLINK("https://www.youtube.com/watch?v=NrXhuER90j8&amp;t=107s", "Go to time")</f>
        <v/>
      </c>
    </row>
    <row r="12450">
      <c r="A12450">
        <f>HYPERLINK("https://www.youtube.com/watch?v=NrXhuER90j8", "Video")</f>
        <v/>
      </c>
      <c r="B12450" t="inlineStr">
        <is>
          <t>1:53</t>
        </is>
      </c>
      <c r="C12450" t="inlineStr">
        <is>
          <t>because a bitch is a female dog.</t>
        </is>
      </c>
      <c r="D12450">
        <f>HYPERLINK("https://www.youtube.com/watch?v=NrXhuER90j8&amp;t=113s", "Go to time")</f>
        <v/>
      </c>
    </row>
    <row r="12451">
      <c r="A12451">
        <f>HYPERLINK("https://www.youtube.com/watch?v=F1wodhJ-qFo", "Video")</f>
        <v/>
      </c>
      <c r="B12451" t="inlineStr">
        <is>
          <t>0:09</t>
        </is>
      </c>
      <c r="C12451" t="inlineStr">
        <is>
          <t>security software 128 bit encryption</t>
        </is>
      </c>
      <c r="D12451">
        <f>HYPERLINK("https://www.youtube.com/watch?v=F1wodhJ-qFo&amp;t=9s", "Go to time")</f>
        <v/>
      </c>
    </row>
    <row r="12452">
      <c r="A12452">
        <f>HYPERLINK("https://www.youtube.com/watch?v=OQ_eaby_g_g", "Video")</f>
        <v/>
      </c>
      <c r="B12452" t="inlineStr">
        <is>
          <t>2:33</t>
        </is>
      </c>
      <c r="C12452" t="inlineStr">
        <is>
          <t>and i'm assuming a little bit of blood</t>
        </is>
      </c>
      <c r="D12452">
        <f>HYPERLINK("https://www.youtube.com/watch?v=OQ_eaby_g_g&amp;t=153s", "Go to time")</f>
        <v/>
      </c>
    </row>
    <row r="12453">
      <c r="A12453">
        <f>HYPERLINK("https://www.youtube.com/watch?v=OQ_eaby_g_g", "Video")</f>
        <v/>
      </c>
      <c r="B12453" t="inlineStr">
        <is>
          <t>2:41</t>
        </is>
      </c>
      <c r="C12453" t="inlineStr">
        <is>
          <t>well a little bit of blood rushed into</t>
        </is>
      </c>
      <c r="D12453">
        <f>HYPERLINK("https://www.youtube.com/watch?v=OQ_eaby_g_g&amp;t=161s", "Go to time")</f>
        <v/>
      </c>
    </row>
    <row r="12454">
      <c r="A12454">
        <f>HYPERLINK("https://www.youtube.com/watch?v=j3RpEhg05Bg", "Video")</f>
        <v/>
      </c>
      <c r="B12454" t="inlineStr">
        <is>
          <t>7:37</t>
        </is>
      </c>
      <c r="C12454" t="inlineStr">
        <is>
          <t>there was a bit of a learning curve in</t>
        </is>
      </c>
      <c r="D12454">
        <f>HYPERLINK("https://www.youtube.com/watch?v=j3RpEhg05Bg&amp;t=457s", "Go to time")</f>
        <v/>
      </c>
    </row>
    <row r="12455">
      <c r="A12455">
        <f>HYPERLINK("https://www.youtube.com/watch?v=N_DIZfeP-WY", "Video")</f>
        <v/>
      </c>
      <c r="B12455" t="inlineStr">
        <is>
          <t>0:12</t>
        </is>
      </c>
      <c r="C12455" t="inlineStr">
        <is>
          <t>okay I've seen a little bit Jim look I'm</t>
        </is>
      </c>
      <c r="D12455">
        <f>HYPERLINK("https://www.youtube.com/watch?v=N_DIZfeP-WY&amp;t=12s", "Go to time")</f>
        <v/>
      </c>
    </row>
    <row r="12456">
      <c r="A12456">
        <f>HYPERLINK("https://www.youtube.com/watch?v=HMjbGoBkJdk", "Video")</f>
        <v/>
      </c>
      <c r="B12456" t="inlineStr">
        <is>
          <t>0:25</t>
        </is>
      </c>
      <c r="C12456" t="inlineStr">
        <is>
          <t>-I think it'll take you
a little bit longer than that.</t>
        </is>
      </c>
      <c r="D12456">
        <f>HYPERLINK("https://www.youtube.com/watch?v=HMjbGoBkJdk&amp;t=25s", "Go to time")</f>
        <v/>
      </c>
    </row>
    <row r="12457">
      <c r="A12457">
        <f>HYPERLINK("https://www.youtube.com/watch?v=oxH24B0FOJQ", "Video")</f>
        <v/>
      </c>
      <c r="B12457" t="inlineStr">
        <is>
          <t>8:43</t>
        </is>
      </c>
      <c r="C12457" t="inlineStr">
        <is>
          <t>Drake has a bit of a rash and he's hot</t>
        </is>
      </c>
      <c r="D12457">
        <f>HYPERLINK("https://www.youtube.com/watch?v=oxH24B0FOJQ&amp;t=523s", "Go to time")</f>
        <v/>
      </c>
    </row>
    <row r="12458">
      <c r="A12458">
        <f>HYPERLINK("https://www.youtube.com/watch?v=qoIeV5vkmqk", "Video")</f>
        <v/>
      </c>
      <c r="B12458" t="inlineStr">
        <is>
          <t>1:05</t>
        </is>
      </c>
      <c r="C12458" t="inlineStr">
        <is>
          <t>ace inhibitor with her meal if you have</t>
        </is>
      </c>
      <c r="D12458">
        <f>HYPERLINK("https://www.youtube.com/watch?v=qoIeV5vkmqk&amp;t=65s", "Go to time")</f>
        <v/>
      </c>
    </row>
    <row r="12459">
      <c r="A12459">
        <f>HYPERLINK("https://www.youtube.com/watch?v=qoIeV5vkmqk", "Video")</f>
        <v/>
      </c>
      <c r="B12459" t="inlineStr">
        <is>
          <t>4:12</t>
        </is>
      </c>
      <c r="C12459" t="inlineStr">
        <is>
          <t>take back bite seriously don't get bit</t>
        </is>
      </c>
      <c r="D12459">
        <f>HYPERLINK("https://www.youtube.com/watch?v=qoIeV5vkmqk&amp;t=252s", "Go to time")</f>
        <v/>
      </c>
    </row>
    <row r="12460">
      <c r="A12460">
        <f>HYPERLINK("https://www.youtube.com/watch?v=qoIeV5vkmqk", "Video")</f>
        <v/>
      </c>
      <c r="B12460" t="inlineStr">
        <is>
          <t>7:20</t>
        </is>
      </c>
      <c r="C12460" t="inlineStr">
        <is>
          <t>support the cat what are your ambitions</t>
        </is>
      </c>
      <c r="D12460">
        <f>HYPERLINK("https://www.youtube.com/watch?v=qoIeV5vkmqk&amp;t=440s", "Go to time")</f>
        <v/>
      </c>
    </row>
    <row r="12461">
      <c r="A12461">
        <f>HYPERLINK("https://www.youtube.com/watch?v=QTKzTs5EKIM", "Video")</f>
        <v/>
      </c>
      <c r="B12461" t="inlineStr">
        <is>
          <t>2:36</t>
        </is>
      </c>
      <c r="C12461" t="inlineStr">
        <is>
          <t>assuming a little bit of blood rushed</t>
        </is>
      </c>
      <c r="D12461">
        <f>HYPERLINK("https://www.youtube.com/watch?v=QTKzTs5EKIM&amp;t=156s", "Go to time")</f>
        <v/>
      </c>
    </row>
    <row r="12462">
      <c r="A12462">
        <f>HYPERLINK("https://www.youtube.com/watch?v=rEtKaGW37ng", "Video")</f>
        <v/>
      </c>
      <c r="B12462" t="inlineStr">
        <is>
          <t>2:08</t>
        </is>
      </c>
      <c r="C12462" t="inlineStr">
        <is>
          <t>see just how deep the rabbit hole</t>
        </is>
      </c>
      <c r="D12462">
        <f>HYPERLINK("https://www.youtube.com/watch?v=rEtKaGW37ng&amp;t=128s", "Go to time")</f>
        <v/>
      </c>
    </row>
    <row r="12463">
      <c r="A12463">
        <f>HYPERLINK("https://www.youtube.com/watch?v=rEtKaGW37ng", "Video")</f>
        <v/>
      </c>
      <c r="B12463" t="inlineStr">
        <is>
          <t>6:42</t>
        </is>
      </c>
      <c r="C12463" t="inlineStr">
        <is>
          <t>bit longer than that really if I can</t>
        </is>
      </c>
      <c r="D12463">
        <f>HYPERLINK("https://www.youtube.com/watch?v=rEtKaGW37ng&amp;t=402s", "Go to time")</f>
        <v/>
      </c>
    </row>
    <row r="12464">
      <c r="A12464">
        <f>HYPERLINK("https://www.youtube.com/watch?v=rEtKaGW37ng", "Video")</f>
        <v/>
      </c>
      <c r="B12464" t="inlineStr">
        <is>
          <t>13:06</t>
        </is>
      </c>
      <c r="C12464" t="inlineStr">
        <is>
          <t>habit I'm afraid I'm going</t>
        </is>
      </c>
      <c r="D12464">
        <f>HYPERLINK("https://www.youtube.com/watch?v=rEtKaGW37ng&amp;t=786s", "Go to time")</f>
        <v/>
      </c>
    </row>
    <row r="12465">
      <c r="A12465">
        <f>HYPERLINK("https://www.youtube.com/watch?v=CZZrFC2MFAw", "Video")</f>
        <v/>
      </c>
      <c r="B12465" t="inlineStr">
        <is>
          <t>3:54</t>
        </is>
      </c>
      <c r="C12465" t="inlineStr">
        <is>
          <t>cotton candy bits and powdered sugar is</t>
        </is>
      </c>
      <c r="D12465">
        <f>HYPERLINK("https://www.youtube.com/watch?v=CZZrFC2MFAw&amp;t=234s", "Go to time")</f>
        <v/>
      </c>
    </row>
    <row r="12466">
      <c r="A12466">
        <f>HYPERLINK("https://www.youtube.com/watch?v=Dz5KyKigBTE", "Video")</f>
        <v/>
      </c>
      <c r="B12466" t="inlineStr">
        <is>
          <t>3:01</t>
        </is>
      </c>
      <c r="C12466" t="inlineStr">
        <is>
          <t>hey my name is Tabitha I'm camped out in</t>
        </is>
      </c>
      <c r="D12466">
        <f>HYPERLINK("https://www.youtube.com/watch?v=Dz5KyKigBTE&amp;t=181s", "Go to time")</f>
        <v/>
      </c>
    </row>
    <row r="12467">
      <c r="A12467">
        <f>HYPERLINK("https://www.youtube.com/watch?v=_ives5m1cgw", "Video")</f>
        <v/>
      </c>
      <c r="B12467" t="inlineStr">
        <is>
          <t>6:10</t>
        </is>
      </c>
      <c r="C12467" t="inlineStr">
        <is>
          <t>party to be a tiny tiny bit like that</t>
        </is>
      </c>
      <c r="D12467">
        <f>HYPERLINK("https://www.youtube.com/watch?v=_ives5m1cgw&amp;t=370s", "Go to time")</f>
        <v/>
      </c>
    </row>
    <row r="12468">
      <c r="A12468">
        <f>HYPERLINK("https://www.youtube.com/watch?v=ilE4lr9Qb3A", "Video")</f>
        <v/>
      </c>
      <c r="B12468" t="inlineStr">
        <is>
          <t>0:09</t>
        </is>
      </c>
      <c r="C12468" t="inlineStr">
        <is>
          <t>-Wow. It's a little bit bigger
than I remember.</t>
        </is>
      </c>
      <c r="D12468">
        <f>HYPERLINK("https://www.youtube.com/watch?v=ilE4lr9Qb3A&amp;t=9s", "Go to time")</f>
        <v/>
      </c>
    </row>
    <row r="12469">
      <c r="A12469">
        <f>HYPERLINK("https://www.youtube.com/watch?v=TdVEBTIfCzs", "Video")</f>
        <v/>
      </c>
      <c r="B12469" t="inlineStr">
        <is>
          <t>0:00</t>
        </is>
      </c>
      <c r="C12469" t="inlineStr">
        <is>
          <t>big tuna is a super ambitious</t>
        </is>
      </c>
      <c r="D12469">
        <f>HYPERLINK("https://www.youtube.com/watch?v=TdVEBTIfCzs&amp;t=0s", "Go to time")</f>
        <v/>
      </c>
    </row>
    <row r="12470">
      <c r="A12470">
        <f>HYPERLINK("https://www.youtube.com/watch?v=TdVEBTIfCzs", "Video")</f>
        <v/>
      </c>
      <c r="B12470" t="inlineStr">
        <is>
          <t>5:39</t>
        </is>
      </c>
      <c r="C12470" t="inlineStr">
        <is>
          <t>with an arbitrary review process</t>
        </is>
      </c>
      <c r="D12470">
        <f>HYPERLINK("https://www.youtube.com/watch?v=TdVEBTIfCzs&amp;t=339s", "Go to time")</f>
        <v/>
      </c>
    </row>
    <row r="12471">
      <c r="A12471">
        <f>HYPERLINK("https://www.youtube.com/watch?v=vIoNOs2UIAw", "Video")</f>
        <v/>
      </c>
      <c r="B12471" t="inlineStr">
        <is>
          <t>8:38</t>
        </is>
      </c>
      <c r="C12471" t="inlineStr">
        <is>
          <t>this but we have a little bit of a</t>
        </is>
      </c>
      <c r="D12471">
        <f>HYPERLINK("https://www.youtube.com/watch?v=vIoNOs2UIAw&amp;t=518s", "Go to time")</f>
        <v/>
      </c>
    </row>
    <row r="12472">
      <c r="A12472">
        <f>HYPERLINK("https://www.youtube.com/watch?v=tLFWwzyDGM8", "Video")</f>
        <v/>
      </c>
      <c r="B12472" t="inlineStr">
        <is>
          <t>0:51</t>
        </is>
      </c>
      <c r="C12472" t="inlineStr">
        <is>
          <t>every day just a little bit brighter to</t>
        </is>
      </c>
      <c r="D12472">
        <f>HYPERLINK("https://www.youtube.com/watch?v=tLFWwzyDGM8&amp;t=51s", "Go to time")</f>
        <v/>
      </c>
    </row>
    <row r="12473">
      <c r="A12473">
        <f>HYPERLINK("https://www.youtube.com/watch?v=tLFWwzyDGM8", "Video")</f>
        <v/>
      </c>
      <c r="B12473" t="inlineStr">
        <is>
          <t>20:42</t>
        </is>
      </c>
      <c r="C12473" t="inlineStr">
        <is>
          <t>the time Andy just give me one bite I'll</t>
        </is>
      </c>
      <c r="D12473">
        <f>HYPERLINK("https://www.youtube.com/watch?v=tLFWwzyDGM8&amp;t=1242s", "Go to time")</f>
        <v/>
      </c>
    </row>
    <row r="12474">
      <c r="A12474">
        <f>HYPERLINK("https://www.youtube.com/watch?v=X5nRcKlntKI", "Video")</f>
        <v/>
      </c>
      <c r="B12474" t="inlineStr">
        <is>
          <t>3:35</t>
        </is>
      </c>
      <c r="C12474" t="inlineStr">
        <is>
          <t>bit longer than that really if I can</t>
        </is>
      </c>
      <c r="D12474">
        <f>HYPERLINK("https://www.youtube.com/watch?v=X5nRcKlntKI&amp;t=215s", "Go to time")</f>
        <v/>
      </c>
    </row>
    <row r="12475">
      <c r="A12475">
        <f>HYPERLINK("https://www.youtube.com/watch?v=oOKTtevC_7c", "Video")</f>
        <v/>
      </c>
      <c r="B12475" t="inlineStr">
        <is>
          <t>1:44</t>
        </is>
      </c>
      <c r="C12475" t="inlineStr">
        <is>
          <t>♪♪ Call poison control
if you're bit by a spider</t>
        </is>
      </c>
      <c r="D12475">
        <f>HYPERLINK("https://www.youtube.com/watch?v=oOKTtevC_7c&amp;t=104s", "Go to time")</f>
        <v/>
      </c>
    </row>
    <row r="12476">
      <c r="A12476">
        <f>HYPERLINK("https://www.youtube.com/watch?v=G0sDekumv7E", "Video")</f>
        <v/>
      </c>
      <c r="B12476" t="inlineStr">
        <is>
          <t>8:15</t>
        </is>
      </c>
      <c r="C12476" t="inlineStr">
        <is>
          <t>bit of The Shining Vibe though oh who</t>
        </is>
      </c>
      <c r="D12476">
        <f>HYPERLINK("https://www.youtube.com/watch?v=G0sDekumv7E&amp;t=495s", "Go to time")</f>
        <v/>
      </c>
    </row>
    <row r="12477">
      <c r="A12477">
        <f>HYPERLINK("https://www.youtube.com/watch?v=V8Yej-0luJo", "Video")</f>
        <v/>
      </c>
      <c r="B12477" t="inlineStr">
        <is>
          <t>11:21</t>
        </is>
      </c>
      <c r="C12477" t="inlineStr">
        <is>
          <t>Stanley we're doing having a little bit</t>
        </is>
      </c>
      <c r="D12477">
        <f>HYPERLINK("https://www.youtube.com/watch?v=V8Yej-0luJo&amp;t=681s", "Go to time")</f>
        <v/>
      </c>
    </row>
    <row r="12478">
      <c r="A12478">
        <f>HYPERLINK("https://www.youtube.com/watch?v=V8Yej-0luJo", "Video")</f>
        <v/>
      </c>
      <c r="B12478" t="inlineStr">
        <is>
          <t>27:27</t>
        </is>
      </c>
      <c r="C12478" t="inlineStr">
        <is>
          <t>a bit you did a runaway fearful or did A</t>
        </is>
      </c>
      <c r="D12478">
        <f>HYPERLINK("https://www.youtube.com/watch?v=V8Yej-0luJo&amp;t=1647s", "Go to time")</f>
        <v/>
      </c>
    </row>
    <row r="12479">
      <c r="A12479">
        <f>HYPERLINK("https://www.youtube.com/watch?v=V8Yej-0luJo", "Video")</f>
        <v/>
      </c>
      <c r="B12479" t="inlineStr">
        <is>
          <t>32:05</t>
        </is>
      </c>
      <c r="C12479" t="inlineStr">
        <is>
          <t>pillow once and I got bit to just ignore</t>
        </is>
      </c>
      <c r="D12479">
        <f>HYPERLINK("https://www.youtube.com/watch?v=V8Yej-0luJo&amp;t=1925s", "Go to time")</f>
        <v/>
      </c>
    </row>
    <row r="12480">
      <c r="A12480">
        <f>HYPERLINK("https://www.youtube.com/watch?v=exKNWlSQqfc", "Video")</f>
        <v/>
      </c>
      <c r="B12480" t="inlineStr">
        <is>
          <t>5:57</t>
        </is>
      </c>
      <c r="C12480" t="inlineStr">
        <is>
          <t>him just a little bit more</t>
        </is>
      </c>
      <c r="D12480">
        <f>HYPERLINK("https://www.youtube.com/watch?v=exKNWlSQqfc&amp;t=357s", "Go to time")</f>
        <v/>
      </c>
    </row>
    <row r="12481">
      <c r="A12481">
        <f>HYPERLINK("https://www.youtube.com/watch?v=ZMTxLRxiiC8", "Video")</f>
        <v/>
      </c>
      <c r="B12481" t="inlineStr">
        <is>
          <t>2:16</t>
        </is>
      </c>
      <c r="C12481" t="inlineStr">
        <is>
          <t>change our days around a little bit</t>
        </is>
      </c>
      <c r="D12481">
        <f>HYPERLINK("https://www.youtube.com/watch?v=ZMTxLRxiiC8&amp;t=136s", "Go to time")</f>
        <v/>
      </c>
    </row>
    <row r="12482">
      <c r="A12482">
        <f>HYPERLINK("https://www.youtube.com/watch?v=ZMTxLRxiiC8", "Video")</f>
        <v/>
      </c>
      <c r="B12482" t="inlineStr">
        <is>
          <t>2:18</t>
        </is>
      </c>
      <c r="C12482" t="inlineStr">
        <is>
          <t>that seems a bit premature don't you</t>
        </is>
      </c>
      <c r="D12482">
        <f>HYPERLINK("https://www.youtube.com/watch?v=ZMTxLRxiiC8&amp;t=138s", "Go to time")</f>
        <v/>
      </c>
    </row>
    <row r="12483">
      <c r="A12483">
        <f>HYPERLINK("https://www.youtube.com/watch?v=bBsh6iztmJI", "Video")</f>
        <v/>
      </c>
      <c r="B12483" t="inlineStr">
        <is>
          <t>8:46</t>
        </is>
      </c>
      <c r="C12483" t="inlineStr">
        <is>
          <t>Robbie Robbie Drake has a bit of a rash</t>
        </is>
      </c>
      <c r="D12483">
        <f>HYPERLINK("https://www.youtube.com/watch?v=bBsh6iztmJI&amp;t=526s", "Go to time")</f>
        <v/>
      </c>
    </row>
    <row r="12484">
      <c r="A12484">
        <f>HYPERLINK("https://www.youtube.com/watch?v=U0tGd2GJ9js", "Video")</f>
        <v/>
      </c>
      <c r="B12484" t="inlineStr">
        <is>
          <t>3:18</t>
        </is>
      </c>
      <c r="C12484" t="inlineStr">
        <is>
          <t>send a message about your ambitions by</t>
        </is>
      </c>
      <c r="D12484">
        <f>HYPERLINK("https://www.youtube.com/watch?v=U0tGd2GJ9js&amp;t=198s", "Go to time")</f>
        <v/>
      </c>
    </row>
    <row r="12485">
      <c r="A12485">
        <f>HYPERLINK("https://www.youtube.com/watch?v=TZawOf27I9s", "Video")</f>
        <v/>
      </c>
      <c r="B12485" t="inlineStr">
        <is>
          <t>3:00</t>
        </is>
      </c>
      <c r="C12485" t="inlineStr">
        <is>
          <t>feel a little bit frazzled and you know</t>
        </is>
      </c>
      <c r="D12485">
        <f>HYPERLINK("https://www.youtube.com/watch?v=TZawOf27I9s&amp;t=180s", "Go to time")</f>
        <v/>
      </c>
    </row>
    <row r="12486">
      <c r="A12486">
        <f>HYPERLINK("https://www.youtube.com/watch?v=TZawOf27I9s", "Video")</f>
        <v/>
      </c>
      <c r="B12486" t="inlineStr">
        <is>
          <t>7:50</t>
        </is>
      </c>
      <c r="C12486" t="inlineStr">
        <is>
          <t>I'll come back in a bit to check on you</t>
        </is>
      </c>
      <c r="D12486">
        <f>HYPERLINK("https://www.youtube.com/watch?v=TZawOf27I9s&amp;t=470s", "Go to time")</f>
        <v/>
      </c>
    </row>
    <row r="12487">
      <c r="A12487">
        <f>HYPERLINK("https://www.youtube.com/watch?v=Eo8RzH-6Tfw", "Video")</f>
        <v/>
      </c>
      <c r="B12487" t="inlineStr">
        <is>
          <t>8:27</t>
        </is>
      </c>
      <c r="C12487" t="inlineStr">
        <is>
          <t>little bit of uh mozzarella right there</t>
        </is>
      </c>
      <c r="D12487">
        <f>HYPERLINK("https://www.youtube.com/watch?v=Eo8RzH-6Tfw&amp;t=507s", "Go to time")</f>
        <v/>
      </c>
    </row>
    <row r="12488">
      <c r="A12488">
        <f>HYPERLINK("https://www.youtube.com/watch?v=TENORw9vw70", "Video")</f>
        <v/>
      </c>
      <c r="B12488" t="inlineStr">
        <is>
          <t>6:33</t>
        </is>
      </c>
      <c r="C12488" t="inlineStr">
        <is>
          <t>it's creating a bit of a hostile work</t>
        </is>
      </c>
      <c r="D12488">
        <f>HYPERLINK("https://www.youtube.com/watch?v=TENORw9vw70&amp;t=393s", "Go to time")</f>
        <v/>
      </c>
    </row>
    <row r="12489">
      <c r="A12489">
        <f>HYPERLINK("https://www.youtube.com/watch?v=xxExDYX56N4", "Video")</f>
        <v/>
      </c>
      <c r="B12489" t="inlineStr">
        <is>
          <t>1:08</t>
        </is>
      </c>
      <c r="C12489" t="inlineStr">
        <is>
          <t>a little bit leave us alone uh guess</t>
        </is>
      </c>
      <c r="D12489">
        <f>HYPERLINK("https://www.youtube.com/watch?v=xxExDYX56N4&amp;t=68s", "Go to time")</f>
        <v/>
      </c>
    </row>
    <row r="12490">
      <c r="A12490">
        <f>HYPERLINK("https://www.youtube.com/watch?v=xxExDYX56N4", "Video")</f>
        <v/>
      </c>
      <c r="B12490" t="inlineStr">
        <is>
          <t>5:42</t>
        </is>
      </c>
      <c r="C12490" t="inlineStr">
        <is>
          <t>you go careful he bites</t>
        </is>
      </c>
      <c r="D12490">
        <f>HYPERLINK("https://www.youtube.com/watch?v=xxExDYX56N4&amp;t=342s", "Go to time")</f>
        <v/>
      </c>
    </row>
    <row r="12491">
      <c r="A12491">
        <f>HYPERLINK("https://www.youtube.com/watch?v=rsfKSzlh_Bg", "Video")</f>
        <v/>
      </c>
      <c r="B12491" t="inlineStr">
        <is>
          <t>3:54</t>
        </is>
      </c>
      <c r="C12491" t="inlineStr">
        <is>
          <t>will see in a bit I love you so much</t>
        </is>
      </c>
      <c r="D12491">
        <f>HYPERLINK("https://www.youtube.com/watch?v=rsfKSzlh_Bg&amp;t=234s", "Go to time")</f>
        <v/>
      </c>
    </row>
    <row r="12492">
      <c r="A12492">
        <f>HYPERLINK("https://www.youtube.com/watch?v=_oQpRyq8uV0", "Video")</f>
        <v/>
      </c>
      <c r="B12492" t="inlineStr">
        <is>
          <t>1:16</t>
        </is>
      </c>
      <c r="C12492" t="inlineStr">
        <is>
          <t>little bit about it but I see the way</t>
        </is>
      </c>
      <c r="D12492">
        <f>HYPERLINK("https://www.youtube.com/watch?v=_oQpRyq8uV0&amp;t=76s", "Go to time")</f>
        <v/>
      </c>
    </row>
    <row r="12493">
      <c r="A12493">
        <f>HYPERLINK("https://www.youtube.com/watch?v=U6Cfv1NBk88", "Video")</f>
        <v/>
      </c>
      <c r="B12493" t="inlineStr">
        <is>
          <t>0:14</t>
        </is>
      </c>
      <c r="C12493" t="inlineStr">
        <is>
          <t>there's quite a bit of science to</t>
        </is>
      </c>
      <c r="D12493">
        <f>HYPERLINK("https://www.youtube.com/watch?v=U6Cfv1NBk88&amp;t=14s", "Go to time")</f>
        <v/>
      </c>
    </row>
    <row r="12494">
      <c r="A12494">
        <f>HYPERLINK("https://www.youtube.com/watch?v=YB7Cc-M7DSI", "Video")</f>
        <v/>
      </c>
      <c r="B12494" t="inlineStr">
        <is>
          <t>5:08</t>
        </is>
      </c>
      <c r="C12494" t="inlineStr">
        <is>
          <t>dog off a pillow once and I got bit just</t>
        </is>
      </c>
      <c r="D12494">
        <f>HYPERLINK("https://www.youtube.com/watch?v=YB7Cc-M7DSI&amp;t=308s", "Go to time")</f>
        <v/>
      </c>
    </row>
    <row r="12495">
      <c r="A12495">
        <f>HYPERLINK("https://www.youtube.com/watch?v=7iPyz6Yqwl4", "Video")</f>
        <v/>
      </c>
      <c r="B12495" t="inlineStr">
        <is>
          <t>10:19</t>
        </is>
      </c>
      <c r="C12495" t="inlineStr">
        <is>
          <t>a little bit about me I love Billy Joel</t>
        </is>
      </c>
      <c r="D12495">
        <f>HYPERLINK("https://www.youtube.com/watch?v=7iPyz6Yqwl4&amp;t=619s", "Go to time")</f>
        <v/>
      </c>
    </row>
    <row r="12496">
      <c r="A12496">
        <f>HYPERLINK("https://www.youtube.com/watch?v=3KvgRsKSz94", "Video")</f>
        <v/>
      </c>
      <c r="B12496" t="inlineStr">
        <is>
          <t>1:22</t>
        </is>
      </c>
      <c r="C12496" t="inlineStr">
        <is>
          <t>mother bites the cord okay stop</t>
        </is>
      </c>
      <c r="D12496">
        <f>HYPERLINK("https://www.youtube.com/watch?v=3KvgRsKSz94&amp;t=82s", "Go to time")</f>
        <v/>
      </c>
    </row>
    <row r="12497">
      <c r="A12497">
        <f>HYPERLINK("https://www.youtube.com/watch?v=jZ-tYcQXBlU", "Video")</f>
        <v/>
      </c>
      <c r="B12497" t="inlineStr">
        <is>
          <t>3:25</t>
        </is>
      </c>
      <c r="C12497" t="inlineStr">
        <is>
          <t>now it all seems so very arbitrary I</t>
        </is>
      </c>
      <c r="D12497">
        <f>HYPERLINK("https://www.youtube.com/watch?v=jZ-tYcQXBlU&amp;t=205s", "Go to time")</f>
        <v/>
      </c>
    </row>
    <row r="12498">
      <c r="A12498">
        <f>HYPERLINK("https://www.youtube.com/watch?v=SdE90SfJZBQ", "Video")</f>
        <v/>
      </c>
      <c r="B12498" t="inlineStr">
        <is>
          <t>3:56</t>
        </is>
      </c>
      <c r="C12498" t="inlineStr">
        <is>
          <t>here a little bit too that logic's</t>
        </is>
      </c>
      <c r="D12498">
        <f>HYPERLINK("https://www.youtube.com/watch?v=SdE90SfJZBQ&amp;t=236s", "Go to time")</f>
        <v/>
      </c>
    </row>
    <row r="12499">
      <c r="A12499">
        <f>HYPERLINK("https://www.youtube.com/watch?v=5p5lJ6YRuOQ", "Video")</f>
        <v/>
      </c>
      <c r="B12499" t="inlineStr">
        <is>
          <t>1:53</t>
        </is>
      </c>
      <c r="C12499" t="inlineStr">
        <is>
          <t>have here doesn't it make you a tiny bit</t>
        </is>
      </c>
      <c r="D12499">
        <f>HYPERLINK("https://www.youtube.com/watch?v=5p5lJ6YRuOQ&amp;t=113s", "Go to time")</f>
        <v/>
      </c>
    </row>
    <row r="12500">
      <c r="A12500">
        <f>HYPERLINK("https://www.youtube.com/watch?v=gbVDWdSwvbM", "Video")</f>
        <v/>
      </c>
      <c r="B12500" t="inlineStr">
        <is>
          <t>5:46</t>
        </is>
      </c>
      <c r="C12500" t="inlineStr">
        <is>
          <t>make you a tiny bit anxious me not</t>
        </is>
      </c>
      <c r="D12500">
        <f>HYPERLINK("https://www.youtube.com/watch?v=gbVDWdSwvbM&amp;t=346s", "Go to time")</f>
        <v/>
      </c>
    </row>
    <row r="12501">
      <c r="A12501">
        <f>HYPERLINK("https://www.youtube.com/watch?v=gbVDWdSwvbM", "Video")</f>
        <v/>
      </c>
      <c r="B12501" t="inlineStr">
        <is>
          <t>6:57</t>
        </is>
      </c>
      <c r="C12501" t="inlineStr">
        <is>
          <t>a reindeer that was just a tiny bit</t>
        </is>
      </c>
      <c r="D12501">
        <f>HYPERLINK("https://www.youtube.com/watch?v=gbVDWdSwvbM&amp;t=417s", "Go to time")</f>
        <v/>
      </c>
    </row>
    <row r="12502">
      <c r="A12502">
        <f>HYPERLINK("https://www.youtube.com/watch?v=VrvCYSzm7mI", "Video")</f>
        <v/>
      </c>
      <c r="B12502" t="inlineStr">
        <is>
          <t>15:39</t>
        </is>
      </c>
      <c r="C12502" t="inlineStr">
        <is>
          <t>predominant but after a bit you did it</t>
        </is>
      </c>
      <c r="D12502">
        <f>HYPERLINK("https://www.youtube.com/watch?v=VrvCYSzm7mI&amp;t=939s", "Go to time")</f>
        <v/>
      </c>
    </row>
    <row r="12503">
      <c r="A12503">
        <f>HYPERLINK("https://www.youtube.com/watch?v=CPKv0c7FWGo", "Video")</f>
        <v/>
      </c>
      <c r="B12503" t="inlineStr">
        <is>
          <t>4:37</t>
        </is>
      </c>
      <c r="C12503" t="inlineStr">
        <is>
          <t>know I felt it bite me but look there's</t>
        </is>
      </c>
      <c r="D12503">
        <f>HYPERLINK("https://www.youtube.com/watch?v=CPKv0c7FWGo&amp;t=277s", "Go to time")</f>
        <v/>
      </c>
    </row>
    <row r="12504">
      <c r="A12504">
        <f>HYPERLINK("https://www.youtube.com/watch?v=tunLqm03PYM", "Video")</f>
        <v/>
      </c>
      <c r="B12504" t="inlineStr">
        <is>
          <t>0:44</t>
        </is>
      </c>
      <c r="C12504" t="inlineStr">
        <is>
          <t>a little bit on the office because you</t>
        </is>
      </c>
      <c r="D12504">
        <f>HYPERLINK("https://www.youtube.com/watch?v=tunLqm03PYM&amp;t=44s", "Go to time")</f>
        <v/>
      </c>
    </row>
    <row r="12505">
      <c r="A12505">
        <f>HYPERLINK("https://www.youtube.com/watch?v=G2g_abm4G4o", "Video")</f>
        <v/>
      </c>
      <c r="B12505" t="inlineStr">
        <is>
          <t>0:16</t>
        </is>
      </c>
      <c r="C12505" t="inlineStr">
        <is>
          <t>-It's Britney, bitch.</t>
        </is>
      </c>
      <c r="D12505">
        <f>HYPERLINK("https://www.youtube.com/watch?v=G2g_abm4G4o&amp;t=16s", "Go to time")</f>
        <v/>
      </c>
    </row>
    <row r="12506">
      <c r="A12506">
        <f>HYPERLINK("https://www.youtube.com/watch?v=G2g_abm4G4o", "Video")</f>
        <v/>
      </c>
      <c r="B12506" t="inlineStr">
        <is>
          <t>3:07</t>
        </is>
      </c>
      <c r="C12506" t="inlineStr">
        <is>
          <t>cotton candy bits,
and powdered sugar.</t>
        </is>
      </c>
      <c r="D12506">
        <f>HYPERLINK("https://www.youtube.com/watch?v=G2g_abm4G4o&amp;t=187s", "Go to time")</f>
        <v/>
      </c>
    </row>
    <row r="12507">
      <c r="A12507">
        <f>HYPERLINK("https://www.youtube.com/watch?v=Q-JLUbpfW-U", "Video")</f>
        <v/>
      </c>
      <c r="B12507" t="inlineStr">
        <is>
          <t>3:08</t>
        </is>
      </c>
      <c r="C12507" t="inlineStr">
        <is>
          <t>bit different here in</t>
        </is>
      </c>
      <c r="D12507">
        <f>HYPERLINK("https://www.youtube.com/watch?v=Q-JLUbpfW-U&amp;t=188s", "Go to time")</f>
        <v/>
      </c>
    </row>
    <row r="12508">
      <c r="A12508">
        <f>HYPERLINK("https://www.youtube.com/watch?v=btxGjqaFcZY", "Video")</f>
        <v/>
      </c>
      <c r="B12508" t="inlineStr">
        <is>
          <t>8:00</t>
        </is>
      </c>
      <c r="C12508" t="inlineStr">
        <is>
          <t>describe it brown shiny painful bite</t>
        </is>
      </c>
      <c r="D12508">
        <f>HYPERLINK("https://www.youtube.com/watch?v=btxGjqaFcZY&amp;t=480s", "Go to time")</f>
        <v/>
      </c>
    </row>
    <row r="12509">
      <c r="A12509">
        <f>HYPERLINK("https://www.youtube.com/watch?v=btxGjqaFcZY", "Video")</f>
        <v/>
      </c>
      <c r="B12509" t="inlineStr">
        <is>
          <t>8:09</t>
        </is>
      </c>
      <c r="C12509" t="inlineStr">
        <is>
          <t>enough but after a bit you did it run</t>
        </is>
      </c>
      <c r="D12509">
        <f>HYPERLINK("https://www.youtube.com/watch?v=btxGjqaFcZY&amp;t=489s", "Go to time")</f>
        <v/>
      </c>
    </row>
    <row r="12510">
      <c r="A12510">
        <f>HYPERLINK("https://www.youtube.com/watch?v=btxGjqaFcZY", "Video")</f>
        <v/>
      </c>
      <c r="B12510" t="inlineStr">
        <is>
          <t>8:53</t>
        </is>
      </c>
      <c r="C12510" t="inlineStr">
        <is>
          <t>let the bed bugs bite oh God I feel so</t>
        </is>
      </c>
      <c r="D12510">
        <f>HYPERLINK("https://www.youtube.com/watch?v=btxGjqaFcZY&amp;t=533s", "Go to time")</f>
        <v/>
      </c>
    </row>
    <row r="12511">
      <c r="A12511">
        <f>HYPERLINK("https://www.youtube.com/watch?v=bpU2QwWvupg", "Video")</f>
        <v/>
      </c>
      <c r="B12511" t="inlineStr">
        <is>
          <t>11:05</t>
        </is>
      </c>
      <c r="C12511" t="inlineStr">
        <is>
          <t>gun it's actually caused a bit of a</t>
        </is>
      </c>
      <c r="D12511">
        <f>HYPERLINK("https://www.youtube.com/watch?v=bpU2QwWvupg&amp;t=665s", "Go to time")</f>
        <v/>
      </c>
    </row>
    <row r="12512">
      <c r="A12512">
        <f>HYPERLINK("https://www.youtube.com/watch?v=bpU2QwWvupg", "Video")</f>
        <v/>
      </c>
      <c r="B12512" t="inlineStr">
        <is>
          <t>49:46</t>
        </is>
      </c>
      <c r="C12512" t="inlineStr">
        <is>
          <t>bit scared I'm sure everything will be</t>
        </is>
      </c>
      <c r="D12512">
        <f>HYPERLINK("https://www.youtube.com/watch?v=bpU2QwWvupg&amp;t=2986s", "Go to time")</f>
        <v/>
      </c>
    </row>
    <row r="12513">
      <c r="A12513">
        <f>HYPERLINK("https://www.youtube.com/watch?v=2SrMm8YyWEw", "Video")</f>
        <v/>
      </c>
      <c r="B12513" t="inlineStr">
        <is>
          <t>7:12</t>
        </is>
      </c>
      <c r="C12513" t="inlineStr">
        <is>
          <t>coats and symbolically their inhibitions</t>
        </is>
      </c>
      <c r="D12513">
        <f>HYPERLINK("https://www.youtube.com/watch?v=2SrMm8YyWEw&amp;t=432s", "Go to time")</f>
        <v/>
      </c>
    </row>
    <row r="12514">
      <c r="A12514">
        <f>HYPERLINK("https://www.youtube.com/watch?v=VoSyTh4b1Ao", "Video")</f>
        <v/>
      </c>
      <c r="B12514" t="inlineStr">
        <is>
          <t>11:05</t>
        </is>
      </c>
      <c r="C12514" t="inlineStr">
        <is>
          <t>just a little bit different maybe a uh</t>
        </is>
      </c>
      <c r="D12514">
        <f>HYPERLINK("https://www.youtube.com/watch?v=VoSyTh4b1Ao&amp;t=665s", "Go to time")</f>
        <v/>
      </c>
    </row>
    <row r="12515">
      <c r="A12515">
        <f>HYPERLINK("https://www.youtube.com/watch?v=1-BD_gYoA4k", "Video")</f>
        <v/>
      </c>
      <c r="B12515" t="inlineStr">
        <is>
          <t>4:28</t>
        </is>
      </c>
      <c r="C12515" t="inlineStr">
        <is>
          <t>and I just do a little bit of nod sort</t>
        </is>
      </c>
      <c r="D12515">
        <f>HYPERLINK("https://www.youtube.com/watch?v=1-BD_gYoA4k&amp;t=268s", "Go to time")</f>
        <v/>
      </c>
    </row>
    <row r="12516">
      <c r="A12516">
        <f>HYPERLINK("https://www.youtube.com/watch?v=ngamnNySTmA", "Video")</f>
        <v/>
      </c>
      <c r="B12516" t="inlineStr">
        <is>
          <t>13:31</t>
        </is>
      </c>
      <c r="C12516" t="inlineStr">
        <is>
          <t>done security software 128bit encryption</t>
        </is>
      </c>
      <c r="D12516">
        <f>HYPERLINK("https://www.youtube.com/watch?v=ngamnNySTmA&amp;t=811s", "Go to time")</f>
        <v/>
      </c>
    </row>
    <row r="12517">
      <c r="A12517">
        <f>HYPERLINK("https://www.youtube.com/watch?v=1Rf9-Ej2xPw", "Video")</f>
        <v/>
      </c>
      <c r="B12517" t="inlineStr">
        <is>
          <t>3:23</t>
        </is>
      </c>
      <c r="C12517" t="inlineStr">
        <is>
          <t>rabbit hole goes</t>
        </is>
      </c>
      <c r="D12517">
        <f>HYPERLINK("https://www.youtube.com/watch?v=1Rf9-Ej2xPw&amp;t=203s", "Go to time")</f>
        <v/>
      </c>
    </row>
    <row r="12518">
      <c r="A12518">
        <f>HYPERLINK("https://www.youtube.com/watch?v=9eqze5JWNjY", "Video")</f>
        <v/>
      </c>
      <c r="B12518" t="inlineStr">
        <is>
          <t>0:06</t>
        </is>
      </c>
      <c r="C12518" t="inlineStr">
        <is>
          <t>- Eugh. But! I am giving everyone a little bit of a treat.</t>
        </is>
      </c>
      <c r="D12518">
        <f>HYPERLINK("https://www.youtube.com/watch?v=9eqze5JWNjY&amp;t=6s", "Go to time")</f>
        <v/>
      </c>
    </row>
    <row r="12519">
      <c r="A12519">
        <f>HYPERLINK("https://www.youtube.com/watch?v=oPKngMsbGh8", "Video")</f>
        <v/>
      </c>
      <c r="B12519" t="inlineStr">
        <is>
          <t>0:32</t>
        </is>
      </c>
      <c r="C12519" t="inlineStr">
        <is>
          <t>you know I I know a little bit about</t>
        </is>
      </c>
      <c r="D12519">
        <f>HYPERLINK("https://www.youtube.com/watch?v=oPKngMsbGh8&amp;t=32s", "Go to time")</f>
        <v/>
      </c>
    </row>
    <row r="12520">
      <c r="A12520">
        <f>HYPERLINK("https://www.youtube.com/watch?v=SKGCvlws2cc", "Video")</f>
        <v/>
      </c>
      <c r="B12520" t="inlineStr">
        <is>
          <t>2:35</t>
        </is>
      </c>
      <c r="C12520" t="inlineStr">
        <is>
          <t>please hope the wine isn't as bitter as</t>
        </is>
      </c>
      <c r="D12520">
        <f>HYPERLINK("https://www.youtube.com/watch?v=SKGCvlws2cc&amp;t=155s", "Go to time")</f>
        <v/>
      </c>
    </row>
    <row r="12521">
      <c r="A12521">
        <f>HYPERLINK("https://www.youtube.com/watch?v=SKGCvlws2cc", "Video")</f>
        <v/>
      </c>
      <c r="B12521" t="inlineStr">
        <is>
          <t>6:47</t>
        </is>
      </c>
      <c r="C12521" t="inlineStr">
        <is>
          <t>and I made a bit of a judgment call I</t>
        </is>
      </c>
      <c r="D12521">
        <f>HYPERLINK("https://www.youtube.com/watch?v=SKGCvlws2cc&amp;t=407s", "Go to time")</f>
        <v/>
      </c>
    </row>
    <row r="12522">
      <c r="A12522">
        <f>HYPERLINK("https://www.youtube.com/watch?v=fAymQ5oLhKE", "Video")</f>
        <v/>
      </c>
      <c r="B12522" t="inlineStr">
        <is>
          <t>0:16</t>
        </is>
      </c>
      <c r="C12522" t="inlineStr">
        <is>
          <t>Tibbits Mike tibits really M hey who's</t>
        </is>
      </c>
      <c r="D12522">
        <f>HYPERLINK("https://www.youtube.com/watch?v=fAymQ5oLhKE&amp;t=16s", "Go to time")</f>
        <v/>
      </c>
    </row>
    <row r="12523">
      <c r="A12523">
        <f>HYPERLINK("https://www.youtube.com/watch?v=fAymQ5oLhKE", "Video")</f>
        <v/>
      </c>
      <c r="B12523" t="inlineStr">
        <is>
          <t>0:19</t>
        </is>
      </c>
      <c r="C12523" t="inlineStr">
        <is>
          <t>this Mike tibits guy what kind of car</t>
        </is>
      </c>
      <c r="D12523">
        <f>HYPERLINK("https://www.youtube.com/watch?v=fAymQ5oLhKE&amp;t=19s", "Go to time")</f>
        <v/>
      </c>
    </row>
    <row r="12524">
      <c r="A12524">
        <f>HYPERLINK("https://www.youtube.com/watch?v=fAymQ5oLhKE", "Video")</f>
        <v/>
      </c>
      <c r="B12524" t="inlineStr">
        <is>
          <t>1:04</t>
        </is>
      </c>
      <c r="C12524" t="inlineStr">
        <is>
          <t>Tibbits is like the most boring looking</t>
        </is>
      </c>
      <c r="D12524">
        <f>HYPERLINK("https://www.youtube.com/watch?v=fAymQ5oLhKE&amp;t=64s", "Go to time")</f>
        <v/>
      </c>
    </row>
    <row r="12525">
      <c r="A12525">
        <f>HYPERLINK("https://www.youtube.com/watch?v=cMd_twXwSdE", "Video")</f>
        <v/>
      </c>
      <c r="B12525" t="inlineStr">
        <is>
          <t>4:30</t>
        </is>
      </c>
      <c r="C12525" t="inlineStr">
        <is>
          <t>a little bit here a little bit there I</t>
        </is>
      </c>
      <c r="D12525">
        <f>HYPERLINK("https://www.youtube.com/watch?v=cMd_twXwSdE&amp;t=270s", "Go to time")</f>
        <v/>
      </c>
    </row>
    <row r="12526">
      <c r="A12526">
        <f>HYPERLINK("https://www.youtube.com/watch?v=cMd_twXwSdE", "Video")</f>
        <v/>
      </c>
      <c r="B12526" t="inlineStr">
        <is>
          <t>8:13</t>
        </is>
      </c>
      <c r="C12526" t="inlineStr">
        <is>
          <t>hey my name is Tabitha I'm camped out in</t>
        </is>
      </c>
      <c r="D12526">
        <f>HYPERLINK("https://www.youtube.com/watch?v=cMd_twXwSdE&amp;t=493s", "Go to time")</f>
        <v/>
      </c>
    </row>
    <row r="12527">
      <c r="A12527">
        <f>HYPERLINK("https://www.youtube.com/watch?v=D5pddiMKbzE", "Video")</f>
        <v/>
      </c>
      <c r="B12527" t="inlineStr">
        <is>
          <t>9:39</t>
        </is>
      </c>
      <c r="C12527" t="inlineStr">
        <is>
          <t>little bit to the right you see we'll</t>
        </is>
      </c>
      <c r="D12527">
        <f>HYPERLINK("https://www.youtube.com/watch?v=D5pddiMKbzE&amp;t=579s", "Go to time")</f>
        <v/>
      </c>
    </row>
    <row r="12528">
      <c r="A12528">
        <f>HYPERLINK("https://www.youtube.com/watch?v=ns91qkOBUPU", "Video")</f>
        <v/>
      </c>
      <c r="B12528" t="inlineStr">
        <is>
          <t>0:40</t>
        </is>
      </c>
      <c r="C12528" t="inlineStr">
        <is>
          <t>wondering if perhaps those are a bit</t>
        </is>
      </c>
      <c r="D12528">
        <f>HYPERLINK("https://www.youtube.com/watch?v=ns91qkOBUPU&amp;t=40s", "Go to time")</f>
        <v/>
      </c>
    </row>
    <row r="12529">
      <c r="A12529">
        <f>HYPERLINK("https://www.youtube.com/watch?v=ns91qkOBUPU", "Video")</f>
        <v/>
      </c>
      <c r="B12529" t="inlineStr">
        <is>
          <t>1:24</t>
        </is>
      </c>
      <c r="C12529" t="inlineStr">
        <is>
          <t>bit about how small we are</t>
        </is>
      </c>
      <c r="D12529">
        <f>HYPERLINK("https://www.youtube.com/watch?v=ns91qkOBUPU&amp;t=84s", "Go to time")</f>
        <v/>
      </c>
    </row>
    <row r="12530">
      <c r="A12530">
        <f>HYPERLINK("https://www.youtube.com/watch?v=89obRmie1VU", "Video")</f>
        <v/>
      </c>
      <c r="B12530" t="inlineStr">
        <is>
          <t>0:56</t>
        </is>
      </c>
      <c r="C12530" t="inlineStr">
        <is>
          <t>him a little bit you want to see a</t>
        </is>
      </c>
      <c r="D12530">
        <f>HYPERLINK("https://www.youtube.com/watch?v=89obRmie1VU&amp;t=56s", "Go to time")</f>
        <v/>
      </c>
    </row>
    <row r="12531">
      <c r="A12531">
        <f>HYPERLINK("https://www.youtube.com/watch?v=wQiSTZbAnZw", "Video")</f>
        <v/>
      </c>
      <c r="B12531" t="inlineStr">
        <is>
          <t>5:36</t>
        </is>
      </c>
      <c r="C12531" t="inlineStr">
        <is>
          <t>but I'm a little bit early leaving my</t>
        </is>
      </c>
      <c r="D12531">
        <f>HYPERLINK("https://www.youtube.com/watch?v=wQiSTZbAnZw&amp;t=336s", "Go to time")</f>
        <v/>
      </c>
    </row>
    <row r="12532">
      <c r="A12532">
        <f>HYPERLINK("https://www.youtube.com/watch?v=vcksTKoZMts", "Video")</f>
        <v/>
      </c>
      <c r="B12532" t="inlineStr">
        <is>
          <t>0:09</t>
        </is>
      </c>
      <c r="C12532" t="inlineStr">
        <is>
          <t>except Nashua still a little bit raw</t>
        </is>
      </c>
      <c r="D12532">
        <f>HYPERLINK("https://www.youtube.com/watch?v=vcksTKoZMts&amp;t=9s", "Go to time")</f>
        <v/>
      </c>
    </row>
    <row r="12533">
      <c r="A12533">
        <f>HYPERLINK("https://www.youtube.com/watch?v=qbpmd7DWibA", "Video")</f>
        <v/>
      </c>
      <c r="B12533" t="inlineStr">
        <is>
          <t>1:23</t>
        </is>
      </c>
      <c r="C12533" t="inlineStr">
        <is>
          <t>separate bit</t>
        </is>
      </c>
      <c r="D12533">
        <f>HYPERLINK("https://www.youtube.com/watch?v=qbpmd7DWibA&amp;t=83s", "Go to time")</f>
        <v/>
      </c>
    </row>
    <row r="12534">
      <c r="A12534">
        <f>HYPERLINK("https://www.youtube.com/watch?v=8eGx5U2_Mj0", "Video")</f>
        <v/>
      </c>
      <c r="B12534" t="inlineStr">
        <is>
          <t>1:35</t>
        </is>
      </c>
      <c r="C12534" t="inlineStr">
        <is>
          <t>him I'm a little bit jealous actually</t>
        </is>
      </c>
      <c r="D12534">
        <f>HYPERLINK("https://www.youtube.com/watch?v=8eGx5U2_Mj0&amp;t=95s", "Go to time")</f>
        <v/>
      </c>
    </row>
    <row r="12535">
      <c r="A12535">
        <f>HYPERLINK("https://www.youtube.com/watch?v=PpFmRkLPOXQ", "Video")</f>
        <v/>
      </c>
      <c r="B12535" t="inlineStr">
        <is>
          <t>4:32</t>
        </is>
      </c>
      <c r="C12535" t="inlineStr">
        <is>
          <t>this party to be a tiny tiny bit like</t>
        </is>
      </c>
      <c r="D12535">
        <f>HYPERLINK("https://www.youtube.com/watch?v=PpFmRkLPOXQ&amp;t=272s", "Go to time")</f>
        <v/>
      </c>
    </row>
    <row r="12536">
      <c r="A12536">
        <f>HYPERLINK("https://www.youtube.com/watch?v=qfnbZOReFYs", "Video")</f>
        <v/>
      </c>
      <c r="B12536" t="inlineStr">
        <is>
          <t>6:05</t>
        </is>
      </c>
      <c r="C12536" t="inlineStr">
        <is>
          <t>bit</t>
        </is>
      </c>
      <c r="D12536">
        <f>HYPERLINK("https://www.youtube.com/watch?v=qfnbZOReFYs&amp;t=365s", "Go to time")</f>
        <v/>
      </c>
    </row>
    <row r="12537">
      <c r="A12537">
        <f>HYPERLINK("https://www.youtube.com/watch?v=qfnbZOReFYs", "Video")</f>
        <v/>
      </c>
      <c r="B12537" t="inlineStr">
        <is>
          <t>8:55</t>
        </is>
      </c>
      <c r="C12537" t="inlineStr">
        <is>
          <t>bit handy you alright go away - no I'm</t>
        </is>
      </c>
      <c r="D12537">
        <f>HYPERLINK("https://www.youtube.com/watch?v=qfnbZOReFYs&amp;t=535s", "Go to time")</f>
        <v/>
      </c>
    </row>
    <row r="12538">
      <c r="A12538">
        <f>HYPERLINK("https://www.youtube.com/watch?v=RkDIrMEPQNQ", "Video")</f>
        <v/>
      </c>
      <c r="B12538" t="inlineStr">
        <is>
          <t>1:52</t>
        </is>
      </c>
      <c r="C12538" t="inlineStr">
        <is>
          <t>be quiet good ambitious</t>
        </is>
      </c>
      <c r="D12538">
        <f>HYPERLINK("https://www.youtube.com/watch?v=RkDIrMEPQNQ&amp;t=112s", "Go to time")</f>
        <v/>
      </c>
    </row>
    <row r="12539">
      <c r="A12539">
        <f>HYPERLINK("https://www.youtube.com/watch?v=iahcJPo9Dwg", "Video")</f>
        <v/>
      </c>
      <c r="B12539" t="inlineStr">
        <is>
          <t>1:14</t>
        </is>
      </c>
      <c r="C12539" t="inlineStr">
        <is>
          <t>percolating a little bit anybody have</t>
        </is>
      </c>
      <c r="D12539">
        <f>HYPERLINK("https://www.youtube.com/watch?v=iahcJPo9Dwg&amp;t=74s", "Go to time")</f>
        <v/>
      </c>
    </row>
    <row r="12540">
      <c r="A12540">
        <f>HYPERLINK("https://www.youtube.com/watch?v=eRW4yRH3xhs", "Video")</f>
        <v/>
      </c>
      <c r="B12540" t="inlineStr">
        <is>
          <t>7:06</t>
        </is>
      </c>
      <c r="C12540" t="inlineStr">
        <is>
          <t>I think I'll take a little bit longer</t>
        </is>
      </c>
      <c r="D12540">
        <f>HYPERLINK("https://www.youtube.com/watch?v=eRW4yRH3xhs&amp;t=426s", "Go to time")</f>
        <v/>
      </c>
    </row>
    <row r="12541">
      <c r="A12541">
        <f>HYPERLINK("https://www.youtube.com/watch?v=ppUahvVBy2A", "Video")</f>
        <v/>
      </c>
      <c r="B12541" t="inlineStr">
        <is>
          <t>4:22</t>
        </is>
      </c>
      <c r="C12541" t="inlineStr">
        <is>
          <t>routine i'm just a little bit scared i'm</t>
        </is>
      </c>
      <c r="D12541">
        <f>HYPERLINK("https://www.youtube.com/watch?v=ppUahvVBy2A&amp;t=262s", "Go to time")</f>
        <v/>
      </c>
    </row>
    <row r="12542">
      <c r="A12542">
        <f>HYPERLINK("https://www.youtube.com/watch?v=_BihD5SzOvg", "Video")</f>
        <v/>
      </c>
      <c r="B12542" t="inlineStr">
        <is>
          <t>0:10</t>
        </is>
      </c>
      <c r="C12542" t="inlineStr">
        <is>
          <t>but we have a little bit of a problem</t>
        </is>
      </c>
      <c r="D12542">
        <f>HYPERLINK("https://www.youtube.com/watch?v=_BihD5SzOvg&amp;t=10s", "Go to time")</f>
        <v/>
      </c>
    </row>
    <row r="12543">
      <c r="A12543">
        <f>HYPERLINK("https://www.youtube.com/watch?v=28sVSdZwQ_4", "Video")</f>
        <v/>
      </c>
      <c r="B12543" t="inlineStr">
        <is>
          <t>2:48</t>
        </is>
      </c>
      <c r="C12543" t="inlineStr">
        <is>
          <t>Mother bites the cord.
-Okay. Stop.</t>
        </is>
      </c>
      <c r="D12543">
        <f>HYPERLINK("https://www.youtube.com/watch?v=28sVSdZwQ_4&amp;t=168s", "Go to time")</f>
        <v/>
      </c>
    </row>
    <row r="12544">
      <c r="A12544">
        <f>HYPERLINK("https://www.youtube.com/watch?v=00qHWp5eiHM", "Video")</f>
        <v/>
      </c>
      <c r="B12544" t="inlineStr">
        <is>
          <t>0:14</t>
        </is>
      </c>
      <c r="C12544" t="inlineStr">
        <is>
          <t>-It's Britney, bitch.</t>
        </is>
      </c>
      <c r="D12544">
        <f>HYPERLINK("https://www.youtube.com/watch?v=00qHWp5eiHM&amp;t=14s", "Go to time")</f>
        <v/>
      </c>
    </row>
    <row r="12545">
      <c r="A12545">
        <f>HYPERLINK("https://www.youtube.com/watch?v=u_Mrk5fCRj4", "Video")</f>
        <v/>
      </c>
      <c r="B12545" t="inlineStr">
        <is>
          <t>3:06</t>
        </is>
      </c>
      <c r="C12545" t="inlineStr">
        <is>
          <t>cotton candy bits and powdered sugar is</t>
        </is>
      </c>
      <c r="D12545">
        <f>HYPERLINK("https://www.youtube.com/watch?v=u_Mrk5fCRj4&amp;t=186s", "Go to time")</f>
        <v/>
      </c>
    </row>
    <row r="12546">
      <c r="A12546">
        <f>HYPERLINK("https://www.youtube.com/watch?v=Sif-rpaxMzA", "Video")</f>
        <v/>
      </c>
      <c r="B12546" t="inlineStr">
        <is>
          <t>1:33</t>
        </is>
      </c>
      <c r="C12546" t="inlineStr">
        <is>
          <t>just chill out a little bit on the herp</t>
        </is>
      </c>
      <c r="D12546">
        <f>HYPERLINK("https://www.youtube.com/watch?v=Sif-rpaxMzA&amp;t=93s", "Go to time")</f>
        <v/>
      </c>
    </row>
    <row r="12547">
      <c r="A12547">
        <f>HYPERLINK("https://www.youtube.com/watch?v=Y1tG3dXmxqU", "Video")</f>
        <v/>
      </c>
      <c r="B12547" t="inlineStr">
        <is>
          <t>2:32</t>
        </is>
      </c>
      <c r="C12547" t="inlineStr">
        <is>
          <t>bit stretch stretch it pull a stretch</t>
        </is>
      </c>
      <c r="D12547">
        <f>HYPERLINK("https://www.youtube.com/watch?v=Y1tG3dXmxqU&amp;t=152s", "Go to time")</f>
        <v/>
      </c>
    </row>
    <row r="12548">
      <c r="A12548">
        <f>HYPERLINK("https://www.youtube.com/watch?v=Y1tG3dXmxqU", "Video")</f>
        <v/>
      </c>
      <c r="B12548" t="inlineStr">
        <is>
          <t>3:38</t>
        </is>
      </c>
      <c r="C12548" t="inlineStr">
        <is>
          <t>but i am giving everyone a little bit of</t>
        </is>
      </c>
      <c r="D12548">
        <f>HYPERLINK("https://www.youtube.com/watch?v=Y1tG3dXmxqU&amp;t=218s", "Go to time")</f>
        <v/>
      </c>
    </row>
    <row r="12549">
      <c r="A12549">
        <f>HYPERLINK("https://www.youtube.com/watch?v=0aKfZIH0pUw", "Video")</f>
        <v/>
      </c>
      <c r="B12549" t="inlineStr">
        <is>
          <t>7:24</t>
        </is>
      </c>
      <c r="C12549" t="inlineStr">
        <is>
          <t>let the bed bugs bite oh God I feel so</t>
        </is>
      </c>
      <c r="D12549">
        <f>HYPERLINK("https://www.youtube.com/watch?v=0aKfZIH0pUw&amp;t=444s", "Go to time")</f>
        <v/>
      </c>
    </row>
    <row r="12550">
      <c r="A12550">
        <f>HYPERLINK("https://www.youtube.com/watch?v=Pg25fA7x8jg", "Video")</f>
        <v/>
      </c>
      <c r="B12550" t="inlineStr">
        <is>
          <t>8:39</t>
        </is>
      </c>
      <c r="C12550" t="inlineStr">
        <is>
          <t>this is plaintiffs exhibit 107 Paul hi</t>
        </is>
      </c>
      <c r="D12550">
        <f>HYPERLINK("https://www.youtube.com/watch?v=Pg25fA7x8jg&amp;t=519s", "Go to time")</f>
        <v/>
      </c>
    </row>
    <row r="12551">
      <c r="A12551">
        <f>HYPERLINK("https://www.youtube.com/watch?v=2CjTxZH2KTM", "Video")</f>
        <v/>
      </c>
      <c r="B12551" t="inlineStr">
        <is>
          <t>9:39</t>
        </is>
      </c>
      <c r="C12551" t="inlineStr">
        <is>
          <t>murb I'm a decent biter my cousin Mo's</t>
        </is>
      </c>
      <c r="D12551">
        <f>HYPERLINK("https://www.youtube.com/watch?v=2CjTxZH2KTM&amp;t=579s", "Go to time")</f>
        <v/>
      </c>
    </row>
    <row r="12552">
      <c r="A12552">
        <f>HYPERLINK("https://www.youtube.com/watch?v=zlkCM_jBirg", "Video")</f>
        <v/>
      </c>
      <c r="B12552" t="inlineStr">
        <is>
          <t>14:55</t>
        </is>
      </c>
      <c r="C12552" t="inlineStr">
        <is>
          <t>little bit uh I meet a lot of people</t>
        </is>
      </c>
      <c r="D12552">
        <f>HYPERLINK("https://www.youtube.com/watch?v=zlkCM_jBirg&amp;t=895s", "Go to time")</f>
        <v/>
      </c>
    </row>
    <row r="12553">
      <c r="A12553">
        <f>HYPERLINK("https://www.youtube.com/watch?v=1PxE2aHDFYU", "Video")</f>
        <v/>
      </c>
      <c r="B12553" t="inlineStr">
        <is>
          <t>2:54</t>
        </is>
      </c>
      <c r="C12553" t="inlineStr">
        <is>
          <t>came with she's going to orbit that's a</t>
        </is>
      </c>
      <c r="D12553">
        <f>HYPERLINK("https://www.youtube.com/watch?v=1PxE2aHDFYU&amp;t=174s", "Go to time")</f>
        <v/>
      </c>
    </row>
    <row r="12554">
      <c r="A12554">
        <f>HYPERLINK("https://www.youtube.com/watch?v=GFn9A4OT_QQ", "Video")</f>
        <v/>
      </c>
      <c r="B12554" t="inlineStr">
        <is>
          <t>1:17</t>
        </is>
      </c>
      <c r="C12554" t="inlineStr">
        <is>
          <t>what can I say old habits Die Hard d</t>
        </is>
      </c>
      <c r="D12554">
        <f>HYPERLINK("https://www.youtube.com/watch?v=GFn9A4OT_QQ&amp;t=77s", "Go to time")</f>
        <v/>
      </c>
    </row>
    <row r="12555">
      <c r="A12555">
        <f>HYPERLINK("https://www.youtube.com/watch?v=5mVjuu9zDbE", "Video")</f>
        <v/>
      </c>
      <c r="B12555" t="inlineStr">
        <is>
          <t>2:47</t>
        </is>
      </c>
      <c r="C12555" t="inlineStr">
        <is>
          <t>Scott they are in for a bitter surprise</t>
        </is>
      </c>
      <c r="D12555">
        <f>HYPERLINK("https://www.youtube.com/watch?v=5mVjuu9zDbE&amp;t=167s", "Go to time")</f>
        <v/>
      </c>
    </row>
    <row r="12556">
      <c r="A12556">
        <f>HYPERLINK("https://www.youtube.com/watch?v=bOQue0MRl9Y", "Video")</f>
        <v/>
      </c>
      <c r="B12556" t="inlineStr">
        <is>
          <t>0:57</t>
        </is>
      </c>
      <c r="C12556" t="inlineStr">
        <is>
          <t>clean me up a little bit</t>
        </is>
      </c>
      <c r="D12556">
        <f>HYPERLINK("https://www.youtube.com/watch?v=bOQue0MRl9Y&amp;t=57s", "Go to time")</f>
        <v/>
      </c>
    </row>
    <row r="12557">
      <c r="A12557">
        <f>HYPERLINK("https://www.youtube.com/watch?v=6U67vt_t1kY", "Video")</f>
        <v/>
      </c>
      <c r="B12557" t="inlineStr">
        <is>
          <t>2:46</t>
        </is>
      </c>
      <c r="C12557" t="inlineStr">
        <is>
          <t>One of your students is a bitch.</t>
        </is>
      </c>
      <c r="D12557">
        <f>HYPERLINK("https://www.youtube.com/watch?v=6U67vt_t1kY&amp;t=166s", "Go to time")</f>
        <v/>
      </c>
    </row>
    <row r="12558">
      <c r="A12558">
        <f>HYPERLINK("https://www.youtube.com/watch?v=6U67vt_t1kY", "Video")</f>
        <v/>
      </c>
      <c r="B12558" t="inlineStr">
        <is>
          <t>5:07</t>
        </is>
      </c>
      <c r="C12558" t="inlineStr">
        <is>
          <t>with an arbitrary review
process.</t>
        </is>
      </c>
      <c r="D12558">
        <f>HYPERLINK("https://www.youtube.com/watch?v=6U67vt_t1kY&amp;t=307s", "Go to time")</f>
        <v/>
      </c>
    </row>
    <row r="12559">
      <c r="A12559">
        <f>HYPERLINK("https://www.youtube.com/watch?v=VSv64fV0LDk", "Video")</f>
        <v/>
      </c>
      <c r="B12559" t="inlineStr">
        <is>
          <t>4:30</t>
        </is>
      </c>
      <c r="C12559" t="inlineStr">
        <is>
          <t>The Business Bitch.</t>
        </is>
      </c>
      <c r="D12559">
        <f>HYPERLINK("https://www.youtube.com/watch?v=VSv64fV0LDk&amp;t=270s", "Go to time")</f>
        <v/>
      </c>
    </row>
    <row r="12560">
      <c r="A12560">
        <f>HYPERLINK("https://www.youtube.com/watch?v=VSv64fV0LDk", "Video")</f>
        <v/>
      </c>
      <c r="B12560" t="inlineStr">
        <is>
          <t>4:33</t>
        </is>
      </c>
      <c r="C12560" t="inlineStr">
        <is>
          <t>So I have a couple of things in the works. The Business Bitch, The Diet Bitch, The Shopping Bitch. The Etiquette Bitch.</t>
        </is>
      </c>
      <c r="D12560">
        <f>HYPERLINK("https://www.youtube.com/watch?v=VSv64fV0LDk&amp;t=273s", "Go to time")</f>
        <v/>
      </c>
    </row>
    <row r="12561">
      <c r="A12561">
        <f>HYPERLINK("https://www.youtube.com/watch?v=6l9uFT9SOSM", "Video")</f>
        <v/>
      </c>
      <c r="B12561" t="inlineStr">
        <is>
          <t>0:00</t>
        </is>
      </c>
      <c r="C12561" t="inlineStr">
        <is>
          <t>what's up crime Aid bit on me and I will</t>
        </is>
      </c>
      <c r="D12561">
        <f>HYPERLINK("https://www.youtube.com/watch?v=6l9uFT9SOSM&amp;t=0s", "Go to time")</f>
        <v/>
      </c>
    </row>
    <row r="12562">
      <c r="A12562">
        <f>HYPERLINK("https://www.youtube.com/watch?v=Jj-ni0inHqE", "Video")</f>
        <v/>
      </c>
      <c r="B12562" t="inlineStr">
        <is>
          <t>1:50</t>
        </is>
      </c>
      <c r="C12562" t="inlineStr">
        <is>
          <t>I think it'll take you a little bit</t>
        </is>
      </c>
      <c r="D12562">
        <f>HYPERLINK("https://www.youtube.com/watch?v=Jj-ni0inHqE&amp;t=110s", "Go to time")</f>
        <v/>
      </c>
    </row>
    <row r="12563">
      <c r="A12563">
        <f>HYPERLINK("https://www.youtube.com/watch?v=Jj-ni0inHqE", "Video")</f>
        <v/>
      </c>
      <c r="B12563" t="inlineStr">
        <is>
          <t>2:13</t>
        </is>
      </c>
      <c r="C12563" t="inlineStr">
        <is>
          <t>mean I know I felt it bite me but look</t>
        </is>
      </c>
      <c r="D12563">
        <f>HYPERLINK("https://www.youtube.com/watch?v=Jj-ni0inHqE&amp;t=133s", "Go to time")</f>
        <v/>
      </c>
    </row>
    <row r="12564">
      <c r="A12564">
        <f>HYPERLINK("https://www.youtube.com/watch?v=y5jchMm0Ae8", "Video")</f>
        <v/>
      </c>
      <c r="B12564" t="inlineStr">
        <is>
          <t>4:30</t>
        </is>
      </c>
      <c r="C12564" t="inlineStr">
        <is>
          <t>if you're bit by a spider but check that</t>
        </is>
      </c>
      <c r="D12564">
        <f>HYPERLINK("https://www.youtube.com/watch?v=y5jchMm0Ae8&amp;t=270s", "Go to time")</f>
        <v/>
      </c>
    </row>
    <row r="12565">
      <c r="A12565">
        <f>HYPERLINK("https://www.youtube.com/watch?v=y5jchMm0Ae8", "Video")</f>
        <v/>
      </c>
      <c r="B12565" t="inlineStr">
        <is>
          <t>9:17</t>
        </is>
      </c>
      <c r="C12565" t="inlineStr">
        <is>
          <t>saying we're having a limit a little bit</t>
        </is>
      </c>
      <c r="D12565">
        <f>HYPERLINK("https://www.youtube.com/watch?v=y5jchMm0Ae8&amp;t=557s", "Go to time")</f>
        <v/>
      </c>
    </row>
    <row r="12566">
      <c r="A12566">
        <f>HYPERLINK("https://www.youtube.com/watch?v=y5jchMm0Ae8", "Video")</f>
        <v/>
      </c>
      <c r="B12566" t="inlineStr">
        <is>
          <t>17:39</t>
        </is>
      </c>
      <c r="C12566" t="inlineStr">
        <is>
          <t>we have a little bit of a problem know</t>
        </is>
      </c>
      <c r="D12566">
        <f>HYPERLINK("https://www.youtube.com/watch?v=y5jchMm0Ae8&amp;t=1059s", "Go to time")</f>
        <v/>
      </c>
    </row>
    <row r="12567">
      <c r="A12567">
        <f>HYPERLINK("https://www.youtube.com/watch?v=Xnk4seEHmgw", "Video")</f>
        <v/>
      </c>
      <c r="B12567" t="inlineStr">
        <is>
          <t>0:27</t>
        </is>
      </c>
      <c r="C12567" t="inlineStr">
        <is>
          <t>I think it'll take you a little bit longer than that.</t>
        </is>
      </c>
      <c r="D12567">
        <f>HYPERLINK("https://www.youtube.com/watch?v=Xnk4seEHmgw&amp;t=27s", "Go to time")</f>
        <v/>
      </c>
    </row>
    <row r="12568">
      <c r="A12568">
        <f>HYPERLINK("https://www.youtube.com/watch?v=Xnk4seEHmgw", "Video")</f>
        <v/>
      </c>
      <c r="B12568" t="inlineStr">
        <is>
          <t>3:54</t>
        </is>
      </c>
      <c r="C12568" t="inlineStr">
        <is>
          <t>Dwight: As I was saying, We're having a limited- Bill: You're gonna have to talk a little bit louder, I'm hard of hearing.</t>
        </is>
      </c>
      <c r="D12568">
        <f>HYPERLINK("https://www.youtube.com/watch?v=Xnk4seEHmgw&amp;t=234s", "Go to time")</f>
        <v/>
      </c>
    </row>
    <row r="12569">
      <c r="A12569">
        <f>HYPERLINK("https://www.youtube.com/watch?v=UmsbTXtfXBg", "Video")</f>
        <v/>
      </c>
      <c r="B12569" t="inlineStr">
        <is>
          <t>102:00</t>
        </is>
      </c>
      <c r="C12569" t="inlineStr">
        <is>
          <t>bit longer than that really if I can</t>
        </is>
      </c>
      <c r="D12569">
        <f>HYPERLINK("https://www.youtube.com/watch?v=UmsbTXtfXBg&amp;t=6120s", "Go to time")</f>
        <v/>
      </c>
    </row>
    <row r="12570">
      <c r="A12570">
        <f>HYPERLINK("https://www.youtube.com/watch?v=UmsbTXtfXBg", "Video")</f>
        <v/>
      </c>
      <c r="B12570" t="inlineStr">
        <is>
          <t>102:37</t>
        </is>
      </c>
      <c r="C12570" t="inlineStr">
        <is>
          <t>gun it's actually caused a bit of a</t>
        </is>
      </c>
      <c r="D12570">
        <f>HYPERLINK("https://www.youtube.com/watch?v=UmsbTXtfXBg&amp;t=6157s", "Go to time")</f>
        <v/>
      </c>
    </row>
    <row r="12571">
      <c r="A12571">
        <f>HYPERLINK("https://www.youtube.com/watch?v=UmsbTXtfXBg", "Video")</f>
        <v/>
      </c>
      <c r="B12571" t="inlineStr">
        <is>
          <t>125:19</t>
        </is>
      </c>
      <c r="C12571" t="inlineStr">
        <is>
          <t>it's it's routine I'm just a little bit</t>
        </is>
      </c>
      <c r="D12571">
        <f>HYPERLINK("https://www.youtube.com/watch?v=UmsbTXtfXBg&amp;t=7519s", "Go to time")</f>
        <v/>
      </c>
    </row>
    <row r="12572">
      <c r="A12572">
        <f>HYPERLINK("https://www.youtube.com/watch?v=UmsbTXtfXBg", "Video")</f>
        <v/>
      </c>
      <c r="B12572" t="inlineStr">
        <is>
          <t>153:53</t>
        </is>
      </c>
      <c r="C12572" t="inlineStr">
        <is>
          <t>have passed out a little bit but these</t>
        </is>
      </c>
      <c r="D12572">
        <f>HYPERLINK("https://www.youtube.com/watch?v=UmsbTXtfXBg&amp;t=9233s", "Go to time")</f>
        <v/>
      </c>
    </row>
    <row r="12573">
      <c r="A12573">
        <f>HYPERLINK("https://www.youtube.com/watch?v=UmsbTXtfXBg", "Video")</f>
        <v/>
      </c>
      <c r="B12573" t="inlineStr">
        <is>
          <t>154:15</t>
        </is>
      </c>
      <c r="C12573" t="inlineStr">
        <is>
          <t>go a little bit over</t>
        </is>
      </c>
      <c r="D12573">
        <f>HYPERLINK("https://www.youtube.com/watch?v=UmsbTXtfXBg&amp;t=9255s", "Go to time")</f>
        <v/>
      </c>
    </row>
    <row r="12574">
      <c r="A12574">
        <f>HYPERLINK("https://www.youtube.com/watch?v=UmsbTXtfXBg", "Video")</f>
        <v/>
      </c>
      <c r="B12574" t="inlineStr">
        <is>
          <t>159:53</t>
        </is>
      </c>
      <c r="C12574" t="inlineStr">
        <is>
          <t>meeting somebody but I'm a little bit</t>
        </is>
      </c>
      <c r="D12574">
        <f>HYPERLINK("https://www.youtube.com/watch?v=UmsbTXtfXBg&amp;t=9593s", "Go to time")</f>
        <v/>
      </c>
    </row>
    <row r="12575">
      <c r="A12575">
        <f>HYPERLINK("https://www.youtube.com/watch?v=UmsbTXtfXBg", "Video")</f>
        <v/>
      </c>
      <c r="B12575" t="inlineStr">
        <is>
          <t>231:12</t>
        </is>
      </c>
      <c r="C12575" t="inlineStr">
        <is>
          <t>opening hey my name is Tabitha I'm</t>
        </is>
      </c>
      <c r="D12575">
        <f>HYPERLINK("https://www.youtube.com/watch?v=UmsbTXtfXBg&amp;t=13872s", "Go to time")</f>
        <v/>
      </c>
    </row>
    <row r="12576">
      <c r="A12576">
        <f>HYPERLINK("https://www.youtube.com/watch?v=UmsbTXtfXBg", "Video")</f>
        <v/>
      </c>
      <c r="B12576" t="inlineStr">
        <is>
          <t>242:46</t>
        </is>
      </c>
      <c r="C12576" t="inlineStr">
        <is>
          <t>you yes a little bit yes I think the</t>
        </is>
      </c>
      <c r="D12576">
        <f>HYPERLINK("https://www.youtube.com/watch?v=UmsbTXtfXBg&amp;t=14566s", "Go to time")</f>
        <v/>
      </c>
    </row>
    <row r="12577">
      <c r="A12577">
        <f>HYPERLINK("https://www.youtube.com/watch?v=UmsbTXtfXBg", "Video")</f>
        <v/>
      </c>
      <c r="B12577" t="inlineStr">
        <is>
          <t>253:38</t>
        </is>
      </c>
      <c r="C12577" t="inlineStr">
        <is>
          <t>I bit my lip at lunch</t>
        </is>
      </c>
      <c r="D12577">
        <f>HYPERLINK("https://www.youtube.com/watch?v=UmsbTXtfXBg&amp;t=15218s", "Go to time")</f>
        <v/>
      </c>
    </row>
    <row r="12578">
      <c r="A12578">
        <f>HYPERLINK("https://www.youtube.com/watch?v=UmsbTXtfXBg", "Video")</f>
        <v/>
      </c>
      <c r="B12578" t="inlineStr">
        <is>
          <t>259:07</t>
        </is>
      </c>
      <c r="C12578" t="inlineStr">
        <is>
          <t>bit just ignore sooner or later she'll</t>
        </is>
      </c>
      <c r="D12578">
        <f>HYPERLINK("https://www.youtube.com/watch?v=UmsbTXtfXBg&amp;t=15547s", "Go to time")</f>
        <v/>
      </c>
    </row>
    <row r="12579">
      <c r="A12579">
        <f>HYPERLINK("https://www.youtube.com/watch?v=ZhT6BeHNmvo", "Video")</f>
        <v/>
      </c>
      <c r="B12579" t="inlineStr">
        <is>
          <t>2:24</t>
        </is>
      </c>
      <c r="C12579" t="inlineStr">
        <is>
          <t>was salty yes a little bit how you doing</t>
        </is>
      </c>
      <c r="D12579">
        <f>HYPERLINK("https://www.youtube.com/watch?v=ZhT6BeHNmvo&amp;t=144s", "Go to time")</f>
        <v/>
      </c>
    </row>
    <row r="12580">
      <c r="A12580">
        <f>HYPERLINK("https://www.youtube.com/watch?v=zBZjDqUsrk0", "Video")</f>
        <v/>
      </c>
      <c r="B12580" t="inlineStr">
        <is>
          <t>7:52</t>
        </is>
      </c>
      <c r="C12580" t="inlineStr">
        <is>
          <t>forest is bitten by a radioactive bear</t>
        </is>
      </c>
      <c r="D12580">
        <f>HYPERLINK("https://www.youtube.com/watch?v=zBZjDqUsrk0&amp;t=472s", "Go to time")</f>
        <v/>
      </c>
    </row>
    <row r="12581">
      <c r="A12581">
        <f>HYPERLINK("https://www.youtube.com/watch?v=2_1Y5FFcM6U", "Video")</f>
        <v/>
      </c>
      <c r="B12581" t="inlineStr">
        <is>
          <t>5:32</t>
        </is>
      </c>
      <c r="C12581" t="inlineStr">
        <is>
          <t>you're bit by a spider but check that</t>
        </is>
      </c>
      <c r="D12581">
        <f>HYPERLINK("https://www.youtube.com/watch?v=2_1Y5FFcM6U&amp;t=332s", "Go to time")</f>
        <v/>
      </c>
    </row>
    <row r="12582">
      <c r="A12582">
        <f>HYPERLINK("https://www.youtube.com/watch?v=c_NeL9Ng2Mg", "Video")</f>
        <v/>
      </c>
      <c r="B12582" t="inlineStr">
        <is>
          <t>7:45</t>
        </is>
      </c>
      <c r="C12582" t="inlineStr">
        <is>
          <t>And you can hug it out, bitch.</t>
        </is>
      </c>
      <c r="D12582">
        <f>HYPERLINK("https://www.youtube.com/watch?v=c_NeL9Ng2Mg&amp;t=465s", "Go to time")</f>
        <v/>
      </c>
    </row>
    <row r="12583">
      <c r="A12583">
        <f>HYPERLINK("https://www.youtube.com/watch?v=c_NeL9Ng2Mg", "Video")</f>
        <v/>
      </c>
      <c r="B12583" t="inlineStr">
        <is>
          <t>7:56</t>
        </is>
      </c>
      <c r="C12583" t="inlineStr">
        <is>
          <t>"Hug it out, bitch."</t>
        </is>
      </c>
      <c r="D12583">
        <f>HYPERLINK("https://www.youtube.com/watch?v=c_NeL9Ng2Mg&amp;t=476s", "Go to time")</f>
        <v/>
      </c>
    </row>
    <row r="12584">
      <c r="A12584">
        <f>HYPERLINK("https://www.youtube.com/watch?v=c_NeL9Ng2Mg", "Video")</f>
        <v/>
      </c>
      <c r="B12584" t="inlineStr">
        <is>
          <t>8:17</t>
        </is>
      </c>
      <c r="C12584" t="inlineStr">
        <is>
          <t>So I felt I needed to punish him
just a little bit more.</t>
        </is>
      </c>
      <c r="D12584">
        <f>HYPERLINK("https://www.youtube.com/watch?v=c_NeL9Ng2Mg&amp;t=497s", "Go to time")</f>
        <v/>
      </c>
    </row>
    <row r="12585">
      <c r="A12585">
        <f>HYPERLINK("https://www.youtube.com/watch?v=wYIOhQeaDQI", "Video")</f>
        <v/>
      </c>
      <c r="B12585" t="inlineStr">
        <is>
          <t>13:53</t>
        </is>
      </c>
      <c r="C12585" t="inlineStr">
        <is>
          <t>bit just ignore sooner or later she'll</t>
        </is>
      </c>
      <c r="D12585">
        <f>HYPERLINK("https://www.youtube.com/watch?v=wYIOhQeaDQI&amp;t=833s", "Go to time")</f>
        <v/>
      </c>
    </row>
    <row r="12586">
      <c r="A12586">
        <f>HYPERLINK("https://www.youtube.com/watch?v=h3rs9zJ66i8", "Video")</f>
        <v/>
      </c>
      <c r="B12586" t="inlineStr">
        <is>
          <t>1:58</t>
        </is>
      </c>
      <c r="C12586" t="inlineStr">
        <is>
          <t>debit column is really tall</t>
        </is>
      </c>
      <c r="D12586">
        <f>HYPERLINK("https://www.youtube.com/watch?v=h3rs9zJ66i8&amp;t=118s", "Go to time")</f>
        <v/>
      </c>
    </row>
    <row r="12587">
      <c r="A12587">
        <f>HYPERLINK("https://www.youtube.com/watch?v=4Gm5jNvVSUc", "Video")</f>
        <v/>
      </c>
      <c r="B12587" t="inlineStr">
        <is>
          <t>0:10</t>
        </is>
      </c>
      <c r="C12587" t="inlineStr">
        <is>
          <t>We need to get percolating
a little bit.</t>
        </is>
      </c>
      <c r="D12587">
        <f>HYPERLINK("https://www.youtube.com/watch?v=4Gm5jNvVSUc&amp;t=10s", "Go to time")</f>
        <v/>
      </c>
    </row>
    <row r="12588">
      <c r="A12588">
        <f>HYPERLINK("https://www.youtube.com/watch?v=z8atGvZGEeo", "Video")</f>
        <v/>
      </c>
      <c r="B12588" t="inlineStr">
        <is>
          <t>3:20</t>
        </is>
      </c>
      <c r="C12588" t="inlineStr">
        <is>
          <t>i think it'll take you a little bit</t>
        </is>
      </c>
      <c r="D12588">
        <f>HYPERLINK("https://www.youtube.com/watch?v=z8atGvZGEeo&amp;t=200s", "Go to time")</f>
        <v/>
      </c>
    </row>
    <row r="12589">
      <c r="A12589">
        <f>HYPERLINK("https://www.youtube.com/watch?v=z8atGvZGEeo", "Video")</f>
        <v/>
      </c>
      <c r="B12589" t="inlineStr">
        <is>
          <t>8:41</t>
        </is>
      </c>
      <c r="C12589" t="inlineStr">
        <is>
          <t>rabbit hole goes</t>
        </is>
      </c>
      <c r="D12589">
        <f>HYPERLINK("https://www.youtube.com/watch?v=z8atGvZGEeo&amp;t=521s", "Go to time")</f>
        <v/>
      </c>
    </row>
    <row r="12590">
      <c r="A12590">
        <f>HYPERLINK("https://www.youtube.com/watch?v=sf1z-m4DJ8A", "Video")</f>
        <v/>
      </c>
      <c r="B12590" t="inlineStr">
        <is>
          <t>37:36</t>
        </is>
      </c>
      <c r="C12590" t="inlineStr">
        <is>
          <t>oh oh man this bit will never</t>
        </is>
      </c>
      <c r="D12590">
        <f>HYPERLINK("https://www.youtube.com/watch?v=sf1z-m4DJ8A&amp;t=2256s", "Go to time")</f>
        <v/>
      </c>
    </row>
    <row r="12591">
      <c r="A12591">
        <f>HYPERLINK("https://www.youtube.com/watch?v=sf1z-m4DJ8A", "Video")</f>
        <v/>
      </c>
      <c r="B12591" t="inlineStr">
        <is>
          <t>54:48</t>
        </is>
      </c>
      <c r="C12591" t="inlineStr">
        <is>
          <t>describe it brown shiny painful bite</t>
        </is>
      </c>
      <c r="D12591">
        <f>HYPERLINK("https://www.youtube.com/watch?v=sf1z-m4DJ8A&amp;t=3288s", "Go to time")</f>
        <v/>
      </c>
    </row>
    <row r="12592">
      <c r="A12592">
        <f>HYPERLINK("https://www.youtube.com/watch?v=sf1z-m4DJ8A", "Video")</f>
        <v/>
      </c>
      <c r="B12592" t="inlineStr">
        <is>
          <t>54:59</t>
        </is>
      </c>
      <c r="C12592" t="inlineStr">
        <is>
          <t>bite could be a bat</t>
        </is>
      </c>
      <c r="D12592">
        <f>HYPERLINK("https://www.youtube.com/watch?v=sf1z-m4DJ8A&amp;t=3299s", "Go to time")</f>
        <v/>
      </c>
    </row>
    <row r="12593">
      <c r="A12593">
        <f>HYPERLINK("https://www.youtube.com/watch?v=sf1z-m4DJ8A", "Video")</f>
        <v/>
      </c>
      <c r="B12593" t="inlineStr">
        <is>
          <t>55:07</t>
        </is>
      </c>
      <c r="C12593" t="inlineStr">
        <is>
          <t>bite could be a warble describe its mood</t>
        </is>
      </c>
      <c r="D12593">
        <f>HYPERLINK("https://www.youtube.com/watch?v=sf1z-m4DJ8A&amp;t=3307s", "Go to time")</f>
        <v/>
      </c>
    </row>
    <row r="12594">
      <c r="A12594">
        <f>HYPERLINK("https://www.youtube.com/watch?v=sf1z-m4DJ8A", "Video")</f>
        <v/>
      </c>
      <c r="B12594" t="inlineStr">
        <is>
          <t>55:12</t>
        </is>
      </c>
      <c r="C12594" t="inlineStr">
        <is>
          <t>seems but after I bit you did it run</t>
        </is>
      </c>
      <c r="D12594">
        <f>HYPERLINK("https://www.youtube.com/watch?v=sf1z-m4DJ8A&amp;t=3312s", "Go to time")</f>
        <v/>
      </c>
    </row>
    <row r="12595">
      <c r="A12595">
        <f>HYPERLINK("https://www.youtube.com/watch?v=XhYshvR4hKY", "Video")</f>
        <v/>
      </c>
      <c r="B12595" t="inlineStr">
        <is>
          <t>2:08</t>
        </is>
      </c>
      <c r="C12595" t="inlineStr">
        <is>
          <t>bit since</t>
        </is>
      </c>
      <c r="D12595">
        <f>HYPERLINK("https://www.youtube.com/watch?v=XhYshvR4hKY&amp;t=128s", "Go to time")</f>
        <v/>
      </c>
    </row>
    <row r="12596">
      <c r="A12596">
        <f>HYPERLINK("https://www.youtube.com/watch?v=N4Fh15kL7r8", "Video")</f>
        <v/>
      </c>
      <c r="B12596" t="inlineStr">
        <is>
          <t>10:59</t>
        </is>
      </c>
      <c r="C12596" t="inlineStr">
        <is>
          <t>exhibit</t>
        </is>
      </c>
      <c r="D12596">
        <f>HYPERLINK("https://www.youtube.com/watch?v=N4Fh15kL7r8&amp;t=659s", "Go to time")</f>
        <v/>
      </c>
    </row>
    <row r="12597">
      <c r="A12597">
        <f>HYPERLINK("https://www.youtube.com/watch?v=Ny_j5VBIkQ0", "Video")</f>
        <v/>
      </c>
      <c r="B12597" t="inlineStr">
        <is>
          <t>17:47</t>
        </is>
      </c>
      <c r="C12597" t="inlineStr">
        <is>
          <t>bit louder I'm hard of hearing he's hard</t>
        </is>
      </c>
      <c r="D12597">
        <f>HYPERLINK("https://www.youtube.com/watch?v=Ny_j5VBIkQ0&amp;t=1067s", "Go to time")</f>
        <v/>
      </c>
    </row>
    <row r="12598">
      <c r="A12598">
        <f>HYPERLINK("https://www.youtube.com/watch?v=Db1NdYbQhAA", "Video")</f>
        <v/>
      </c>
      <c r="B12598" t="inlineStr">
        <is>
          <t>10:08</t>
        </is>
      </c>
      <c r="C12598" t="inlineStr">
        <is>
          <t>a little bit anybody have any ideas what</t>
        </is>
      </c>
      <c r="D12598">
        <f>HYPERLINK("https://www.youtube.com/watch?v=Db1NdYbQhAA&amp;t=608s", "Go to time")</f>
        <v/>
      </c>
    </row>
    <row r="12599">
      <c r="A12599">
        <f>HYPERLINK("https://www.youtube.com/watch?v=Db1NdYbQhAA", "Video")</f>
        <v/>
      </c>
      <c r="B12599" t="inlineStr">
        <is>
          <t>12:04</t>
        </is>
      </c>
      <c r="C12599" t="inlineStr">
        <is>
          <t>it's got a little bit of a zing to it</t>
        </is>
      </c>
      <c r="D12599">
        <f>HYPERLINK("https://www.youtube.com/watch?v=Db1NdYbQhAA&amp;t=724s", "Go to time")</f>
        <v/>
      </c>
    </row>
    <row r="12600">
      <c r="A12600">
        <f>HYPERLINK("https://www.youtube.com/watch?v=Db1NdYbQhAA", "Video")</f>
        <v/>
      </c>
      <c r="B12600" t="inlineStr">
        <is>
          <t>12:40</t>
        </is>
      </c>
      <c r="C12600" t="inlineStr">
        <is>
          <t>bit by a spider but then it's covered by</t>
        </is>
      </c>
      <c r="D12600">
        <f>HYPERLINK("https://www.youtube.com/watch?v=Db1NdYbQhAA&amp;t=760s", "Go to time")</f>
        <v/>
      </c>
    </row>
    <row r="12601">
      <c r="A12601">
        <f>HYPERLINK("https://www.youtube.com/watch?v=xdqHWQXsxB4", "Video")</f>
        <v/>
      </c>
      <c r="B12601" t="inlineStr">
        <is>
          <t>5:32</t>
        </is>
      </c>
      <c r="C12601" t="inlineStr">
        <is>
          <t>little close a little bit much hmm</t>
        </is>
      </c>
      <c r="D12601">
        <f>HYPERLINK("https://www.youtube.com/watch?v=xdqHWQXsxB4&amp;t=332s", "Go to time")</f>
        <v/>
      </c>
    </row>
    <row r="12602">
      <c r="A12602">
        <f>HYPERLINK("https://www.youtube.com/watch?v=xdqHWQXsxB4", "Video")</f>
        <v/>
      </c>
      <c r="B12602" t="inlineStr">
        <is>
          <t>8:07</t>
        </is>
      </c>
      <c r="C12602" t="inlineStr">
        <is>
          <t>I guess Jim and I have had a little bit</t>
        </is>
      </c>
      <c r="D12602">
        <f>HYPERLINK("https://www.youtube.com/watch?v=xdqHWQXsxB4&amp;t=487s", "Go to time")</f>
        <v/>
      </c>
    </row>
    <row r="12603">
      <c r="A12603">
        <f>HYPERLINK("https://www.youtube.com/watch?v=xdqHWQXsxB4", "Video")</f>
        <v/>
      </c>
      <c r="B12603" t="inlineStr">
        <is>
          <t>12:36</t>
        </is>
      </c>
      <c r="C12603" t="inlineStr">
        <is>
          <t>hey what if we leave tonight grab a bite</t>
        </is>
      </c>
      <c r="D12603">
        <f>HYPERLINK("https://www.youtube.com/watch?v=xdqHWQXsxB4&amp;t=756s", "Go to time")</f>
        <v/>
      </c>
    </row>
    <row r="12604">
      <c r="A12604">
        <f>HYPERLINK("https://www.youtube.com/watch?v=xdqHWQXsxB4", "Video")</f>
        <v/>
      </c>
      <c r="B12604" t="inlineStr">
        <is>
          <t>12:43</t>
        </is>
      </c>
      <c r="C12604" t="inlineStr">
        <is>
          <t>bit</t>
        </is>
      </c>
      <c r="D12604">
        <f>HYPERLINK("https://www.youtube.com/watch?v=xdqHWQXsxB4&amp;t=763s", "Go to time")</f>
        <v/>
      </c>
    </row>
    <row r="12605">
      <c r="A12605">
        <f>HYPERLINK("https://www.youtube.com/watch?v=inhMlyngkzo", "Video")</f>
        <v/>
      </c>
      <c r="B12605" t="inlineStr">
        <is>
          <t>16:55</t>
        </is>
      </c>
      <c r="C12605" t="inlineStr">
        <is>
          <t>little bit louder I'm hard of hearing</t>
        </is>
      </c>
      <c r="D12605">
        <f>HYPERLINK("https://www.youtube.com/watch?v=inhMlyngkzo&amp;t=1015s", "Go to time")</f>
        <v/>
      </c>
    </row>
    <row r="12606">
      <c r="A12606">
        <f>HYPERLINK("https://www.youtube.com/watch?v=inhMlyngkzo", "Video")</f>
        <v/>
      </c>
      <c r="B12606" t="inlineStr">
        <is>
          <t>21:10</t>
        </is>
      </c>
      <c r="C12606" t="inlineStr">
        <is>
          <t>we have a little bit of a problem know</t>
        </is>
      </c>
      <c r="D12606">
        <f>HYPERLINK("https://www.youtube.com/watch?v=inhMlyngkzo&amp;t=1270s", "Go to time")</f>
        <v/>
      </c>
    </row>
    <row r="12607">
      <c r="A12607">
        <f>HYPERLINK("https://www.youtube.com/watch?v=zkTDQzlLLO4", "Video")</f>
        <v/>
      </c>
      <c r="B12607" t="inlineStr">
        <is>
          <t>12:27</t>
        </is>
      </c>
      <c r="C12607" t="inlineStr">
        <is>
          <t>it's a little bit of uh mozzarella right</t>
        </is>
      </c>
      <c r="D12607">
        <f>HYPERLINK("https://www.youtube.com/watch?v=zkTDQzlLLO4&amp;t=747s", "Go to time")</f>
        <v/>
      </c>
    </row>
    <row r="12608">
      <c r="A12608">
        <f>HYPERLINK("https://www.youtube.com/watch?v=NW1m6LLRwaw", "Video")</f>
        <v/>
      </c>
      <c r="B12608" t="inlineStr">
        <is>
          <t>11:03</t>
        </is>
      </c>
      <c r="C12608" t="inlineStr">
        <is>
          <t>we have a little bit of a problem know</t>
        </is>
      </c>
      <c r="D12608">
        <f>HYPERLINK("https://www.youtube.com/watch?v=NW1m6LLRwaw&amp;t=663s", "Go to time")</f>
        <v/>
      </c>
    </row>
    <row r="12609">
      <c r="A12609">
        <f>HYPERLINK("https://www.youtube.com/watch?v=NW1m6LLRwaw", "Video")</f>
        <v/>
      </c>
      <c r="B12609" t="inlineStr">
        <is>
          <t>18:10</t>
        </is>
      </c>
      <c r="C12609" t="inlineStr">
        <is>
          <t>will you lighten up a little bit I'm</t>
        </is>
      </c>
      <c r="D12609">
        <f>HYPERLINK("https://www.youtube.com/watch?v=NW1m6LLRwaw&amp;t=1090s", "Go to time")</f>
        <v/>
      </c>
    </row>
    <row r="12610">
      <c r="A12610">
        <f>HYPERLINK("https://www.youtube.com/watch?v=NW1m6LLRwaw", "Video")</f>
        <v/>
      </c>
      <c r="B12610" t="inlineStr">
        <is>
          <t>19:40</t>
        </is>
      </c>
      <c r="C12610" t="inlineStr">
        <is>
          <t>mean I know I felt it bite me but look</t>
        </is>
      </c>
      <c r="D12610">
        <f>HYPERLINK("https://www.youtube.com/watch?v=NW1m6LLRwaw&amp;t=1180s", "Go to time")</f>
        <v/>
      </c>
    </row>
    <row r="12611">
      <c r="A12611">
        <f>HYPERLINK("https://www.youtube.com/watch?v=NW1m6LLRwaw", "Video")</f>
        <v/>
      </c>
      <c r="B12611" t="inlineStr">
        <is>
          <t>40:03</t>
        </is>
      </c>
      <c r="C12611" t="inlineStr">
        <is>
          <t>bit longer than that really if I can</t>
        </is>
      </c>
      <c r="D12611">
        <f>HYPERLINK("https://www.youtube.com/watch?v=NW1m6LLRwaw&amp;t=2403s", "Go to time")</f>
        <v/>
      </c>
    </row>
    <row r="12612">
      <c r="A12612">
        <f>HYPERLINK("https://www.youtube.com/watch?v=eYdCZSuccTA", "Video")</f>
        <v/>
      </c>
      <c r="B12612" t="inlineStr">
        <is>
          <t>2:22</t>
        </is>
      </c>
      <c r="C12612" t="inlineStr">
        <is>
          <t>you seem a little bit agitated michael</t>
        </is>
      </c>
      <c r="D12612">
        <f>HYPERLINK("https://www.youtube.com/watch?v=eYdCZSuccTA&amp;t=142s", "Go to time")</f>
        <v/>
      </c>
    </row>
    <row r="12613">
      <c r="A12613">
        <f>HYPERLINK("https://www.youtube.com/watch?v=c5nD9mR5bV4", "Video")</f>
        <v/>
      </c>
      <c r="B12613" t="inlineStr">
        <is>
          <t>3:00</t>
        </is>
      </c>
      <c r="C12613" t="inlineStr">
        <is>
          <t>Qua-Quabity.
Quabity ashwoods.</t>
        </is>
      </c>
      <c r="D12613">
        <f>HYPERLINK("https://www.youtube.com/watch?v=c5nD9mR5bV4&amp;t=180s", "Go to time")</f>
        <v/>
      </c>
    </row>
    <row r="12614">
      <c r="A12614">
        <f>HYPERLINK("https://www.youtube.com/watch?v=c5nD9mR5bV4", "Video")</f>
        <v/>
      </c>
      <c r="B12614" t="inlineStr">
        <is>
          <t>9:18</t>
        </is>
      </c>
      <c r="C12614" t="inlineStr">
        <is>
          <t>-Andrea's the, uh, office bitch.</t>
        </is>
      </c>
      <c r="D12614">
        <f>HYPERLINK("https://www.youtube.com/watch?v=c5nD9mR5bV4&amp;t=558s", "Go to time")</f>
        <v/>
      </c>
    </row>
    <row r="12615">
      <c r="A12615">
        <f>HYPERLINK("https://www.youtube.com/watch?v=doSb4GyxyPs", "Video")</f>
        <v/>
      </c>
      <c r="B12615" t="inlineStr">
        <is>
          <t>0:59</t>
        </is>
      </c>
      <c r="C12615" t="inlineStr">
        <is>
          <t>In prison,
you are somebody's bitch.</t>
        </is>
      </c>
      <c r="D12615">
        <f>HYPERLINK("https://www.youtube.com/watch?v=doSb4GyxyPs&amp;t=59s", "Go to time")</f>
        <v/>
      </c>
    </row>
    <row r="12616">
      <c r="A12616">
        <f>HYPERLINK("https://www.youtube.com/watch?v=doSb4GyxyPs", "Video")</f>
        <v/>
      </c>
      <c r="B12616" t="inlineStr">
        <is>
          <t>2:49</t>
        </is>
      </c>
      <c r="C12616" t="inlineStr">
        <is>
          <t>Nobody is nobody's bitch.</t>
        </is>
      </c>
      <c r="D12616">
        <f>HYPERLINK("https://www.youtube.com/watch?v=doSb4GyxyPs&amp;t=169s", "Go to time")</f>
        <v/>
      </c>
    </row>
    <row r="12617">
      <c r="A12617">
        <f>HYPERLINK("https://www.youtube.com/watch?v=pJB1Mz8L5yk", "Video")</f>
        <v/>
      </c>
      <c r="B12617" t="inlineStr">
        <is>
          <t>2:26</t>
        </is>
      </c>
      <c r="C12617" t="inlineStr">
        <is>
          <t>be a little bit of feather and your</t>
        </is>
      </c>
      <c r="D12617">
        <f>HYPERLINK("https://www.youtube.com/watch?v=pJB1Mz8L5yk&amp;t=146s", "Go to time")</f>
        <v/>
      </c>
    </row>
    <row r="12618">
      <c r="A12618">
        <f>HYPERLINK("https://www.youtube.com/watch?v=pJB1Mz8L5yk", "Video")</f>
        <v/>
      </c>
      <c r="B12618" t="inlineStr">
        <is>
          <t>2:28</t>
        </is>
      </c>
      <c r="C12618" t="inlineStr">
        <is>
          <t>nuggets or just a little bit of meat</t>
        </is>
      </c>
      <c r="D12618">
        <f>HYPERLINK("https://www.youtube.com/watch?v=pJB1Mz8L5yk&amp;t=148s", "Go to time")</f>
        <v/>
      </c>
    </row>
    <row r="12619">
      <c r="A12619">
        <f>HYPERLINK("https://www.youtube.com/watch?v=N_kMf5pHUHY", "Video")</f>
        <v/>
      </c>
      <c r="B12619" t="inlineStr">
        <is>
          <t>0:31</t>
        </is>
      </c>
      <c r="C12619" t="inlineStr">
        <is>
          <t>admit you flipped out a little bit</t>
        </is>
      </c>
      <c r="D12619">
        <f>HYPERLINK("https://www.youtube.com/watch?v=N_kMf5pHUHY&amp;t=31s", "Go to time")</f>
        <v/>
      </c>
    </row>
    <row r="12620">
      <c r="A12620">
        <f>HYPERLINK("https://www.youtube.com/watch?v=N_kMf5pHUHY", "Video")</f>
        <v/>
      </c>
      <c r="B12620" t="inlineStr">
        <is>
          <t>3:56</t>
        </is>
      </c>
      <c r="C12620" t="inlineStr">
        <is>
          <t>relaxed and I'll come back in a bit to</t>
        </is>
      </c>
      <c r="D12620">
        <f>HYPERLINK("https://www.youtube.com/watch?v=N_kMf5pHUHY&amp;t=236s", "Go to time")</f>
        <v/>
      </c>
    </row>
    <row r="12621">
      <c r="A12621">
        <f>HYPERLINK("https://www.youtube.com/watch?v=a7RoP1LKMeM", "Video")</f>
        <v/>
      </c>
      <c r="B12621" t="inlineStr">
        <is>
          <t>1:00</t>
        </is>
      </c>
      <c r="C12621" t="inlineStr">
        <is>
          <t>In prison you are somebody's bitch!</t>
        </is>
      </c>
      <c r="D12621">
        <f>HYPERLINK("https://www.youtube.com/watch?v=a7RoP1LKMeM&amp;t=60s", "Go to time")</f>
        <v/>
      </c>
    </row>
    <row r="12622">
      <c r="A12622">
        <f>HYPERLINK("https://www.youtube.com/watch?v=a7RoP1LKMeM", "Video")</f>
        <v/>
      </c>
      <c r="B12622" t="inlineStr">
        <is>
          <t>2:50</t>
        </is>
      </c>
      <c r="C12622" t="inlineStr">
        <is>
          <t>Nobody's, nobody's bitch!  I hope that this scared you!  And from me, Prison Mike, to you.</t>
        </is>
      </c>
      <c r="D12622">
        <f>HYPERLINK("https://www.youtube.com/watch?v=a7RoP1LKMeM&amp;t=170s", "Go to time")</f>
        <v/>
      </c>
    </row>
    <row r="12623">
      <c r="A12623">
        <f>HYPERLINK("https://www.youtube.com/watch?v=_O9UAu12eoA", "Video")</f>
        <v/>
      </c>
      <c r="B12623" t="inlineStr">
        <is>
          <t>7:29</t>
        </is>
      </c>
      <c r="C12623" t="inlineStr">
        <is>
          <t>fell down but after a bit you did it run</t>
        </is>
      </c>
      <c r="D12623">
        <f>HYPERLINK("https://www.youtube.com/watch?v=_O9UAu12eoA&amp;t=449s", "Go to time")</f>
        <v/>
      </c>
    </row>
    <row r="12624">
      <c r="A12624">
        <f>HYPERLINK("https://www.youtube.com/watch?v=_O9UAu12eoA", "Video")</f>
        <v/>
      </c>
      <c r="B12624" t="inlineStr">
        <is>
          <t>8:34</t>
        </is>
      </c>
      <c r="C12624" t="inlineStr">
        <is>
          <t>exhibit my girlfriend and I broke up</t>
        </is>
      </c>
      <c r="D12624">
        <f>HYPERLINK("https://www.youtube.com/watch?v=_O9UAu12eoA&amp;t=514s", "Go to time")</f>
        <v/>
      </c>
    </row>
    <row r="12625">
      <c r="A12625">
        <f>HYPERLINK("https://www.youtube.com/watch?v=W4jUhs4sA8o", "Video")</f>
        <v/>
      </c>
      <c r="B12625" t="inlineStr">
        <is>
          <t>13:53</t>
        </is>
      </c>
      <c r="C12625" t="inlineStr">
        <is>
          <t>around the block a little bit of</t>
        </is>
      </c>
      <c r="D12625">
        <f>HYPERLINK("https://www.youtube.com/watch?v=W4jUhs4sA8o&amp;t=833s", "Go to time")</f>
        <v/>
      </c>
    </row>
    <row r="12626">
      <c r="A12626">
        <f>HYPERLINK("https://www.youtube.com/watch?v=wON9BvL_Lyw", "Video")</f>
        <v/>
      </c>
      <c r="B12626" t="inlineStr">
        <is>
          <t>2:46</t>
        </is>
      </c>
      <c r="C12626" t="inlineStr">
        <is>
          <t>squirrels a nice juicy rabbit</t>
        </is>
      </c>
      <c r="D12626">
        <f>HYPERLINK("https://www.youtube.com/watch?v=wON9BvL_Lyw&amp;t=166s", "Go to time")</f>
        <v/>
      </c>
    </row>
    <row r="12627">
      <c r="A12627">
        <f>HYPERLINK("https://www.youtube.com/watch?v=wON9BvL_Lyw", "Video")</f>
        <v/>
      </c>
      <c r="B12627" t="inlineStr">
        <is>
          <t>3:13</t>
        </is>
      </c>
      <c r="C12627" t="inlineStr">
        <is>
          <t>starting to feel it a little bit</t>
        </is>
      </c>
      <c r="D12627">
        <f>HYPERLINK("https://www.youtube.com/watch?v=wON9BvL_Lyw&amp;t=193s", "Go to time")</f>
        <v/>
      </c>
    </row>
    <row r="12628">
      <c r="A12628">
        <f>HYPERLINK("https://www.youtube.com/watch?v=RvZcNDj_gQM", "Video")</f>
        <v/>
      </c>
      <c r="B12628" t="inlineStr">
        <is>
          <t>0:53</t>
        </is>
      </c>
      <c r="C12628" t="inlineStr">
        <is>
          <t>bit of reason to believe that</t>
        </is>
      </c>
      <c r="D12628">
        <f>HYPERLINK("https://www.youtube.com/watch?v=RvZcNDj_gQM&amp;t=53s", "Go to time")</f>
        <v/>
      </c>
    </row>
    <row r="12629">
      <c r="A12629">
        <f>HYPERLINK("https://www.youtube.com/watch?v=1acLf1MG-hY", "Video")</f>
        <v/>
      </c>
      <c r="B12629" t="inlineStr">
        <is>
          <t>12:25</t>
        </is>
      </c>
      <c r="C12629" t="inlineStr">
        <is>
          <t>count on your discretion indubitably</t>
        </is>
      </c>
      <c r="D12629">
        <f>HYPERLINK("https://www.youtube.com/watch?v=1acLf1MG-hY&amp;t=745s", "Go to time")</f>
        <v/>
      </c>
    </row>
    <row r="12630">
      <c r="A12630">
        <f>HYPERLINK("https://www.youtube.com/watch?v=iz6p2OgH-Z4", "Video")</f>
        <v/>
      </c>
      <c r="B12630" t="inlineStr">
        <is>
          <t>0:49</t>
        </is>
      </c>
      <c r="C12630" t="inlineStr">
        <is>
          <t>no not a wizard a hobbit</t>
        </is>
      </c>
      <c r="D12630">
        <f>HYPERLINK("https://www.youtube.com/watch?v=iz6p2OgH-Z4&amp;t=49s", "Go to time")</f>
        <v/>
      </c>
    </row>
    <row r="12631">
      <c r="A12631">
        <f>HYPERLINK("https://www.youtube.com/watch?v=1baVt4UrP3k", "Video")</f>
        <v/>
      </c>
      <c r="B12631" t="inlineStr">
        <is>
          <t>14:31</t>
        </is>
      </c>
      <c r="C12631" t="inlineStr">
        <is>
          <t>it's it's routine I'm just a little bit</t>
        </is>
      </c>
      <c r="D12631">
        <f>HYPERLINK("https://www.youtube.com/watch?v=1baVt4UrP3k&amp;t=871s", "Go to time")</f>
        <v/>
      </c>
    </row>
    <row r="12632">
      <c r="A12632">
        <f>HYPERLINK("https://www.youtube.com/watch?v=1baVt4UrP3k", "Video")</f>
        <v/>
      </c>
      <c r="B12632" t="inlineStr">
        <is>
          <t>38:30</t>
        </is>
      </c>
      <c r="C12632" t="inlineStr">
        <is>
          <t>gun it's actually caused a bit of a</t>
        </is>
      </c>
      <c r="D12632">
        <f>HYPERLINK("https://www.youtube.com/watch?v=1baVt4UrP3k&amp;t=2310s", "Go to time")</f>
        <v/>
      </c>
    </row>
    <row r="12633">
      <c r="A12633">
        <f>HYPERLINK("https://www.youtube.com/watch?v=-qB691wR8aI", "Video")</f>
        <v/>
      </c>
      <c r="B12633" t="inlineStr">
        <is>
          <t>3:35</t>
        </is>
      </c>
      <c r="C12633" t="inlineStr">
        <is>
          <t>web I'm a bit worried I'm losing myself</t>
        </is>
      </c>
      <c r="D12633">
        <f>HYPERLINK("https://www.youtube.com/watch?v=-qB691wR8aI&amp;t=215s", "Go to time")</f>
        <v/>
      </c>
    </row>
    <row r="12634">
      <c r="A12634">
        <f>HYPERLINK("https://www.youtube.com/watch?v=ZTpslX73aXE", "Video")</f>
        <v/>
      </c>
      <c r="B12634" t="inlineStr">
        <is>
          <t>7:18</t>
        </is>
      </c>
      <c r="C12634" t="inlineStr">
        <is>
          <t>bit longer than that really if I can</t>
        </is>
      </c>
      <c r="D12634">
        <f>HYPERLINK("https://www.youtube.com/watch?v=ZTpslX73aXE&amp;t=438s", "Go to time")</f>
        <v/>
      </c>
    </row>
    <row r="12635">
      <c r="A12635">
        <f>HYPERLINK("https://www.youtube.com/watch?v=PaSWCOcVwj8", "Video")</f>
        <v/>
      </c>
      <c r="B12635" t="inlineStr">
        <is>
          <t>0:56</t>
        </is>
      </c>
      <c r="C12635" t="inlineStr">
        <is>
          <t>bit longer than that really if I can</t>
        </is>
      </c>
      <c r="D12635">
        <f>HYPERLINK("https://www.youtube.com/watch?v=PaSWCOcVwj8&amp;t=56s", "Go to time")</f>
        <v/>
      </c>
    </row>
    <row r="12636">
      <c r="A12636">
        <f>HYPERLINK("https://www.youtube.com/watch?v=2_F1O2ShCE4", "Video")</f>
        <v/>
      </c>
      <c r="B12636" t="inlineStr">
        <is>
          <t>2:50</t>
        </is>
      </c>
      <c r="C12636" t="inlineStr">
        <is>
          <t>around a little bit since you made the</t>
        </is>
      </c>
      <c r="D12636">
        <f>HYPERLINK("https://www.youtube.com/watch?v=2_F1O2ShCE4&amp;t=170s", "Go to time")</f>
        <v/>
      </c>
    </row>
    <row r="12637">
      <c r="A12637">
        <f>HYPERLINK("https://www.youtube.com/watch?v=qMKjJNZOqKw", "Video")</f>
        <v/>
      </c>
      <c r="B12637" t="inlineStr">
        <is>
          <t>5:30</t>
        </is>
      </c>
      <c r="C12637" t="inlineStr">
        <is>
          <t>you're still a little bit drunk excuse</t>
        </is>
      </c>
      <c r="D12637">
        <f>HYPERLINK("https://www.youtube.com/watch?v=qMKjJNZOqKw&amp;t=330s", "Go to time")</f>
        <v/>
      </c>
    </row>
    <row r="12638">
      <c r="A12638">
        <f>HYPERLINK("https://www.youtube.com/watch?v=nD4pI_INaJA", "Video")</f>
        <v/>
      </c>
      <c r="B12638" t="inlineStr">
        <is>
          <t>0:33</t>
        </is>
      </c>
      <c r="C12638" t="inlineStr">
        <is>
          <t>make you a tiny bit anxious me not</t>
        </is>
      </c>
      <c r="D12638">
        <f>HYPERLINK("https://www.youtube.com/watch?v=nD4pI_INaJA&amp;t=33s", "Go to time")</f>
        <v/>
      </c>
    </row>
    <row r="12639">
      <c r="A12639">
        <f>HYPERLINK("https://www.youtube.com/watch?v=nD4pI_INaJA", "Video")</f>
        <v/>
      </c>
      <c r="B12639" t="inlineStr">
        <is>
          <t>1:45</t>
        </is>
      </c>
      <c r="C12639" t="inlineStr">
        <is>
          <t>was just a tiny bit different as well</t>
        </is>
      </c>
      <c r="D12639">
        <f>HYPERLINK("https://www.youtube.com/watch?v=nD4pI_INaJA&amp;t=105s", "Go to time")</f>
        <v/>
      </c>
    </row>
    <row r="12640">
      <c r="A12640">
        <f>HYPERLINK("https://www.youtube.com/watch?v=PeqbzOZhccI", "Video")</f>
        <v/>
      </c>
      <c r="B12640" t="inlineStr">
        <is>
          <t>6:24</t>
        </is>
      </c>
      <c r="C12640" t="inlineStr">
        <is>
          <t>having a limited a little bit louder i'm</t>
        </is>
      </c>
      <c r="D12640">
        <f>HYPERLINK("https://www.youtube.com/watch?v=PeqbzOZhccI&amp;t=384s", "Go to time")</f>
        <v/>
      </c>
    </row>
    <row r="12641">
      <c r="A12641">
        <f>HYPERLINK("https://www.youtube.com/watch?v=IBJLHdfEMWk", "Video")</f>
        <v/>
      </c>
      <c r="B12641" t="inlineStr">
        <is>
          <t>0:30</t>
        </is>
      </c>
      <c r="C12641" t="inlineStr">
        <is>
          <t>who cares if we sell a little bit less</t>
        </is>
      </c>
      <c r="D12641">
        <f>HYPERLINK("https://www.youtube.com/watch?v=IBJLHdfEMWk&amp;t=30s", "Go to time")</f>
        <v/>
      </c>
    </row>
    <row r="12642">
      <c r="A12642">
        <f>HYPERLINK("https://www.youtube.com/watch?v=IBJLHdfEMWk", "Video")</f>
        <v/>
      </c>
      <c r="B12642" t="inlineStr">
        <is>
          <t>6:27</t>
        </is>
      </c>
      <c r="C12642" t="inlineStr">
        <is>
          <t>move over a little bit</t>
        </is>
      </c>
      <c r="D12642">
        <f>HYPERLINK("https://www.youtube.com/watch?v=IBJLHdfEMWk&amp;t=387s", "Go to time")</f>
        <v/>
      </c>
    </row>
    <row r="12643">
      <c r="A12643">
        <f>HYPERLINK("https://www.youtube.com/watch?v=0etSyLx6rtE", "Video")</f>
        <v/>
      </c>
      <c r="B12643" t="inlineStr">
        <is>
          <t>1:21</t>
        </is>
      </c>
      <c r="C12643" t="inlineStr">
        <is>
          <t>bite her head off</t>
        </is>
      </c>
      <c r="D12643">
        <f>HYPERLINK("https://www.youtube.com/watch?v=0etSyLx6rtE&amp;t=81s", "Go to time")</f>
        <v/>
      </c>
    </row>
    <row r="12644">
      <c r="A12644">
        <f>HYPERLINK("https://www.youtube.com/watch?v=oWTsz8Yit64", "Video")</f>
        <v/>
      </c>
      <c r="B12644" t="inlineStr">
        <is>
          <t>1:31</t>
        </is>
      </c>
      <c r="C12644" t="inlineStr">
        <is>
          <t>little bit</t>
        </is>
      </c>
      <c r="D12644">
        <f>HYPERLINK("https://www.youtube.com/watch?v=oWTsz8Yit64&amp;t=91s", "Go to time")</f>
        <v/>
      </c>
    </row>
    <row r="12645">
      <c r="A12645">
        <f>HYPERLINK("https://www.youtube.com/watch?v=DtcUaVuvZgo", "Video")</f>
        <v/>
      </c>
      <c r="B12645" t="inlineStr">
        <is>
          <t>2:48</t>
        </is>
      </c>
      <c r="C12645" t="inlineStr">
        <is>
          <t>mean I know I felt it bite me but look</t>
        </is>
      </c>
      <c r="D12645">
        <f>HYPERLINK("https://www.youtube.com/watch?v=DtcUaVuvZgo&amp;t=168s", "Go to time")</f>
        <v/>
      </c>
    </row>
    <row r="12646">
      <c r="A12646">
        <f>HYPERLINK("https://www.youtube.com/watch?v=DtcUaVuvZgo", "Video")</f>
        <v/>
      </c>
      <c r="B12646" t="inlineStr">
        <is>
          <t>12:48</t>
        </is>
      </c>
      <c r="C12646" t="inlineStr">
        <is>
          <t>bit longer than that really if I can</t>
        </is>
      </c>
      <c r="D12646">
        <f>HYPERLINK("https://www.youtube.com/watch?v=DtcUaVuvZgo&amp;t=768s", "Go to time")</f>
        <v/>
      </c>
    </row>
    <row r="12647">
      <c r="A12647">
        <f>HYPERLINK("https://www.youtube.com/watch?v=q7QK4c7w8b8", "Video")</f>
        <v/>
      </c>
      <c r="B12647" t="inlineStr">
        <is>
          <t>4:38</t>
        </is>
      </c>
      <c r="C12647" t="inlineStr">
        <is>
          <t>the pizza 6 inches his way,
and he happens to be biting it.</t>
        </is>
      </c>
      <c r="D12647">
        <f>HYPERLINK("https://www.youtube.com/watch?v=q7QK4c7w8b8&amp;t=278s", "Go to time")</f>
        <v/>
      </c>
    </row>
    <row r="12648">
      <c r="A12648">
        <f>HYPERLINK("https://www.youtube.com/watch?v=i73KduY17sI", "Video")</f>
        <v/>
      </c>
      <c r="B12648" t="inlineStr">
        <is>
          <t>4:23</t>
        </is>
      </c>
      <c r="C12648" t="inlineStr">
        <is>
          <t>Is that the cat
that bit Meredith?</t>
        </is>
      </c>
      <c r="D12648">
        <f>HYPERLINK("https://www.youtube.com/watch?v=i73KduY17sI&amp;t=263s", "Go to time")</f>
        <v/>
      </c>
    </row>
    <row r="12649">
      <c r="A12649">
        <f>HYPERLINK("https://www.youtube.com/watch?v=SACB-u41x0M", "Video")</f>
        <v/>
      </c>
      <c r="B12649" t="inlineStr">
        <is>
          <t>0:34</t>
        </is>
      </c>
      <c r="C12649" t="inlineStr">
        <is>
          <t>and a little bit of fat and salt</t>
        </is>
      </c>
      <c r="D12649">
        <f>HYPERLINK("https://www.youtube.com/watch?v=SACB-u41x0M&amp;t=34s", "Go to time")</f>
        <v/>
      </c>
    </row>
    <row r="12650">
      <c r="A12650">
        <f>HYPERLINK("https://www.youtube.com/watch?v=Gj1AvyHqPjQ", "Video")</f>
        <v/>
      </c>
      <c r="B12650" t="inlineStr">
        <is>
          <t>0:33</t>
        </is>
      </c>
      <c r="C12650" t="inlineStr">
        <is>
          <t>pillow once and I got bit</t>
        </is>
      </c>
      <c r="D12650">
        <f>HYPERLINK("https://www.youtube.com/watch?v=Gj1AvyHqPjQ&amp;t=33s", "Go to time")</f>
        <v/>
      </c>
    </row>
    <row r="12651">
      <c r="A12651">
        <f>HYPERLINK("https://www.youtube.com/watch?v=a-ZRAxg-V-I", "Video")</f>
        <v/>
      </c>
      <c r="B12651" t="inlineStr">
        <is>
          <t>15:27</t>
        </is>
      </c>
      <c r="C12651" t="inlineStr">
        <is>
          <t>one's falling asleep a little bit are</t>
        </is>
      </c>
      <c r="D12651">
        <f>HYPERLINK("https://www.youtube.com/watch?v=a-ZRAxg-V-I&amp;t=927s", "Go to time")</f>
        <v/>
      </c>
    </row>
    <row r="12652">
      <c r="A12652">
        <f>HYPERLINK("https://www.youtube.com/watch?v=sOiFhR5IP8k", "Video")</f>
        <v/>
      </c>
      <c r="B12652" t="inlineStr">
        <is>
          <t>1:21</t>
        </is>
      </c>
      <c r="C12652" t="inlineStr">
        <is>
          <t>it's got a little bit of a zing to it</t>
        </is>
      </c>
      <c r="D12652">
        <f>HYPERLINK("https://www.youtube.com/watch?v=sOiFhR5IP8k&amp;t=81s", "Go to time")</f>
        <v/>
      </c>
    </row>
    <row r="12653">
      <c r="A12653">
        <f>HYPERLINK("https://www.youtube.com/watch?v=sOiFhR5IP8k", "Video")</f>
        <v/>
      </c>
      <c r="B12653" t="inlineStr">
        <is>
          <t>1:56</t>
        </is>
      </c>
      <c r="C12653" t="inlineStr">
        <is>
          <t>you're bit by a spider but check that</t>
        </is>
      </c>
      <c r="D12653">
        <f>HYPERLINK("https://www.youtube.com/watch?v=sOiFhR5IP8k&amp;t=116s", "Go to time")</f>
        <v/>
      </c>
    </row>
    <row r="12654">
      <c r="A12654">
        <f>HYPERLINK("https://www.youtube.com/watch?v=fH2eWou37jw", "Video")</f>
        <v/>
      </c>
      <c r="B12654" t="inlineStr">
        <is>
          <t>6:26</t>
        </is>
      </c>
      <c r="C12654" t="inlineStr">
        <is>
          <t>you up hey hey hey a little bit of left</t>
        </is>
      </c>
      <c r="D12654">
        <f>HYPERLINK("https://www.youtube.com/watch?v=fH2eWou37jw&amp;t=386s", "Go to time")</f>
        <v/>
      </c>
    </row>
    <row r="12655">
      <c r="A12655">
        <f>HYPERLINK("https://www.youtube.com/watch?v=b7s-yuluVaU", "Video")</f>
        <v/>
      </c>
      <c r="B12655" t="inlineStr">
        <is>
          <t>6:21</t>
        </is>
      </c>
      <c r="C12655" t="inlineStr">
        <is>
          <t>I think it'll take you a little bit</t>
        </is>
      </c>
      <c r="D12655">
        <f>HYPERLINK("https://www.youtube.com/watch?v=b7s-yuluVaU&amp;t=381s", "Go to time")</f>
        <v/>
      </c>
    </row>
    <row r="12656">
      <c r="A12656">
        <f>HYPERLINK("https://www.youtube.com/watch?v=tpQclchqq2A", "Video")</f>
        <v/>
      </c>
      <c r="B12656" t="inlineStr">
        <is>
          <t>1:02</t>
        </is>
      </c>
      <c r="C12656" t="inlineStr">
        <is>
          <t>bit early and hit some of my favorite</t>
        </is>
      </c>
      <c r="D12656">
        <f>HYPERLINK("https://www.youtube.com/watch?v=tpQclchqq2A&amp;t=62s", "Go to time")</f>
        <v/>
      </c>
    </row>
    <row r="12657">
      <c r="A12657">
        <f>HYPERLINK("https://www.youtube.com/watch?v=32zzZE658ec", "Video")</f>
        <v/>
      </c>
      <c r="B12657" t="inlineStr">
        <is>
          <t>5:18</t>
        </is>
      </c>
      <c r="C12657" t="inlineStr">
        <is>
          <t>-You're just gonna have to
speak up a little bit louder</t>
        </is>
      </c>
      <c r="D12657">
        <f>HYPERLINK("https://www.youtube.com/watch?v=32zzZE658ec&amp;t=318s", "Go to time")</f>
        <v/>
      </c>
    </row>
    <row r="12658">
      <c r="A12658">
        <f>HYPERLINK("https://www.youtube.com/watch?v=l1TufITFdgk", "Video")</f>
        <v/>
      </c>
      <c r="B12658" t="inlineStr">
        <is>
          <t>3:06</t>
        </is>
      </c>
      <c r="C12658" t="inlineStr">
        <is>
          <t>i was just a teensy bit high</t>
        </is>
      </c>
      <c r="D12658">
        <f>HYPERLINK("https://www.youtube.com/watch?v=l1TufITFdgk&amp;t=186s", "Go to time")</f>
        <v/>
      </c>
    </row>
    <row r="12659">
      <c r="A12659">
        <f>HYPERLINK("https://www.youtube.com/watch?v=xUGjbYzd-0M", "Video")</f>
        <v/>
      </c>
      <c r="B12659" t="inlineStr">
        <is>
          <t>8:21</t>
        </is>
      </c>
      <c r="C12659" t="inlineStr">
        <is>
          <t>having a limited a little bit louder I'm</t>
        </is>
      </c>
      <c r="D12659">
        <f>HYPERLINK("https://www.youtube.com/watch?v=xUGjbYzd-0M&amp;t=501s", "Go to time")</f>
        <v/>
      </c>
    </row>
    <row r="12660">
      <c r="A12660">
        <f>HYPERLINK("https://www.youtube.com/watch?v=kin601UK394", "Video")</f>
        <v/>
      </c>
      <c r="B12660" t="inlineStr">
        <is>
          <t>1:32</t>
        </is>
      </c>
      <c r="C12660" t="inlineStr">
        <is>
          <t>they are in for a bitter surprise I am</t>
        </is>
      </c>
      <c r="D12660">
        <f>HYPERLINK("https://www.youtube.com/watch?v=kin601UK394&amp;t=92s", "Go to time")</f>
        <v/>
      </c>
    </row>
    <row r="12661">
      <c r="A12661">
        <f>HYPERLINK("https://www.youtube.com/watch?v=IzE98BkAO8o", "Video")</f>
        <v/>
      </c>
      <c r="B12661" t="inlineStr">
        <is>
          <t>9:48</t>
        </is>
      </c>
      <c r="C12661" t="inlineStr">
        <is>
          <t>opening hey my name is Tabitha I'm</t>
        </is>
      </c>
      <c r="D12661">
        <f>HYPERLINK("https://www.youtube.com/watch?v=IzE98BkAO8o&amp;t=588s", "Go to time")</f>
        <v/>
      </c>
    </row>
    <row r="12662">
      <c r="A12662">
        <f>HYPERLINK("https://www.youtube.com/watch?v=dx3oxe637K8", "Video")</f>
        <v/>
      </c>
      <c r="B12662" t="inlineStr">
        <is>
          <t>6:47</t>
        </is>
      </c>
      <c r="C12662" t="inlineStr">
        <is>
          <t>was bitten by the bear otherwise it's</t>
        </is>
      </c>
      <c r="D12662">
        <f>HYPERLINK("https://www.youtube.com/watch?v=dx3oxe637K8&amp;t=407s", "Go to time")</f>
        <v/>
      </c>
    </row>
    <row r="12663">
      <c r="A12663">
        <f>HYPERLINK("https://www.youtube.com/watch?v=dx3oxe637K8", "Video")</f>
        <v/>
      </c>
      <c r="B12663" t="inlineStr">
        <is>
          <t>8:23</t>
        </is>
      </c>
      <c r="C12663" t="inlineStr">
        <is>
          <t>saying do not shake the bit don't shake</t>
        </is>
      </c>
      <c r="D12663">
        <f>HYPERLINK("https://www.youtube.com/watch?v=dx3oxe637K8&amp;t=503s", "Go to time")</f>
        <v/>
      </c>
    </row>
    <row r="12664">
      <c r="A12664">
        <f>HYPERLINK("https://www.youtube.com/watch?v=TeAdbST1gQ0", "Video")</f>
        <v/>
      </c>
      <c r="B12664" t="inlineStr">
        <is>
          <t>1:53</t>
        </is>
      </c>
      <c r="C12664" t="inlineStr">
        <is>
          <t>that that's that's a bit much you know</t>
        </is>
      </c>
      <c r="D12664">
        <f>HYPERLINK("https://www.youtube.com/watch?v=TeAdbST1gQ0&amp;t=113s", "Go to time")</f>
        <v/>
      </c>
    </row>
    <row r="12665">
      <c r="A12665">
        <f>HYPERLINK("https://www.youtube.com/watch?v=TeAdbST1gQ0", "Video")</f>
        <v/>
      </c>
      <c r="B12665" t="inlineStr">
        <is>
          <t>5:34</t>
        </is>
      </c>
      <c r="C12665" t="inlineStr">
        <is>
          <t>habits is that consumers are Mindless</t>
        </is>
      </c>
      <c r="D12665">
        <f>HYPERLINK("https://www.youtube.com/watch?v=TeAdbST1gQ0&amp;t=334s", "Go to time")</f>
        <v/>
      </c>
    </row>
    <row r="12666">
      <c r="A12666">
        <f>HYPERLINK("https://www.youtube.com/watch?v=TeAdbST1gQ0", "Video")</f>
        <v/>
      </c>
      <c r="B12666" t="inlineStr">
        <is>
          <t>5:40</t>
        </is>
      </c>
      <c r="C12666" t="inlineStr">
        <is>
          <t>shopping habits are both seasonal and</t>
        </is>
      </c>
      <c r="D12666">
        <f>HYPERLINK("https://www.youtube.com/watch?v=TeAdbST1gQ0&amp;t=340s", "Go to time")</f>
        <v/>
      </c>
    </row>
    <row r="12667">
      <c r="A12667">
        <f>HYPERLINK("https://www.youtube.com/watch?v=TeAdbST1gQ0", "Video")</f>
        <v/>
      </c>
      <c r="B12667" t="inlineStr">
        <is>
          <t>5:55</t>
        </is>
      </c>
      <c r="C12667" t="inlineStr">
        <is>
          <t>summer it seems to slow down a bit but</t>
        </is>
      </c>
      <c r="D12667">
        <f>HYPERLINK("https://www.youtube.com/watch?v=TeAdbST1gQ0&amp;t=355s", "Go to time")</f>
        <v/>
      </c>
    </row>
    <row r="12668">
      <c r="A12668">
        <f>HYPERLINK("https://www.youtube.com/watch?v=Iyvvear4Kxo", "Video")</f>
        <v/>
      </c>
      <c r="B12668" t="inlineStr">
        <is>
          <t>4:22</t>
        </is>
      </c>
      <c r="C12668" t="inlineStr">
        <is>
          <t>routine i'm just a little bit scared i'm</t>
        </is>
      </c>
      <c r="D12668">
        <f>HYPERLINK("https://www.youtube.com/watch?v=Iyvvear4Kxo&amp;t=262s", "Go to time")</f>
        <v/>
      </c>
    </row>
    <row r="12669">
      <c r="A12669">
        <f>HYPERLINK("https://www.youtube.com/watch?v=P063-lps8JI", "Video")</f>
        <v/>
      </c>
      <c r="B12669" t="inlineStr">
        <is>
          <t>17:35</t>
        </is>
      </c>
      <c r="C12669" t="inlineStr">
        <is>
          <t>little bit louder I'm heart of hearing</t>
        </is>
      </c>
      <c r="D12669">
        <f>HYPERLINK("https://www.youtube.com/watch?v=P063-lps8JI&amp;t=1055s", "Go to time")</f>
        <v/>
      </c>
    </row>
    <row r="12670">
      <c r="A12670">
        <f>HYPERLINK("https://www.youtube.com/watch?v=P063-lps8JI", "Video")</f>
        <v/>
      </c>
      <c r="B12670" t="inlineStr">
        <is>
          <t>21:49</t>
        </is>
      </c>
      <c r="C12670" t="inlineStr">
        <is>
          <t>we have a little bit of a problem know</t>
        </is>
      </c>
      <c r="D12670">
        <f>HYPERLINK("https://www.youtube.com/watch?v=P063-lps8JI&amp;t=1309s", "Go to time")</f>
        <v/>
      </c>
    </row>
    <row r="12671">
      <c r="A12671">
        <f>HYPERLINK("https://www.youtube.com/watch?v=VtItscbcvS0", "Video")</f>
        <v/>
      </c>
      <c r="B12671" t="inlineStr">
        <is>
          <t>0:51</t>
        </is>
      </c>
      <c r="C12671" t="inlineStr">
        <is>
          <t>Right back at you, bitch.</t>
        </is>
      </c>
      <c r="D12671">
        <f>HYPERLINK("https://www.youtube.com/watch?v=VtItscbcvS0&amp;t=51s", "Go to time")</f>
        <v/>
      </c>
    </row>
    <row r="12672">
      <c r="A12672">
        <f>HYPERLINK("https://www.youtube.com/watch?v=EvsFBWUMrCw", "Video")</f>
        <v/>
      </c>
      <c r="B12672" t="inlineStr">
        <is>
          <t>1:15</t>
        </is>
      </c>
      <c r="C12672" t="inlineStr">
        <is>
          <t>a little bit anybody have any ideas what</t>
        </is>
      </c>
      <c r="D12672">
        <f>HYPERLINK("https://www.youtube.com/watch?v=EvsFBWUMrCw&amp;t=75s", "Go to time")</f>
        <v/>
      </c>
    </row>
    <row r="12673">
      <c r="A12673">
        <f>HYPERLINK("https://www.youtube.com/watch?v=EvsFBWUMrCw", "Video")</f>
        <v/>
      </c>
      <c r="B12673" t="inlineStr">
        <is>
          <t>1:52</t>
        </is>
      </c>
      <c r="C12673" t="inlineStr">
        <is>
          <t>stanley we're having a little bit</t>
        </is>
      </c>
      <c r="D12673">
        <f>HYPERLINK("https://www.youtube.com/watch?v=EvsFBWUMrCw&amp;t=112s", "Go to time")</f>
        <v/>
      </c>
    </row>
    <row r="12674">
      <c r="A12674">
        <f>HYPERLINK("https://www.youtube.com/watch?v=EA7ngQfs47M", "Video")</f>
        <v/>
      </c>
      <c r="B12674" t="inlineStr">
        <is>
          <t>4:49</t>
        </is>
      </c>
      <c r="C12674" t="inlineStr">
        <is>
          <t>soup but after a bit you did it run away</t>
        </is>
      </c>
      <c r="D12674">
        <f>HYPERLINK("https://www.youtube.com/watch?v=EA7ngQfs47M&amp;t=289s", "Go to time")</f>
        <v/>
      </c>
    </row>
    <row r="12675">
      <c r="A12675">
        <f>HYPERLINK("https://www.youtube.com/watch?v=JGyzI66Z9rs", "Video")</f>
        <v/>
      </c>
      <c r="B12675" t="inlineStr">
        <is>
          <t>12:12</t>
        </is>
      </c>
      <c r="C12675" t="inlineStr">
        <is>
          <t>applicant with an arbitrary review</t>
        </is>
      </c>
      <c r="D12675">
        <f>HYPERLINK("https://www.youtube.com/watch?v=JGyzI66Z9rs&amp;t=732s", "Go to time")</f>
        <v/>
      </c>
    </row>
    <row r="12676">
      <c r="A12676">
        <f>HYPERLINK("https://www.youtube.com/watch?v=YvTwli1QdiY", "Video")</f>
        <v/>
      </c>
      <c r="B12676" t="inlineStr">
        <is>
          <t>3:18</t>
        </is>
      </c>
      <c r="C12676" t="inlineStr">
        <is>
          <t>bit my lip at lunch today</t>
        </is>
      </c>
      <c r="D12676">
        <f>HYPERLINK("https://www.youtube.com/watch?v=YvTwli1QdiY&amp;t=198s", "Go to time")</f>
        <v/>
      </c>
    </row>
    <row r="12677">
      <c r="A12677">
        <f>HYPERLINK("https://www.youtube.com/watch?v=qVcLd6geTQs", "Video")</f>
        <v/>
      </c>
      <c r="B12677" t="inlineStr">
        <is>
          <t>2:29</t>
        </is>
      </c>
      <c r="C12677" t="inlineStr">
        <is>
          <t>obituary</t>
        </is>
      </c>
      <c r="D12677">
        <f>HYPERLINK("https://www.youtube.com/watch?v=qVcLd6geTQs&amp;t=149s", "Go to time")</f>
        <v/>
      </c>
    </row>
    <row r="12678">
      <c r="A12678">
        <f>HYPERLINK("https://www.youtube.com/watch?v=ViQ3phA4R30", "Video")</f>
        <v/>
      </c>
      <c r="B12678" t="inlineStr">
        <is>
          <t>3:38</t>
        </is>
      </c>
      <c r="C12678" t="inlineStr">
        <is>
          <t>you should bite your tongue before you</t>
        </is>
      </c>
      <c r="D12678">
        <f>HYPERLINK("https://www.youtube.com/watch?v=ViQ3phA4R30&amp;t=218s", "Go to time")</f>
        <v/>
      </c>
    </row>
    <row r="12679">
      <c r="A12679">
        <f>HYPERLINK("https://www.youtube.com/watch?v=EY6ZAJjSu1U", "Video")</f>
        <v/>
      </c>
      <c r="B12679" t="inlineStr">
        <is>
          <t>3:38</t>
        </is>
      </c>
      <c r="C12679" t="inlineStr">
        <is>
          <t>routine I'm just a little bit scared I'm</t>
        </is>
      </c>
      <c r="D12679">
        <f>HYPERLINK("https://www.youtube.com/watch?v=EY6ZAJjSu1U&amp;t=218s", "Go to time")</f>
        <v/>
      </c>
    </row>
    <row r="12680">
      <c r="A12680">
        <f>HYPERLINK("https://www.youtube.com/watch?v=H4WiO84s1yk", "Video")</f>
        <v/>
      </c>
      <c r="B12680" t="inlineStr">
        <is>
          <t>2:47</t>
        </is>
      </c>
      <c r="C12680" t="inlineStr">
        <is>
          <t>you're bit by a spider but check that</t>
        </is>
      </c>
      <c r="D12680">
        <f>HYPERLINK("https://www.youtube.com/watch?v=H4WiO84s1yk&amp;t=167s", "Go to time")</f>
        <v/>
      </c>
    </row>
    <row r="12681">
      <c r="A12681">
        <f>HYPERLINK("https://www.youtube.com/watch?v=MAg2jw0uZ3I", "Video")</f>
        <v/>
      </c>
      <c r="B12681" t="inlineStr">
        <is>
          <t>2:14</t>
        </is>
      </c>
      <c r="C12681" t="inlineStr">
        <is>
          <t>China are a bit exaggerated did you know</t>
        </is>
      </c>
      <c r="D12681">
        <f>HYPERLINK("https://www.youtube.com/watch?v=MAg2jw0uZ3I&amp;t=134s", "Go to time")</f>
        <v/>
      </c>
    </row>
    <row r="12682">
      <c r="A12682">
        <f>HYPERLINK("https://www.youtube.com/watch?v=fGh2otNCtZQ", "Video")</f>
        <v/>
      </c>
      <c r="B12682" t="inlineStr">
        <is>
          <t>1:47</t>
        </is>
      </c>
      <c r="C12682" t="inlineStr">
        <is>
          <t>up a little bit bring a wet towel Ryan</t>
        </is>
      </c>
      <c r="D12682">
        <f>HYPERLINK("https://www.youtube.com/watch?v=fGh2otNCtZQ&amp;t=107s", "Go to time")</f>
        <v/>
      </c>
    </row>
    <row r="12683">
      <c r="A12683">
        <f>HYPERLINK("https://www.youtube.com/watch?v=zD6H1UOiOHg", "Video")</f>
        <v/>
      </c>
      <c r="B12683" t="inlineStr">
        <is>
          <t>0:11</t>
        </is>
      </c>
      <c r="C12683" t="inlineStr">
        <is>
          <t>you're not the least bit curious to hear</t>
        </is>
      </c>
      <c r="D12683">
        <f>HYPERLINK("https://www.youtube.com/watch?v=zD6H1UOiOHg&amp;t=11s", "Go to time")</f>
        <v/>
      </c>
    </row>
    <row r="12684">
      <c r="A12684">
        <f>HYPERLINK("https://www.youtube.com/watch?v=mVxVppPjV0w", "Video")</f>
        <v/>
      </c>
      <c r="B12684" t="inlineStr">
        <is>
          <t>5:16</t>
        </is>
      </c>
      <c r="C12684" t="inlineStr">
        <is>
          <t>it condone unhealthy dieting habits or</t>
        </is>
      </c>
      <c r="D12684">
        <f>HYPERLINK("https://www.youtube.com/watch?v=mVxVppPjV0w&amp;t=316s", "Go to time")</f>
        <v/>
      </c>
    </row>
    <row r="12685">
      <c r="A12685">
        <f>HYPERLINK("https://www.youtube.com/watch?v=lsEA9tGMFQQ", "Video")</f>
        <v/>
      </c>
      <c r="B12685" t="inlineStr">
        <is>
          <t>0:32</t>
        </is>
      </c>
      <c r="C12685" t="inlineStr">
        <is>
          <t>in a bit closer, you'll see that most of
the world's tornadoes are happening here,</t>
        </is>
      </c>
      <c r="D12685">
        <f>HYPERLINK("https://www.youtube.com/watch?v=lsEA9tGMFQQ&amp;t=32s", "Go to time")</f>
        <v/>
      </c>
    </row>
    <row r="12686">
      <c r="A12686">
        <f>HYPERLINK("https://www.youtube.com/watch?v=oYfl4UCGBwk", "Video")</f>
        <v/>
      </c>
      <c r="B12686" t="inlineStr">
        <is>
          <t>3:34</t>
        </is>
      </c>
      <c r="C12686" t="inlineStr">
        <is>
          <t>They have rules and regulations 
for every bit of the sled.</t>
        </is>
      </c>
      <c r="D12686">
        <f>HYPERLINK("https://www.youtube.com/watch?v=oYfl4UCGBwk&amp;t=214s", "Go to time")</f>
        <v/>
      </c>
    </row>
    <row r="12687">
      <c r="A12687">
        <f>HYPERLINK("https://www.youtube.com/watch?v=h42QVfrUVFw", "Video")</f>
        <v/>
      </c>
      <c r="B12687" t="inlineStr">
        <is>
          <t>8:29</t>
        </is>
      </c>
      <c r="C12687" t="inlineStr">
        <is>
          <t>so I asked our motion designer Matt to help 
me make this a little bit easier to follow.</t>
        </is>
      </c>
      <c r="D12687">
        <f>HYPERLINK("https://www.youtube.com/watch?v=h42QVfrUVFw&amp;t=509s", "Go to time")</f>
        <v/>
      </c>
    </row>
    <row r="12688">
      <c r="A12688">
        <f>HYPERLINK("https://www.youtube.com/watch?v=h42QVfrUVFw", "Video")</f>
        <v/>
      </c>
      <c r="B12688" t="inlineStr">
        <is>
          <t>10:33</t>
        </is>
      </c>
      <c r="C12688" t="inlineStr">
        <is>
          <t>Then we tried to find reports that were 
a little bit more recent.</t>
        </is>
      </c>
      <c r="D12688">
        <f>HYPERLINK("https://www.youtube.com/watch?v=h42QVfrUVFw&amp;t=633s", "Go to time")</f>
        <v/>
      </c>
    </row>
    <row r="12689">
      <c r="A12689">
        <f>HYPERLINK("https://www.youtube.com/watch?v=9maR-JiL5jY", "Video")</f>
        <v/>
      </c>
      <c r="B12689" t="inlineStr">
        <is>
          <t>0:02</t>
        </is>
      </c>
      <c r="C12689" t="inlineStr">
        <is>
          <t>go ahead take a bite rich flavor</t>
        </is>
      </c>
      <c r="D12689">
        <f>HYPERLINK("https://www.youtube.com/watch?v=9maR-JiL5jY&amp;t=2s", "Go to time")</f>
        <v/>
      </c>
    </row>
    <row r="12690">
      <c r="A12690">
        <f>HYPERLINK("https://www.youtube.com/watch?v=9maR-JiL5jY", "Video")</f>
        <v/>
      </c>
      <c r="B12690" t="inlineStr">
        <is>
          <t>4:13</t>
        </is>
      </c>
      <c r="C12690" t="inlineStr">
        <is>
          <t>delicious bite you enjoy is because of a</t>
        </is>
      </c>
      <c r="D12690">
        <f>HYPERLINK("https://www.youtube.com/watch?v=9maR-JiL5jY&amp;t=253s", "Go to time")</f>
        <v/>
      </c>
    </row>
    <row r="12691">
      <c r="A12691">
        <f>HYPERLINK("https://www.youtube.com/watch?v=f0gN1x6sVTc", "Video")</f>
        <v/>
      </c>
      <c r="B12691" t="inlineStr">
        <is>
          <t>2:06</t>
        </is>
      </c>
      <c r="C12691" t="inlineStr">
        <is>
          <t>farmers in the West can harvest it up to
12 times a year and sell every last bit.</t>
        </is>
      </c>
      <c r="D12691">
        <f>HYPERLINK("https://www.youtube.com/watch?v=f0gN1x6sVTc&amp;t=126s", "Go to time")</f>
        <v/>
      </c>
    </row>
    <row r="12692">
      <c r="A12692">
        <f>HYPERLINK("https://www.youtube.com/watch?v=pu2sKNJMH-k", "Video")</f>
        <v/>
      </c>
      <c r="B12692" t="inlineStr">
        <is>
          <t>11:31</t>
        </is>
      </c>
      <c r="C12692" t="inlineStr">
        <is>
          <t>Tell a little bit
about what you guys do
at Open New York.</t>
        </is>
      </c>
      <c r="D12692">
        <f>HYPERLINK("https://www.youtube.com/watch?v=pu2sKNJMH-k&amp;t=691s", "Go to time")</f>
        <v/>
      </c>
    </row>
    <row r="12693">
      <c r="A12693">
        <f>HYPERLINK("https://www.youtube.com/watch?v=pu2sKNJMH-k", "Video")</f>
        <v/>
      </c>
      <c r="B12693" t="inlineStr">
        <is>
          <t>11:52</t>
        </is>
      </c>
      <c r="C12693" t="inlineStr">
        <is>
          <t>So, the zoning rules
prohibit it.</t>
        </is>
      </c>
      <c r="D12693">
        <f>HYPERLINK("https://www.youtube.com/watch?v=pu2sKNJMH-k&amp;t=712s", "Go to time")</f>
        <v/>
      </c>
    </row>
    <row r="12694">
      <c r="A12694">
        <f>HYPERLINK("https://www.youtube.com/watch?v=5YquWKsi0Q8", "Video")</f>
        <v/>
      </c>
      <c r="B12694" t="inlineStr">
        <is>
          <t>3:21</t>
        </is>
      </c>
      <c r="C12694" t="inlineStr">
        <is>
          <t>That happened a little bit in Brooklyn, 
but you're literally trying to mine a rock.</t>
        </is>
      </c>
      <c r="D12694">
        <f>HYPERLINK("https://www.youtube.com/watch?v=5YquWKsi0Q8&amp;t=201s", "Go to time")</f>
        <v/>
      </c>
    </row>
    <row r="12695">
      <c r="A12695">
        <f>HYPERLINK("https://www.youtube.com/watch?v=5HRU5yonyK8", "Video")</f>
        <v/>
      </c>
      <c r="B12695" t="inlineStr">
        <is>
          <t>0:45</t>
        </is>
      </c>
      <c r="C12695" t="inlineStr">
        <is>
          <t>Soviet Union became bitter enemies…</t>
        </is>
      </c>
      <c r="D12695">
        <f>HYPERLINK("https://www.youtube.com/watch?v=5HRU5yonyK8&amp;t=45s", "Go to time")</f>
        <v/>
      </c>
    </row>
    <row r="12696">
      <c r="A12696">
        <f>HYPERLINK("https://www.youtube.com/watch?v=__x4wOAGtg8", "Video")</f>
        <v/>
      </c>
      <c r="B12696" t="inlineStr">
        <is>
          <t>1:26</t>
        </is>
      </c>
      <c r="C12696" t="inlineStr">
        <is>
          <t>Now might be the time to admit that 
I’m a little bit of a Spider-Man fan.</t>
        </is>
      </c>
      <c r="D12696">
        <f>HYPERLINK("https://www.youtube.com/watch?v=__x4wOAGtg8&amp;t=86s", "Go to time")</f>
        <v/>
      </c>
    </row>
    <row r="12697">
      <c r="A12697">
        <f>HYPERLINK("https://www.youtube.com/watch?v=__x4wOAGtg8", "Video")</f>
        <v/>
      </c>
      <c r="B12697" t="inlineStr">
        <is>
          <t>1:50</t>
        </is>
      </c>
      <c r="C12697" t="inlineStr">
        <is>
          <t>Like keeping a bit of an actor's face, 
and replacing everything else digitally</t>
        </is>
      </c>
      <c r="D12697">
        <f>HYPERLINK("https://www.youtube.com/watch?v=__x4wOAGtg8&amp;t=110s", "Go to time")</f>
        <v/>
      </c>
    </row>
    <row r="12698">
      <c r="A12698">
        <f>HYPERLINK("https://www.youtube.com/watch?v=1ACXn-BDog8", "Video")</f>
        <v/>
      </c>
      <c r="B12698" t="inlineStr">
        <is>
          <t>3:30</t>
        </is>
      </c>
      <c r="C12698" t="inlineStr">
        <is>
          <t>around since 1959 and in various bits</t>
        </is>
      </c>
      <c r="D12698">
        <f>HYPERLINK("https://www.youtube.com/watch?v=1ACXn-BDog8&amp;t=210s", "Go to time")</f>
        <v/>
      </c>
    </row>
    <row r="12699">
      <c r="A12699">
        <f>HYPERLINK("https://www.youtube.com/watch?v=Ml-ZP-_e_o4", "Video")</f>
        <v/>
      </c>
      <c r="B12699" t="inlineStr">
        <is>
          <t>4:42</t>
        </is>
      </c>
      <c r="C12699" t="inlineStr">
        <is>
          <t>There was a bit of a lag in how 
we controlled moisture.</t>
        </is>
      </c>
      <c r="D12699">
        <f>HYPERLINK("https://www.youtube.com/watch?v=Ml-ZP-_e_o4&amp;t=282s", "Go to time")</f>
        <v/>
      </c>
    </row>
    <row r="12700">
      <c r="A12700">
        <f>HYPERLINK("https://www.youtube.com/watch?v=2CM6kgzRxyc", "Video")</f>
        <v/>
      </c>
      <c r="B12700" t="inlineStr">
        <is>
          <t>1:08</t>
        </is>
      </c>
      <c r="C12700" t="inlineStr">
        <is>
          <t>prohibition and criminalization of both</t>
        </is>
      </c>
      <c r="D12700">
        <f>HYPERLINK("https://www.youtube.com/watch?v=2CM6kgzRxyc&amp;t=68s", "Go to time")</f>
        <v/>
      </c>
    </row>
    <row r="12701">
      <c r="A12701">
        <f>HYPERLINK("https://www.youtube.com/watch?v=hvAigEXWSYM", "Video")</f>
        <v/>
      </c>
      <c r="B12701" t="inlineStr">
        <is>
          <t>1:17</t>
        </is>
      </c>
      <c r="C12701" t="inlineStr">
        <is>
          <t>a little bit of analytic slippage going</t>
        </is>
      </c>
      <c r="D12701">
        <f>HYPERLINK("https://www.youtube.com/watch?v=hvAigEXWSYM&amp;t=77s", "Go to time")</f>
        <v/>
      </c>
    </row>
    <row r="12702">
      <c r="A12702">
        <f>HYPERLINK("https://www.youtube.com/watch?v=hvAigEXWSYM", "Video")</f>
        <v/>
      </c>
      <c r="B12702" t="inlineStr">
        <is>
          <t>1:27</t>
        </is>
      </c>
      <c r="C12702" t="inlineStr">
        <is>
          <t>slippage there there a little bit of</t>
        </is>
      </c>
      <c r="D12702">
        <f>HYPERLINK("https://www.youtube.com/watch?v=hvAigEXWSYM&amp;t=87s", "Go to time")</f>
        <v/>
      </c>
    </row>
    <row r="12703">
      <c r="A12703">
        <f>HYPERLINK("https://www.youtube.com/watch?v=hvAigEXWSYM", "Video")</f>
        <v/>
      </c>
      <c r="B12703" t="inlineStr">
        <is>
          <t>5:24</t>
        </is>
      </c>
      <c r="C12703" t="inlineStr">
        <is>
          <t>bit it feels a little too silly yeah and</t>
        </is>
      </c>
      <c r="D12703">
        <f>HYPERLINK("https://www.youtube.com/watch?v=hvAigEXWSYM&amp;t=324s", "Go to time")</f>
        <v/>
      </c>
    </row>
    <row r="12704">
      <c r="A12704">
        <f>HYPERLINK("https://www.youtube.com/watch?v=JTyPQFHB3KM", "Video")</f>
        <v/>
      </c>
      <c r="B12704" t="inlineStr">
        <is>
          <t>5:18</t>
        </is>
      </c>
      <c r="C12704" t="inlineStr">
        <is>
          <t>JON: I like the wolf bit.</t>
        </is>
      </c>
      <c r="D12704">
        <f>HYPERLINK("https://www.youtube.com/watch?v=JTyPQFHB3KM&amp;t=318s", "Go to time")</f>
        <v/>
      </c>
    </row>
    <row r="12705">
      <c r="A12705">
        <f>HYPERLINK("https://www.youtube.com/watch?v=lTtfqECMEb8", "Video")</f>
        <v/>
      </c>
      <c r="B12705" t="inlineStr">
        <is>
          <t>1:30</t>
        </is>
      </c>
      <c r="C12705" t="inlineStr">
        <is>
          <t>second serving to bite them but when we</t>
        </is>
      </c>
      <c r="D12705">
        <f>HYPERLINK("https://www.youtube.com/watch?v=lTtfqECMEb8&amp;t=90s", "Go to time")</f>
        <v/>
      </c>
    </row>
    <row r="12706">
      <c r="A12706">
        <f>HYPERLINK("https://www.youtube.com/watch?v=PRdS13Q9ExQ", "Video")</f>
        <v/>
      </c>
      <c r="B12706" t="inlineStr">
        <is>
          <t>1:00</t>
        </is>
      </c>
      <c r="C12706" t="inlineStr">
        <is>
          <t>bit. I mean, sure, you have beliefs, you</t>
        </is>
      </c>
      <c r="D12706">
        <f>HYPERLINK("https://www.youtube.com/watch?v=PRdS13Q9ExQ&amp;t=60s", "Go to time")</f>
        <v/>
      </c>
    </row>
    <row r="12707">
      <c r="A12707">
        <f>HYPERLINK("https://www.youtube.com/watch?v=PRdS13Q9ExQ", "Video")</f>
        <v/>
      </c>
      <c r="B12707" t="inlineStr">
        <is>
          <t>13:49</t>
        </is>
      </c>
      <c r="C12707" t="inlineStr">
        <is>
          <t>Are there particular habits of mind or</t>
        </is>
      </c>
      <c r="D12707">
        <f>HYPERLINK("https://www.youtube.com/watch?v=PRdS13Q9ExQ&amp;t=829s", "Go to time")</f>
        <v/>
      </c>
    </row>
    <row r="12708">
      <c r="A12708">
        <f>HYPERLINK("https://www.youtube.com/watch?v=PRdS13Q9ExQ", "Video")</f>
        <v/>
      </c>
      <c r="B12708" t="inlineStr">
        <is>
          <t>14:02</t>
        </is>
      </c>
      <c r="C12708" t="inlineStr">
        <is>
          <t>say habits of mind because in many ways</t>
        </is>
      </c>
      <c r="D12708">
        <f>HYPERLINK("https://www.youtube.com/watch?v=PRdS13Q9ExQ&amp;t=842s", "Go to time")</f>
        <v/>
      </c>
    </row>
    <row r="12709">
      <c r="A12709">
        <f>HYPERLINK("https://www.youtube.com/watch?v=PRdS13Q9ExQ", "Video")</f>
        <v/>
      </c>
      <c r="B12709" t="inlineStr">
        <is>
          <t>14:05</t>
        </is>
      </c>
      <c r="C12709" t="inlineStr">
        <is>
          <t>I think that habits are the biggest</t>
        </is>
      </c>
      <c r="D12709">
        <f>HYPERLINK("https://www.youtube.com/watch?v=PRdS13Q9ExQ&amp;t=845s", "Go to time")</f>
        <v/>
      </c>
    </row>
    <row r="12710">
      <c r="A12710">
        <f>HYPERLINK("https://www.youtube.com/watch?v=PRdS13Q9ExQ", "Video")</f>
        <v/>
      </c>
      <c r="B12710" t="inlineStr">
        <is>
          <t>14:12</t>
        </is>
      </c>
      <c r="C12710" t="inlineStr">
        <is>
          <t>good it is to have habits and to have</t>
        </is>
      </c>
      <c r="D12710">
        <f>HYPERLINK("https://www.youtube.com/watch?v=PRdS13Q9ExQ&amp;t=852s", "Go to time")</f>
        <v/>
      </c>
    </row>
    <row r="12711">
      <c r="A12711">
        <f>HYPERLINK("https://www.youtube.com/watch?v=PRdS13Q9ExQ", "Video")</f>
        <v/>
      </c>
      <c r="B12711" t="inlineStr">
        <is>
          <t>14:16</t>
        </is>
      </c>
      <c r="C12711" t="inlineStr">
        <is>
          <t>again. But actually, habits are the way</t>
        </is>
      </c>
      <c r="D12711">
        <f>HYPERLINK("https://www.youtube.com/watch?v=PRdS13Q9ExQ&amp;t=856s", "Go to time")</f>
        <v/>
      </c>
    </row>
    <row r="12712">
      <c r="A12712">
        <f>HYPERLINK("https://www.youtube.com/watch?v=PRdS13Q9ExQ", "Video")</f>
        <v/>
      </c>
      <c r="B12712" t="inlineStr">
        <is>
          <t>14:34</t>
        </is>
      </c>
      <c r="C12712" t="inlineStr">
        <is>
          <t>take all your habits and routines and</t>
        </is>
      </c>
      <c r="D12712">
        <f>HYPERLINK("https://www.youtube.com/watch?v=PRdS13Q9ExQ&amp;t=874s", "Go to time")</f>
        <v/>
      </c>
    </row>
    <row r="12713">
      <c r="A12713">
        <f>HYPERLINK("https://www.youtube.com/watch?v=PRdS13Q9ExQ", "Video")</f>
        <v/>
      </c>
      <c r="B12713" t="inlineStr">
        <is>
          <t>33:32</t>
        </is>
      </c>
      <c r="C12713" t="inlineStr">
        <is>
          <t>you a little bit and just like how far</t>
        </is>
      </c>
      <c r="D12713">
        <f>HYPERLINK("https://www.youtube.com/watch?v=PRdS13Q9ExQ&amp;t=2012s", "Go to time")</f>
        <v/>
      </c>
    </row>
    <row r="12714">
      <c r="A12714">
        <f>HYPERLINK("https://www.youtube.com/watch?v=PRdS13Q9ExQ", "Video")</f>
        <v/>
      </c>
      <c r="B12714" t="inlineStr">
        <is>
          <t>35:07</t>
        </is>
      </c>
      <c r="C12714" t="inlineStr">
        <is>
          <t>ways. Can you say a little bit more</t>
        </is>
      </c>
      <c r="D12714">
        <f>HYPERLINK("https://www.youtube.com/watch?v=PRdS13Q9ExQ&amp;t=2107s", "Go to time")</f>
        <v/>
      </c>
    </row>
    <row r="12715">
      <c r="A12715">
        <f>HYPERLINK("https://www.youtube.com/watch?v=ruVMkGPYhCU", "Video")</f>
        <v/>
      </c>
      <c r="B12715" t="inlineStr">
        <is>
          <t>0:43</t>
        </is>
      </c>
      <c r="C12715" t="inlineStr">
        <is>
          <t>you need to know a little bit</t>
        </is>
      </c>
      <c r="D12715">
        <f>HYPERLINK("https://www.youtube.com/watch?v=ruVMkGPYhCU&amp;t=43s", "Go to time")</f>
        <v/>
      </c>
    </row>
    <row r="12716">
      <c r="A12716">
        <f>HYPERLINK("https://www.youtube.com/watch?v=9Em0FSsI_VU", "Video")</f>
        <v/>
      </c>
      <c r="B12716" t="inlineStr">
        <is>
          <t>4:19</t>
        </is>
      </c>
      <c r="C12716" t="inlineStr">
        <is>
          <t>bit more social distancing. But if you
look at our animation</t>
        </is>
      </c>
      <c r="D12716">
        <f>HYPERLINK("https://www.youtube.com/watch?v=9Em0FSsI_VU&amp;t=259s", "Go to time")</f>
        <v/>
      </c>
    </row>
    <row r="12717">
      <c r="A12717">
        <f>HYPERLINK("https://www.youtube.com/watch?v=KtxITylE73U", "Video")</f>
        <v/>
      </c>
      <c r="B12717" t="inlineStr">
        <is>
          <t>5:55</t>
        </is>
      </c>
      <c r="C12717" t="inlineStr">
        <is>
          <t>then the negotiations
get referred to an arbitrator</t>
        </is>
      </c>
      <c r="D12717">
        <f>HYPERLINK("https://www.youtube.com/watch?v=KtxITylE73U&amp;t=355s", "Go to time")</f>
        <v/>
      </c>
    </row>
    <row r="12718">
      <c r="A12718">
        <f>HYPERLINK("https://www.youtube.com/watch?v=KtxITylE73U", "Video")</f>
        <v/>
      </c>
      <c r="B12718" t="inlineStr">
        <is>
          <t>6:33</t>
        </is>
      </c>
      <c r="C12718" t="inlineStr">
        <is>
          <t>and I got to see a little bit of what</t>
        </is>
      </c>
      <c r="D12718">
        <f>HYPERLINK("https://www.youtube.com/watch?v=KtxITylE73U&amp;t=393s", "Go to time")</f>
        <v/>
      </c>
    </row>
    <row r="12719">
      <c r="A12719">
        <f>HYPERLINK("https://www.youtube.com/watch?v=gMaKhXkihGQ", "Video")</f>
        <v/>
      </c>
      <c r="B12719" t="inlineStr">
        <is>
          <t>1:24</t>
        </is>
      </c>
      <c r="C12719" t="inlineStr">
        <is>
          <t>How do we find a habitable planet?</t>
        </is>
      </c>
      <c r="D12719">
        <f>HYPERLINK("https://www.youtube.com/watch?v=gMaKhXkihGQ&amp;t=84s", "Go to time")</f>
        <v/>
      </c>
    </row>
    <row r="12720">
      <c r="A12720">
        <f>HYPERLINK("https://www.youtube.com/watch?v=gMaKhXkihGQ", "Video")</f>
        <v/>
      </c>
      <c r="B12720" t="inlineStr">
        <is>
          <t>4:27</t>
        </is>
      </c>
      <c r="C12720" t="inlineStr">
        <is>
          <t>a bit longer than that to complete.</t>
        </is>
      </c>
      <c r="D12720">
        <f>HYPERLINK("https://www.youtube.com/watch?v=gMaKhXkihGQ&amp;t=267s", "Go to time")</f>
        <v/>
      </c>
    </row>
    <row r="12721">
      <c r="A12721">
        <f>HYPERLINK("https://www.youtube.com/watch?v=wFpfYTYupKA", "Video")</f>
        <v/>
      </c>
      <c r="B12721" t="inlineStr">
        <is>
          <t>3:28</t>
        </is>
      </c>
      <c r="C12721" t="inlineStr">
        <is>
          <t>that bit was never implemented instead</t>
        </is>
      </c>
      <c r="D12721">
        <f>HYPERLINK("https://www.youtube.com/watch?v=wFpfYTYupKA&amp;t=208s", "Go to time")</f>
        <v/>
      </c>
    </row>
    <row r="12722">
      <c r="A12722">
        <f>HYPERLINK("https://www.youtube.com/watch?v=wFpfYTYupKA", "Video")</f>
        <v/>
      </c>
      <c r="B12722" t="inlineStr">
        <is>
          <t>6:12</t>
        </is>
      </c>
      <c r="C12722" t="inlineStr">
        <is>
          <t>that it's a bit of a ponzi scheme</t>
        </is>
      </c>
      <c r="D12722">
        <f>HYPERLINK("https://www.youtube.com/watch?v=wFpfYTYupKA&amp;t=372s", "Go to time")</f>
        <v/>
      </c>
    </row>
    <row r="12723">
      <c r="A12723">
        <f>HYPERLINK("https://www.youtube.com/watch?v=R2karaKGgkk", "Video")</f>
        <v/>
      </c>
      <c r="B12723" t="inlineStr">
        <is>
          <t>0:15</t>
        </is>
      </c>
      <c r="C12723" t="inlineStr">
        <is>
          <t>this was an ambitious and 
experimental town...</t>
        </is>
      </c>
      <c r="D12723">
        <f>HYPERLINK("https://www.youtube.com/watch?v=R2karaKGgkk&amp;t=15s", "Go to time")</f>
        <v/>
      </c>
    </row>
    <row r="12724">
      <c r="A12724">
        <f>HYPERLINK("https://www.youtube.com/watch?v=R2karaKGgkk", "Video")</f>
        <v/>
      </c>
      <c r="B12724" t="inlineStr">
        <is>
          <t>17:49</t>
        </is>
      </c>
      <c r="C12724" t="inlineStr">
        <is>
          <t>We're gearing up for a big year full of 
ambitious projects</t>
        </is>
      </c>
      <c r="D12724">
        <f>HYPERLINK("https://www.youtube.com/watch?v=R2karaKGgkk&amp;t=1069s", "Go to time")</f>
        <v/>
      </c>
    </row>
    <row r="12725">
      <c r="A12725">
        <f>HYPERLINK("https://www.youtube.com/watch?v=4kfcsOhgzRA", "Video")</f>
        <v/>
      </c>
      <c r="B12725" t="inlineStr">
        <is>
          <t>16:40</t>
        </is>
      </c>
      <c r="C12725" t="inlineStr">
        <is>
          <t>I was young and very ambitious</t>
        </is>
      </c>
      <c r="D12725">
        <f>HYPERLINK("https://www.youtube.com/watch?v=4kfcsOhgzRA&amp;t=1000s", "Go to time")</f>
        <v/>
      </c>
    </row>
    <row r="12726">
      <c r="A12726">
        <f>HYPERLINK("https://www.youtube.com/watch?v=4kfcsOhgzRA", "Video")</f>
        <v/>
      </c>
      <c r="B12726" t="inlineStr">
        <is>
          <t>16:51</t>
        </is>
      </c>
      <c r="C12726" t="inlineStr">
        <is>
          <t>Yeah, well, you can suss out
your environment a bit.</t>
        </is>
      </c>
      <c r="D12726">
        <f>HYPERLINK("https://www.youtube.com/watch?v=4kfcsOhgzRA&amp;t=1011s", "Go to time")</f>
        <v/>
      </c>
    </row>
    <row r="12727">
      <c r="A12727">
        <f>HYPERLINK("https://www.youtube.com/watch?v=pZz3tfXEFmU", "Video")</f>
        <v/>
      </c>
      <c r="B12727" t="inlineStr">
        <is>
          <t>8:43</t>
        </is>
      </c>
      <c r="C12727" t="inlineStr">
        <is>
          <t>because every brand wanted 
a bite of the Barbie apple.</t>
        </is>
      </c>
      <c r="D12727">
        <f>HYPERLINK("https://www.youtube.com/watch?v=pZz3tfXEFmU&amp;t=523s", "Go to time")</f>
        <v/>
      </c>
    </row>
    <row r="12728">
      <c r="A12728">
        <f>HYPERLINK("https://www.youtube.com/watch?v=pZz3tfXEFmU", "Video")</f>
        <v/>
      </c>
      <c r="B12728" t="inlineStr">
        <is>
          <t>9:27</t>
        </is>
      </c>
      <c r="C12728" t="inlineStr">
        <is>
          <t>So it's kind of a bit.</t>
        </is>
      </c>
      <c r="D12728">
        <f>HYPERLINK("https://www.youtube.com/watch?v=pZz3tfXEFmU&amp;t=567s", "Go to time")</f>
        <v/>
      </c>
    </row>
    <row r="12729">
      <c r="A12729">
        <f>HYPERLINK("https://www.youtube.com/watch?v=pZz3tfXEFmU", "Video")</f>
        <v/>
      </c>
      <c r="B12729" t="inlineStr">
        <is>
          <t>10:45</t>
        </is>
      </c>
      <c r="C12729" t="inlineStr">
        <is>
          <t>It's got a little bit of everything 
for a cinephile</t>
        </is>
      </c>
      <c r="D12729">
        <f>HYPERLINK("https://www.youtube.com/watch?v=pZz3tfXEFmU&amp;t=645s", "Go to time")</f>
        <v/>
      </c>
    </row>
    <row r="12730">
      <c r="A12730">
        <f>HYPERLINK("https://www.youtube.com/watch?v=TJAklSh_rjk", "Video")</f>
        <v/>
      </c>
      <c r="B12730" t="inlineStr">
        <is>
          <t>13:14</t>
        </is>
      </c>
      <c r="C12730" t="inlineStr">
        <is>
          <t>But it's down the road a bit.</t>
        </is>
      </c>
      <c r="D12730">
        <f>HYPERLINK("https://www.youtube.com/watch?v=TJAklSh_rjk&amp;t=794s", "Go to time")</f>
        <v/>
      </c>
    </row>
    <row r="12731">
      <c r="A12731">
        <f>HYPERLINK("https://www.youtube.com/watch?v=NVH7JewfgJg", "Video")</f>
        <v/>
      </c>
      <c r="B12731" t="inlineStr">
        <is>
          <t>5:12</t>
        </is>
      </c>
      <c r="C12731" t="inlineStr">
        <is>
          <t>"Apartheid allowed for the
full realization of the ambition</t>
        </is>
      </c>
      <c r="D12731">
        <f>HYPERLINK("https://www.youtube.com/watch?v=NVH7JewfgJg&amp;t=312s", "Go to time")</f>
        <v/>
      </c>
    </row>
    <row r="12732">
      <c r="A12732">
        <f>HYPERLINK("https://www.youtube.com/watch?v=mQDegCqiVnU", "Video")</f>
        <v/>
      </c>
      <c r="B12732" t="inlineStr">
        <is>
          <t>6:56</t>
        </is>
      </c>
      <c r="C12732" t="inlineStr">
        <is>
          <t>It's a little bit of a chicken and egg thing</t>
        </is>
      </c>
      <c r="D12732">
        <f>HYPERLINK("https://www.youtube.com/watch?v=mQDegCqiVnU&amp;t=416s", "Go to time")</f>
        <v/>
      </c>
    </row>
    <row r="12733">
      <c r="A12733">
        <f>HYPERLINK("https://www.youtube.com/watch?v=UnV97eYP6YU", "Video")</f>
        <v/>
      </c>
      <c r="B12733" t="inlineStr">
        <is>
          <t>3:24</t>
        </is>
      </c>
      <c r="C12733" t="inlineStr">
        <is>
          <t>Fortunately, the Rifugio is 
the only inhabited place</t>
        </is>
      </c>
      <c r="D12733">
        <f>HYPERLINK("https://www.youtube.com/watch?v=UnV97eYP6YU&amp;t=204s", "Go to time")</f>
        <v/>
      </c>
    </row>
    <row r="12734">
      <c r="A12734">
        <f>HYPERLINK("https://www.youtube.com/watch?v=Ef7hQ35bfIU", "Video")</f>
        <v/>
      </c>
      <c r="B12734" t="inlineStr">
        <is>
          <t>2:50</t>
        </is>
      </c>
      <c r="C12734" t="inlineStr">
        <is>
          <t>It's still raining a bit and I'm 
totally hopped up on sugar now.</t>
        </is>
      </c>
      <c r="D12734">
        <f>HYPERLINK("https://www.youtube.com/watch?v=Ef7hQ35bfIU&amp;t=170s", "Go to time")</f>
        <v/>
      </c>
    </row>
    <row r="12735">
      <c r="A12735">
        <f>HYPERLINK("https://www.youtube.com/watch?v=Ef7hQ35bfIU", "Video")</f>
        <v/>
      </c>
      <c r="B12735" t="inlineStr">
        <is>
          <t>8:13</t>
        </is>
      </c>
      <c r="C12735" t="inlineStr">
        <is>
          <t>and searched for a song that was bittersweet.</t>
        </is>
      </c>
      <c r="D12735">
        <f>HYPERLINK("https://www.youtube.com/watch?v=Ef7hQ35bfIU&amp;t=493s", "Go to time")</f>
        <v/>
      </c>
    </row>
    <row r="12736">
      <c r="A12736">
        <f>HYPERLINK("https://www.youtube.com/watch?v=7DlYBJzAo6k", "Video")</f>
        <v/>
      </c>
      <c r="B12736" t="inlineStr">
        <is>
          <t>3:21</t>
        </is>
      </c>
      <c r="C12736" t="inlineStr">
        <is>
          <t>The forearm might just absorb a little bit</t>
        </is>
      </c>
      <c r="D12736">
        <f>HYPERLINK("https://www.youtube.com/watch?v=7DlYBJzAo6k&amp;t=201s", "Go to time")</f>
        <v/>
      </c>
    </row>
    <row r="12737">
      <c r="A12737">
        <f>HYPERLINK("https://www.youtube.com/watch?v=7DlYBJzAo6k", "Video")</f>
        <v/>
      </c>
      <c r="B12737" t="inlineStr">
        <is>
          <t>4:10</t>
        </is>
      </c>
      <c r="C12737" t="inlineStr">
        <is>
          <t>So we put a little bit of high density 
absorption in there</t>
        </is>
      </c>
      <c r="D12737">
        <f>HYPERLINK("https://www.youtube.com/watch?v=7DlYBJzAo6k&amp;t=250s", "Go to time")</f>
        <v/>
      </c>
    </row>
    <row r="12738">
      <c r="A12738">
        <f>HYPERLINK("https://www.youtube.com/watch?v=7DlYBJzAo6k", "Video")</f>
        <v/>
      </c>
      <c r="B12738" t="inlineStr">
        <is>
          <t>4:26</t>
        </is>
      </c>
      <c r="C12738" t="inlineStr">
        <is>
          <t>the hits are just a little bit harder.</t>
        </is>
      </c>
      <c r="D12738">
        <f>HYPERLINK("https://www.youtube.com/watch?v=7DlYBJzAo6k&amp;t=266s", "Go to time")</f>
        <v/>
      </c>
    </row>
    <row r="12739">
      <c r="A12739">
        <f>HYPERLINK("https://www.youtube.com/watch?v=7DlYBJzAo6k", "Video")</f>
        <v/>
      </c>
      <c r="B12739" t="inlineStr">
        <is>
          <t>4:37</t>
        </is>
      </c>
      <c r="C12739" t="inlineStr">
        <is>
          <t>there's just a bit more power to that hit.</t>
        </is>
      </c>
      <c r="D12739">
        <f>HYPERLINK("https://www.youtube.com/watch?v=7DlYBJzAo6k&amp;t=277s", "Go to time")</f>
        <v/>
      </c>
    </row>
    <row r="12740">
      <c r="A12740">
        <f>HYPERLINK("https://www.youtube.com/watch?v=7DlYBJzAo6k", "Video")</f>
        <v/>
      </c>
      <c r="B12740" t="inlineStr">
        <is>
          <t>5:36</t>
        </is>
      </c>
      <c r="C12740" t="inlineStr">
        <is>
          <t>kind of washes over me a little bit.</t>
        </is>
      </c>
      <c r="D12740">
        <f>HYPERLINK("https://www.youtube.com/watch?v=7DlYBJzAo6k&amp;t=336s", "Go to time")</f>
        <v/>
      </c>
    </row>
    <row r="12741">
      <c r="A12741">
        <f>HYPERLINK("https://www.youtube.com/watch?v=7DlYBJzAo6k", "Video")</f>
        <v/>
      </c>
      <c r="B12741" t="inlineStr">
        <is>
          <t>5:55</t>
        </is>
      </c>
      <c r="C12741" t="inlineStr">
        <is>
          <t>a proper journey, a proper, you know, 
bit of emotion</t>
        </is>
      </c>
      <c r="D12741">
        <f>HYPERLINK("https://www.youtube.com/watch?v=7DlYBJzAo6k&amp;t=355s", "Go to time")</f>
        <v/>
      </c>
    </row>
    <row r="12742">
      <c r="A12742">
        <f>HYPERLINK("https://www.youtube.com/watch?v=SoP_lJ0FWoc", "Video")</f>
        <v/>
      </c>
      <c r="B12742" t="inlineStr">
        <is>
          <t>3:38</t>
        </is>
      </c>
      <c r="C12742" t="inlineStr">
        <is>
          <t>make things a little bit easier.</t>
        </is>
      </c>
      <c r="D12742">
        <f>HYPERLINK("https://www.youtube.com/watch?v=SoP_lJ0FWoc&amp;t=218s", "Go to time")</f>
        <v/>
      </c>
    </row>
    <row r="12743">
      <c r="A12743">
        <f>HYPERLINK("https://www.youtube.com/watch?v=_cndkF7bX3M", "Video")</f>
        <v/>
      </c>
      <c r="B12743" t="inlineStr">
        <is>
          <t>13:08</t>
        </is>
      </c>
      <c r="C12743" t="inlineStr">
        <is>
          <t>smelling the habitat we’d traveled all this way to experience.</t>
        </is>
      </c>
      <c r="D12743">
        <f>HYPERLINK("https://www.youtube.com/watch?v=_cndkF7bX3M&amp;t=788s", "Go to time")</f>
        <v/>
      </c>
    </row>
    <row r="12744">
      <c r="A12744">
        <f>HYPERLINK("https://www.youtube.com/watch?v=_cndkF7bX3M", "Video")</f>
        <v/>
      </c>
      <c r="B12744" t="inlineStr">
        <is>
          <t>23:48</t>
        </is>
      </c>
      <c r="C12744" t="inlineStr">
        <is>
          <t>This journey had taken us down a rabbit hole:</t>
        </is>
      </c>
      <c r="D12744">
        <f>HYPERLINK("https://www.youtube.com/watch?v=_cndkF7bX3M&amp;t=1428s", "Go to time")</f>
        <v/>
      </c>
    </row>
    <row r="12745">
      <c r="A12745">
        <f>HYPERLINK("https://www.youtube.com/watch?v=qp5CEcIyk94", "Video")</f>
        <v/>
      </c>
      <c r="B12745" t="inlineStr">
        <is>
          <t>2:55</t>
        </is>
      </c>
      <c r="C12745" t="inlineStr">
        <is>
          <t>natural habitat for wild bats</t>
        </is>
      </c>
      <c r="D12745">
        <f>HYPERLINK("https://www.youtube.com/watch?v=qp5CEcIyk94&amp;t=175s", "Go to time")</f>
        <v/>
      </c>
    </row>
    <row r="12746">
      <c r="A12746">
        <f>HYPERLINK("https://www.youtube.com/watch?v=qp5CEcIyk94", "Video")</f>
        <v/>
      </c>
      <c r="B12746" t="inlineStr">
        <is>
          <t>3:17</t>
        </is>
      </c>
      <c r="C12746" t="inlineStr">
        <is>
          <t>animal habitats events like the Ebola</t>
        </is>
      </c>
      <c r="D12746">
        <f>HYPERLINK("https://www.youtube.com/watch?v=qp5CEcIyk94&amp;t=197s", "Go to time")</f>
        <v/>
      </c>
    </row>
    <row r="12747">
      <c r="A12747">
        <f>HYPERLINK("https://www.youtube.com/watch?v=qp5CEcIyk94", "Video")</f>
        <v/>
      </c>
      <c r="B12747" t="inlineStr">
        <is>
          <t>3:24</t>
        </is>
      </c>
      <c r="C12747" t="inlineStr">
        <is>
          <t>habitat which means it's much more</t>
        </is>
      </c>
      <c r="D12747">
        <f>HYPERLINK("https://www.youtube.com/watch?v=qp5CEcIyk94&amp;t=204s", "Go to time")</f>
        <v/>
      </c>
    </row>
    <row r="12748">
      <c r="A12748">
        <f>HYPERLINK("https://www.youtube.com/watch?v=qp5CEcIyk94", "Video")</f>
        <v/>
      </c>
      <c r="B12748" t="inlineStr">
        <is>
          <t>3:37</t>
        </is>
      </c>
      <c r="C12748" t="inlineStr">
        <is>
          <t>human encroachment into their habitats</t>
        </is>
      </c>
      <c r="D12748">
        <f>HYPERLINK("https://www.youtube.com/watch?v=qp5CEcIyk94&amp;t=217s", "Go to time")</f>
        <v/>
      </c>
    </row>
    <row r="12749">
      <c r="A12749">
        <f>HYPERLINK("https://www.youtube.com/watch?v=qp5CEcIyk94", "Video")</f>
        <v/>
      </c>
      <c r="B12749" t="inlineStr">
        <is>
          <t>3:51</t>
        </is>
      </c>
      <c r="C12749" t="inlineStr">
        <is>
          <t>of their habitat and a disappearing</t>
        </is>
      </c>
      <c r="D12749">
        <f>HYPERLINK("https://www.youtube.com/watch?v=qp5CEcIyk94&amp;t=231s", "Go to time")</f>
        <v/>
      </c>
    </row>
    <row r="12750">
      <c r="A12750">
        <f>HYPERLINK("https://www.youtube.com/watch?v=qp5CEcIyk94", "Video")</f>
        <v/>
      </c>
      <c r="B12750" t="inlineStr">
        <is>
          <t>4:41</t>
        </is>
      </c>
      <c r="C12750" t="inlineStr">
        <is>
          <t>disrupting those birds habitats what's</t>
        </is>
      </c>
      <c r="D12750">
        <f>HYPERLINK("https://www.youtube.com/watch?v=qp5CEcIyk94&amp;t=281s", "Go to time")</f>
        <v/>
      </c>
    </row>
    <row r="12751">
      <c r="A12751">
        <f>HYPERLINK("https://www.youtube.com/watch?v=qp5CEcIyk94", "Video")</f>
        <v/>
      </c>
      <c r="B12751" t="inlineStr">
        <is>
          <t>5:13</t>
        </is>
      </c>
      <c r="C12751" t="inlineStr">
        <is>
          <t>that a mosquito will bite an infected</t>
        </is>
      </c>
      <c r="D12751">
        <f>HYPERLINK("https://www.youtube.com/watch?v=qp5CEcIyk94&amp;t=313s", "Go to time")</f>
        <v/>
      </c>
    </row>
    <row r="12752">
      <c r="A12752">
        <f>HYPERLINK("https://www.youtube.com/watch?v=qp5CEcIyk94", "Video")</f>
        <v/>
      </c>
      <c r="B12752" t="inlineStr">
        <is>
          <t>6:01</t>
        </is>
      </c>
      <c r="C12752" t="inlineStr">
        <is>
          <t>of wildlife habitat but preventing</t>
        </is>
      </c>
      <c r="D12752">
        <f>HYPERLINK("https://www.youtube.com/watch?v=qp5CEcIyk94&amp;t=361s", "Go to time")</f>
        <v/>
      </c>
    </row>
    <row r="12753">
      <c r="A12753">
        <f>HYPERLINK("https://www.youtube.com/watch?v=QfAXbGInwno", "Video")</f>
        <v/>
      </c>
      <c r="B12753" t="inlineStr">
        <is>
          <t>2:48</t>
        </is>
      </c>
      <c r="C12753" t="inlineStr">
        <is>
          <t>is ambitious by 2050 the united states</t>
        </is>
      </c>
      <c r="D12753">
        <f>HYPERLINK("https://www.youtube.com/watch?v=QfAXbGInwno&amp;t=168s", "Go to time")</f>
        <v/>
      </c>
    </row>
    <row r="12754">
      <c r="A12754">
        <f>HYPERLINK("https://www.youtube.com/watch?v=7tuRJIkDcXg", "Video")</f>
        <v/>
      </c>
      <c r="B12754" t="inlineStr">
        <is>
          <t>1:51</t>
        </is>
      </c>
      <c r="C12754" t="inlineStr">
        <is>
          <t>That's the third part 
known as exhibition</t>
        </is>
      </c>
      <c r="D12754">
        <f>HYPERLINK("https://www.youtube.com/watch?v=7tuRJIkDcXg&amp;t=111s", "Go to time")</f>
        <v/>
      </c>
    </row>
    <row r="12755">
      <c r="A12755">
        <f>HYPERLINK("https://www.youtube.com/watch?v=7tuRJIkDcXg", "Video")</f>
        <v/>
      </c>
      <c r="B12755" t="inlineStr">
        <is>
          <t>2:08</t>
        </is>
      </c>
      <c r="C12755" t="inlineStr">
        <is>
          <t>and deals with with exhibitors 
like AMC and Regal</t>
        </is>
      </c>
      <c r="D12755">
        <f>HYPERLINK("https://www.youtube.com/watch?v=7tuRJIkDcXg&amp;t=128s", "Go to time")</f>
        <v/>
      </c>
    </row>
    <row r="12756">
      <c r="A12756">
        <f>HYPERLINK("https://www.youtube.com/watch?v=7tuRJIkDcXg", "Video")</f>
        <v/>
      </c>
      <c r="B12756" t="inlineStr">
        <is>
          <t>3:34</t>
        </is>
      </c>
      <c r="C12756" t="inlineStr">
        <is>
          <t>that would just become this sort of 
perfect little tidbit.</t>
        </is>
      </c>
      <c r="D12756">
        <f>HYPERLINK("https://www.youtube.com/watch?v=7tuRJIkDcXg&amp;t=214s", "Go to time")</f>
        <v/>
      </c>
    </row>
    <row r="12757">
      <c r="A12757">
        <f>HYPERLINK("https://www.youtube.com/watch?v=ZQ6fSHr5TJg", "Video")</f>
        <v/>
      </c>
      <c r="B12757" t="inlineStr">
        <is>
          <t>1:28</t>
        </is>
      </c>
      <c r="C12757" t="inlineStr">
        <is>
          <t>Can you tell me a little bit about this
neighborhood and who lives here?</t>
        </is>
      </c>
      <c r="D12757">
        <f>HYPERLINK("https://www.youtube.com/watch?v=ZQ6fSHr5TJg&amp;t=88s", "Go to time")</f>
        <v/>
      </c>
    </row>
    <row r="12758">
      <c r="A12758">
        <f>HYPERLINK("https://www.youtube.com/watch?v=ZQ6fSHr5TJg", "Video")</f>
        <v/>
      </c>
      <c r="B12758" t="inlineStr">
        <is>
          <t>3:13</t>
        </is>
      </c>
      <c r="C12758" t="inlineStr">
        <is>
          <t>Well, reflective roofs can help a bit.</t>
        </is>
      </c>
      <c r="D12758">
        <f>HYPERLINK("https://www.youtube.com/watch?v=ZQ6fSHr5TJg&amp;t=193s", "Go to time")</f>
        <v/>
      </c>
    </row>
    <row r="12759">
      <c r="A12759">
        <f>HYPERLINK("https://www.youtube.com/watch?v=qryWWGP0kKs", "Video")</f>
        <v/>
      </c>
      <c r="B12759" t="inlineStr">
        <is>
          <t>11:08</t>
        </is>
      </c>
      <c r="C12759" t="inlineStr">
        <is>
          <t>and you want to relax a bit
and you're hearing the noise</t>
        </is>
      </c>
      <c r="D12759">
        <f>HYPERLINK("https://www.youtube.com/watch?v=qryWWGP0kKs&amp;t=668s", "Go to time")</f>
        <v/>
      </c>
    </row>
    <row r="12760">
      <c r="A12760">
        <f>HYPERLINK("https://www.youtube.com/watch?v=qryWWGP0kKs", "Video")</f>
        <v/>
      </c>
      <c r="B12760" t="inlineStr">
        <is>
          <t>18:40</t>
        </is>
      </c>
      <c r="C12760" t="inlineStr">
        <is>
          <t>your nerves
are a bit altered.</t>
        </is>
      </c>
      <c r="D12760">
        <f>HYPERLINK("https://www.youtube.com/watch?v=qryWWGP0kKs&amp;t=1120s", "Go to time")</f>
        <v/>
      </c>
    </row>
    <row r="12761">
      <c r="A12761">
        <f>HYPERLINK("https://www.youtube.com/watch?v=bcGxg3c1HE8", "Video")</f>
        <v/>
      </c>
      <c r="B12761" t="inlineStr">
        <is>
          <t>1:28</t>
        </is>
      </c>
      <c r="C12761" t="inlineStr">
        <is>
          <t>charts Bitcoin just hit</t>
        </is>
      </c>
      <c r="D12761">
        <f>HYPERLINK("https://www.youtube.com/watch?v=bcGxg3c1HE8&amp;t=88s", "Go to time")</f>
        <v/>
      </c>
    </row>
    <row r="12762">
      <c r="A12762">
        <f>HYPERLINK("https://www.youtube.com/watch?v=WjVVwMGJ9S8", "Video")</f>
        <v/>
      </c>
      <c r="B12762" t="inlineStr">
        <is>
          <t>4:04</t>
        </is>
      </c>
      <c r="C12762" t="inlineStr">
        <is>
          <t>with high school GPA, this prediction can
get a bit better.</t>
        </is>
      </c>
      <c r="D12762">
        <f>HYPERLINK("https://www.youtube.com/watch?v=WjVVwMGJ9S8&amp;t=244s", "Go to time")</f>
        <v/>
      </c>
    </row>
    <row r="12763">
      <c r="A12763">
        <f>HYPERLINK("https://www.youtube.com/watch?v=ualUPur6iks", "Video")</f>
        <v/>
      </c>
      <c r="B12763" t="inlineStr">
        <is>
          <t>3:39</t>
        </is>
      </c>
      <c r="C12763" t="inlineStr">
        <is>
          <t>website you submit just a few bits of</t>
        </is>
      </c>
      <c r="D12763">
        <f>HYPERLINK("https://www.youtube.com/watch?v=ualUPur6iks&amp;t=219s", "Go to time")</f>
        <v/>
      </c>
    </row>
    <row r="12764">
      <c r="A12764">
        <f>HYPERLINK("https://www.youtube.com/watch?v=QYXT8hEI8tM", "Video")</f>
        <v/>
      </c>
      <c r="B12764" t="inlineStr">
        <is>
          <t>3:04</t>
        </is>
      </c>
      <c r="C12764" t="inlineStr">
        <is>
          <t>a little bit stoned right now it's</t>
        </is>
      </c>
      <c r="D12764">
        <f>HYPERLINK("https://www.youtube.com/watch?v=QYXT8hEI8tM&amp;t=184s", "Go to time")</f>
        <v/>
      </c>
    </row>
    <row r="12765">
      <c r="A12765">
        <f>HYPERLINK("https://www.youtube.com/watch?v=QYXT8hEI8tM", "Video")</f>
        <v/>
      </c>
      <c r="B12765" t="inlineStr">
        <is>
          <t>5:45</t>
        </is>
      </c>
      <c r="C12765" t="inlineStr">
        <is>
          <t>reseal it like it's a bit of a weak link</t>
        </is>
      </c>
      <c r="D12765">
        <f>HYPERLINK("https://www.youtube.com/watch?v=QYXT8hEI8tM&amp;t=345s", "Go to time")</f>
        <v/>
      </c>
    </row>
    <row r="12766">
      <c r="A12766">
        <f>HYPERLINK("https://www.youtube.com/watch?v=QYXT8hEI8tM", "Video")</f>
        <v/>
      </c>
      <c r="B12766" t="inlineStr">
        <is>
          <t>9:01</t>
        </is>
      </c>
      <c r="C12766" t="inlineStr">
        <is>
          <t>looking like a bit like a college dorm</t>
        </is>
      </c>
      <c r="D12766">
        <f>HYPERLINK("https://www.youtube.com/watch?v=QYXT8hEI8tM&amp;t=541s", "Go to time")</f>
        <v/>
      </c>
    </row>
    <row r="12767">
      <c r="A12767">
        <f>HYPERLINK("https://www.youtube.com/watch?v=nf-Yy3EuZi0", "Video")</f>
        <v/>
      </c>
      <c r="B12767" t="inlineStr">
        <is>
          <t>1:13</t>
        </is>
      </c>
      <c r="C12767" t="inlineStr">
        <is>
          <t>Urbanization changes habitat.</t>
        </is>
      </c>
      <c r="D12767">
        <f>HYPERLINK("https://www.youtube.com/watch?v=nf-Yy3EuZi0&amp;t=73s", "Go to time")</f>
        <v/>
      </c>
    </row>
    <row r="12768">
      <c r="A12768">
        <f>HYPERLINK("https://www.youtube.com/watch?v=nf-Yy3EuZi0", "Video")</f>
        <v/>
      </c>
      <c r="B12768" t="inlineStr">
        <is>
          <t>2:10</t>
        </is>
      </c>
      <c r="C12768" t="inlineStr">
        <is>
          <t>it can drive habitat losses</t>
        </is>
      </c>
      <c r="D12768">
        <f>HYPERLINK("https://www.youtube.com/watch?v=nf-Yy3EuZi0&amp;t=130s", "Go to time")</f>
        <v/>
      </c>
    </row>
    <row r="12769">
      <c r="A12769">
        <f>HYPERLINK("https://www.youtube.com/watch?v=nf-Yy3EuZi0", "Video")</f>
        <v/>
      </c>
      <c r="B12769" t="inlineStr">
        <is>
          <t>4:43</t>
        </is>
      </c>
      <c r="C12769" t="inlineStr">
        <is>
          <t>Because you're providing habitat for additional groups...</t>
        </is>
      </c>
      <c r="D12769">
        <f>HYPERLINK("https://www.youtube.com/watch?v=nf-Yy3EuZi0&amp;t=283s", "Go to time")</f>
        <v/>
      </c>
    </row>
    <row r="12770">
      <c r="A12770">
        <f>HYPERLINK("https://www.youtube.com/watch?v=nf-Yy3EuZi0", "Video")</f>
        <v/>
      </c>
      <c r="B12770" t="inlineStr">
        <is>
          <t>4:47</t>
        </is>
      </c>
      <c r="C12770" t="inlineStr">
        <is>
          <t>Sometimes you can restore habitats 
that have been lost.</t>
        </is>
      </c>
      <c r="D12770">
        <f>HYPERLINK("https://www.youtube.com/watch?v=nf-Yy3EuZi0&amp;t=287s", "Go to time")</f>
        <v/>
      </c>
    </row>
    <row r="12771">
      <c r="A12771">
        <f>HYPERLINK("https://www.youtube.com/watch?v=nf-Yy3EuZi0", "Video")</f>
        <v/>
      </c>
      <c r="B12771" t="inlineStr">
        <is>
          <t>5:39</t>
        </is>
      </c>
      <c r="C12771" t="inlineStr">
        <is>
          <t>Plus, ambitious sponge city designs</t>
        </is>
      </c>
      <c r="D12771">
        <f>HYPERLINK("https://www.youtube.com/watch?v=nf-Yy3EuZi0&amp;t=339s", "Go to time")</f>
        <v/>
      </c>
    </row>
    <row r="12772">
      <c r="A12772">
        <f>HYPERLINK("https://www.youtube.com/watch?v=_7FWr2Nvf9I", "Video")</f>
        <v/>
      </c>
      <c r="B12772" t="inlineStr">
        <is>
          <t>8:43</t>
        </is>
      </c>
      <c r="C12772" t="inlineStr">
        <is>
          <t>rabbit hole</t>
        </is>
      </c>
      <c r="D12772">
        <f>HYPERLINK("https://www.youtube.com/watch?v=_7FWr2Nvf9I&amp;t=523s", "Go to time")</f>
        <v/>
      </c>
    </row>
    <row r="12773">
      <c r="A12773">
        <f>HYPERLINK("https://www.youtube.com/watch?v=_7FWr2Nvf9I", "Video")</f>
        <v/>
      </c>
      <c r="B12773" t="inlineStr">
        <is>
          <t>8:55</t>
        </is>
      </c>
      <c r="C12773" t="inlineStr">
        <is>
          <t>rabbit holes that</t>
        </is>
      </c>
      <c r="D12773">
        <f>HYPERLINK("https://www.youtube.com/watch?v=_7FWr2Nvf9I&amp;t=535s", "Go to time")</f>
        <v/>
      </c>
    </row>
    <row r="12774">
      <c r="A12774">
        <f>HYPERLINK("https://www.youtube.com/watch?v=WSG0MnmUsEY", "Video")</f>
        <v/>
      </c>
      <c r="B12774" t="inlineStr">
        <is>
          <t>1:44</t>
        </is>
      </c>
      <c r="C12774" t="inlineStr">
        <is>
          <t>Hubble Space Telescope has been orbiting</t>
        </is>
      </c>
      <c r="D12774">
        <f>HYPERLINK("https://www.youtube.com/watch?v=WSG0MnmUsEY&amp;t=104s", "Go to time")</f>
        <v/>
      </c>
    </row>
    <row r="12775">
      <c r="A12775">
        <f>HYPERLINK("https://www.youtube.com/watch?v=ZGk-rH_zcPE", "Video")</f>
        <v/>
      </c>
      <c r="B12775" t="inlineStr">
        <is>
          <t>5:12</t>
        </is>
      </c>
      <c r="C12775" t="inlineStr">
        <is>
          <t>chief wants to play ball there's a bit</t>
        </is>
      </c>
      <c r="D12775">
        <f>HYPERLINK("https://www.youtube.com/watch?v=ZGk-rH_zcPE&amp;t=312s", "Go to time")</f>
        <v/>
      </c>
    </row>
    <row r="12776">
      <c r="A12776">
        <f>HYPERLINK("https://www.youtube.com/watch?v=ZGk-rH_zcPE", "Video")</f>
        <v/>
      </c>
      <c r="B12776" t="inlineStr">
        <is>
          <t>7:08</t>
        </is>
      </c>
      <c r="C12776" t="inlineStr">
        <is>
          <t>you can get a bit more money if you film</t>
        </is>
      </c>
      <c r="D12776">
        <f>HYPERLINK("https://www.youtube.com/watch?v=ZGk-rH_zcPE&amp;t=428s", "Go to time")</f>
        <v/>
      </c>
    </row>
    <row r="12777">
      <c r="A12777">
        <f>HYPERLINK("https://www.youtube.com/watch?v=y3mazk5j8Sg", "Video")</f>
        <v/>
      </c>
      <c r="B12777" t="inlineStr">
        <is>
          <t>4:40</t>
        </is>
      </c>
      <c r="C12777" t="inlineStr">
        <is>
          <t>Typically, deer and moose don't share
the same habitat.</t>
        </is>
      </c>
      <c r="D12777">
        <f>HYPERLINK("https://www.youtube.com/watch?v=y3mazk5j8Sg&amp;t=280s", "Go to time")</f>
        <v/>
      </c>
    </row>
    <row r="12778">
      <c r="A12778">
        <f>HYPERLINK("https://www.youtube.com/watch?v=y3mazk5j8Sg", "Video")</f>
        <v/>
      </c>
      <c r="B12778" t="inlineStr">
        <is>
          <t>5:01</t>
        </is>
      </c>
      <c r="C12778" t="inlineStr">
        <is>
          <t>Right into the moose's habitat.</t>
        </is>
      </c>
      <c r="D12778">
        <f>HYPERLINK("https://www.youtube.com/watch?v=y3mazk5j8Sg&amp;t=301s", "Go to time")</f>
        <v/>
      </c>
    </row>
    <row r="12779">
      <c r="A12779">
        <f>HYPERLINK("https://www.youtube.com/watch?v=y3mazk5j8Sg", "Video")</f>
        <v/>
      </c>
      <c r="B12779" t="inlineStr">
        <is>
          <t>5:20</t>
        </is>
      </c>
      <c r="C12779" t="inlineStr">
        <is>
          <t>It tends to tunnel around looking for 
the right habitat for it</t>
        </is>
      </c>
      <c r="D12779">
        <f>HYPERLINK("https://www.youtube.com/watch?v=y3mazk5j8Sg&amp;t=320s", "Go to time")</f>
        <v/>
      </c>
    </row>
    <row r="12780">
      <c r="A12780">
        <f>HYPERLINK("https://www.youtube.com/watch?v=ObL2xm5NrCk", "Video")</f>
        <v/>
      </c>
      <c r="B12780" t="inlineStr">
        <is>
          <t>2:30</t>
        </is>
      </c>
      <c r="C12780" t="inlineStr">
        <is>
          <t>hit a bit of a ceiling they were looking</t>
        </is>
      </c>
      <c r="D12780">
        <f>HYPERLINK("https://www.youtube.com/watch?v=ObL2xm5NrCk&amp;t=150s", "Go to time")</f>
        <v/>
      </c>
    </row>
    <row r="12781">
      <c r="A12781">
        <f>HYPERLINK("https://www.youtube.com/watch?v=rGVgjS98OsU", "Video")</f>
        <v/>
      </c>
      <c r="B12781" t="inlineStr">
        <is>
          <t>4:54</t>
        </is>
      </c>
      <c r="C12781" t="inlineStr">
        <is>
          <t>The idea was that those inhabitants 
weren't a people</t>
        </is>
      </c>
      <c r="D12781">
        <f>HYPERLINK("https://www.youtube.com/watch?v=rGVgjS98OsU&amp;t=294s", "Go to time")</f>
        <v/>
      </c>
    </row>
    <row r="12782">
      <c r="A12782">
        <f>HYPERLINK("https://www.youtube.com/watch?v=65bNr6D0Db0", "Video")</f>
        <v/>
      </c>
      <c r="B12782" t="inlineStr">
        <is>
          <t>2:03</t>
        </is>
      </c>
      <c r="C12782" t="inlineStr">
        <is>
          <t>Russian law technically 
prohibits its citizens</t>
        </is>
      </c>
      <c r="D12782">
        <f>HYPERLINK("https://www.youtube.com/watch?v=65bNr6D0Db0&amp;t=123s", "Go to time")</f>
        <v/>
      </c>
    </row>
    <row r="12783">
      <c r="A12783">
        <f>HYPERLINK("https://www.youtube.com/watch?v=HdsWYOZ8iqM", "Video")</f>
        <v/>
      </c>
      <c r="B12783" t="inlineStr">
        <is>
          <t>2:00</t>
        </is>
      </c>
      <c r="C12783" t="inlineStr">
        <is>
          <t>You know word gets out, black people, seeing other black people and say oh there's a little bit of a community</t>
        </is>
      </c>
      <c r="D12783">
        <f>HYPERLINK("https://www.youtube.com/watch?v=HdsWYOZ8iqM&amp;t=120s", "Go to time")</f>
        <v/>
      </c>
    </row>
    <row r="12784">
      <c r="A12784">
        <f>HYPERLINK("https://www.youtube.com/watch?v=HdsWYOZ8iqM", "Video")</f>
        <v/>
      </c>
      <c r="B12784" t="inlineStr">
        <is>
          <t>6:28</t>
        </is>
      </c>
      <c r="C12784" t="inlineStr">
        <is>
          <t>“The Ebon inhabitants, after whom the village is called...have been notified to remove by the first of August.”</t>
        </is>
      </c>
      <c r="D12784">
        <f>HYPERLINK("https://www.youtube.com/watch?v=HdsWYOZ8iqM&amp;t=388s", "Go to time")</f>
        <v/>
      </c>
    </row>
    <row r="12785">
      <c r="A12785">
        <f>HYPERLINK("https://www.youtube.com/watch?v=HdsWYOZ8iqM", "Video")</f>
        <v/>
      </c>
      <c r="B12785" t="inlineStr">
        <is>
          <t>7:17</t>
        </is>
      </c>
      <c r="C12785" t="inlineStr">
        <is>
          <t>An exhibition with information about Seneca Village is temporarily up in the park.</t>
        </is>
      </c>
      <c r="D12785">
        <f>HYPERLINK("https://www.youtube.com/watch?v=HdsWYOZ8iqM&amp;t=437s", "Go to time")</f>
        <v/>
      </c>
    </row>
    <row r="12786">
      <c r="A12786">
        <f>HYPERLINK("https://www.youtube.com/watch?v=Z9cJQN6lw3w", "Video")</f>
        <v/>
      </c>
      <c r="B12786" t="inlineStr">
        <is>
          <t>9:31</t>
        </is>
      </c>
      <c r="C12786" t="inlineStr">
        <is>
          <t>The project also includes an
ambitious $40 billion plan</t>
        </is>
      </c>
      <c r="D12786">
        <f>HYPERLINK("https://www.youtube.com/watch?v=Z9cJQN6lw3w&amp;t=571s", "Go to time")</f>
        <v/>
      </c>
    </row>
    <row r="12787">
      <c r="A12787">
        <f>HYPERLINK("https://www.youtube.com/watch?v=mvQ62EdP-mc", "Video")</f>
        <v/>
      </c>
      <c r="B12787" t="inlineStr">
        <is>
          <t>7:49</t>
        </is>
      </c>
      <c r="C12787" t="inlineStr">
        <is>
          <t>them a little bit of hands oh but</t>
        </is>
      </c>
      <c r="D12787">
        <f>HYPERLINK("https://www.youtube.com/watch?v=mvQ62EdP-mc&amp;t=469s", "Go to time")</f>
        <v/>
      </c>
    </row>
    <row r="12788">
      <c r="A12788">
        <f>HYPERLINK("https://www.youtube.com/watch?v=mvQ62EdP-mc", "Video")</f>
        <v/>
      </c>
      <c r="B12788" t="inlineStr">
        <is>
          <t>9:24</t>
        </is>
      </c>
      <c r="C12788" t="inlineStr">
        <is>
          <t>it's now made a little bit harder</t>
        </is>
      </c>
      <c r="D12788">
        <f>HYPERLINK("https://www.youtube.com/watch?v=mvQ62EdP-mc&amp;t=564s", "Go to time")</f>
        <v/>
      </c>
    </row>
    <row r="12789">
      <c r="A12789">
        <f>HYPERLINK("https://www.youtube.com/watch?v=mvQ62EdP-mc", "Video")</f>
        <v/>
      </c>
      <c r="B12789" t="inlineStr">
        <is>
          <t>13:24</t>
        </is>
      </c>
      <c r="C12789" t="inlineStr">
        <is>
          <t>a bit like this</t>
        </is>
      </c>
      <c r="D12789">
        <f>HYPERLINK("https://www.youtube.com/watch?v=mvQ62EdP-mc&amp;t=804s", "Go to time")</f>
        <v/>
      </c>
    </row>
    <row r="12790">
      <c r="A12790">
        <f>HYPERLINK("https://www.youtube.com/watch?v=mvQ62EdP-mc", "Video")</f>
        <v/>
      </c>
      <c r="B12790" t="inlineStr">
        <is>
          <t>13:56</t>
        </is>
      </c>
      <c r="C12790" t="inlineStr">
        <is>
          <t>that is not my natural habitat but to go</t>
        </is>
      </c>
      <c r="D12790">
        <f>HYPERLINK("https://www.youtube.com/watch?v=mvQ62EdP-mc&amp;t=836s", "Go to time")</f>
        <v/>
      </c>
    </row>
    <row r="12791">
      <c r="A12791">
        <f>HYPERLINK("https://www.youtube.com/watch?v=mvQ62EdP-mc", "Video")</f>
        <v/>
      </c>
      <c r="B12791" t="inlineStr">
        <is>
          <t>15:19</t>
        </is>
      </c>
      <c r="C12791" t="inlineStr">
        <is>
          <t>like down a rabbit hole you think in</t>
        </is>
      </c>
      <c r="D12791">
        <f>HYPERLINK("https://www.youtube.com/watch?v=mvQ62EdP-mc&amp;t=919s", "Go to time")</f>
        <v/>
      </c>
    </row>
    <row r="12792">
      <c r="A12792">
        <f>HYPERLINK("https://www.youtube.com/watch?v=bEJ0_TVXh-I", "Video")</f>
        <v/>
      </c>
      <c r="B12792" t="inlineStr">
        <is>
          <t>5:15</t>
        </is>
      </c>
      <c r="C12792" t="inlineStr">
        <is>
          <t>And at some point we have to ask if it makes sense to prohibit chat bots for school.</t>
        </is>
      </c>
      <c r="D12792">
        <f>HYPERLINK("https://www.youtube.com/watch?v=bEJ0_TVXh-I&amp;t=315s", "Go to time")</f>
        <v/>
      </c>
    </row>
    <row r="12793">
      <c r="A12793">
        <f>HYPERLINK("https://www.youtube.com/watch?v=bEJ0_TVXh-I", "Video")</f>
        <v/>
      </c>
      <c r="B12793" t="inlineStr">
        <is>
          <t>11:29</t>
        </is>
      </c>
      <c r="C12793" t="inlineStr">
        <is>
          <t>requires things to be a little bit hard.</t>
        </is>
      </c>
      <c r="D12793">
        <f>HYPERLINK("https://www.youtube.com/watch?v=bEJ0_TVXh-I&amp;t=689s", "Go to time")</f>
        <v/>
      </c>
    </row>
    <row r="12794">
      <c r="A12794">
        <f>HYPERLINK("https://www.youtube.com/watch?v=bEJ0_TVXh-I", "Video")</f>
        <v/>
      </c>
      <c r="B12794" t="inlineStr">
        <is>
          <t>12:58</t>
        </is>
      </c>
      <c r="C12794" t="inlineStr">
        <is>
          <t>So it was a bit frustrating.</t>
        </is>
      </c>
      <c r="D12794">
        <f>HYPERLINK("https://www.youtube.com/watch?v=bEJ0_TVXh-I&amp;t=778s", "Go to time")</f>
        <v/>
      </c>
    </row>
    <row r="12795">
      <c r="A12795">
        <f>HYPERLINK("https://www.youtube.com/watch?v=bEJ0_TVXh-I", "Video")</f>
        <v/>
      </c>
      <c r="B12795" t="inlineStr">
        <is>
          <t>14:20</t>
        </is>
      </c>
      <c r="C12795" t="inlineStr">
        <is>
          <t>a little bit of struggling as a signal that we're not learning.</t>
        </is>
      </c>
      <c r="D12795">
        <f>HYPERLINK("https://www.youtube.com/watch?v=bEJ0_TVXh-I&amp;t=860s", "Go to time")</f>
        <v/>
      </c>
    </row>
    <row r="12796">
      <c r="A12796">
        <f>HYPERLINK("https://www.youtube.com/watch?v=ddiOJLuu2mo", "Video")</f>
        <v/>
      </c>
      <c r="B12796" t="inlineStr">
        <is>
          <t>2:42</t>
        </is>
      </c>
      <c r="C12796" t="inlineStr">
        <is>
          <t>Laborers would pose for portraits and tell
Hine a bit about themselves, their wages,</t>
        </is>
      </c>
      <c r="D12796">
        <f>HYPERLINK("https://www.youtube.com/watch?v=ddiOJLuu2mo&amp;t=162s", "Go to time")</f>
        <v/>
      </c>
    </row>
    <row r="12797">
      <c r="A12797">
        <f>HYPERLINK("https://www.youtube.com/watch?v=S1m-KgEpoow", "Video")</f>
        <v/>
      </c>
      <c r="B12797" t="inlineStr">
        <is>
          <t>15:46</t>
        </is>
      </c>
      <c r="C12797" t="inlineStr">
        <is>
          <t>I write fairly boring singer songwriting music
that has gone a bit viral on TikTok.</t>
        </is>
      </c>
      <c r="D12797">
        <f>HYPERLINK("https://www.youtube.com/watch?v=S1m-KgEpoow&amp;t=946s", "Go to time")</f>
        <v/>
      </c>
    </row>
    <row r="12798">
      <c r="A12798">
        <f>HYPERLINK("https://www.youtube.com/watch?v=0cjSEWZ8LM8", "Video")</f>
        <v/>
      </c>
      <c r="B12798" t="inlineStr">
        <is>
          <t>11:25</t>
        </is>
      </c>
      <c r="C12798" t="inlineStr">
        <is>
          <t>Right, right.
It takes you just a little bit
longer to make decisions.</t>
        </is>
      </c>
      <c r="D12798">
        <f>HYPERLINK("https://www.youtube.com/watch?v=0cjSEWZ8LM8&amp;t=685s", "Go to time")</f>
        <v/>
      </c>
    </row>
    <row r="12799">
      <c r="A12799">
        <f>HYPERLINK("https://www.youtube.com/watch?v=0cjSEWZ8LM8", "Video")</f>
        <v/>
      </c>
      <c r="B12799" t="inlineStr">
        <is>
          <t>14:57</t>
        </is>
      </c>
      <c r="C12799" t="inlineStr">
        <is>
          <t>I'm gonna go learn
a bit more about mine.</t>
        </is>
      </c>
      <c r="D12799">
        <f>HYPERLINK("https://www.youtube.com/watch?v=0cjSEWZ8LM8&amp;t=897s", "Go to time")</f>
        <v/>
      </c>
    </row>
    <row r="12800">
      <c r="A12800">
        <f>HYPERLINK("https://www.youtube.com/watch?v=VWUXDDM_TAQ", "Video")</f>
        <v/>
      </c>
      <c r="B12800" t="inlineStr">
        <is>
          <t>8:58</t>
        </is>
      </c>
      <c r="C12800" t="inlineStr">
        <is>
          <t>say a bit about that? Well, uh the</t>
        </is>
      </c>
      <c r="D12800">
        <f>HYPERLINK("https://www.youtube.com/watch?v=VWUXDDM_TAQ&amp;t=538s", "Go to time")</f>
        <v/>
      </c>
    </row>
    <row r="12801">
      <c r="A12801">
        <f>HYPERLINK("https://www.youtube.com/watch?v=VWUXDDM_TAQ", "Video")</f>
        <v/>
      </c>
      <c r="B12801" t="inlineStr">
        <is>
          <t>17:46</t>
        </is>
      </c>
      <c r="C12801" t="inlineStr">
        <is>
          <t>chomping at the bit to get the vaccine.</t>
        </is>
      </c>
      <c r="D12801">
        <f>HYPERLINK("https://www.youtube.com/watch?v=VWUXDDM_TAQ&amp;t=1066s", "Go to time")</f>
        <v/>
      </c>
    </row>
    <row r="12802">
      <c r="A12802">
        <f>HYPERLINK("https://www.youtube.com/watch?v=VWUXDDM_TAQ", "Video")</f>
        <v/>
      </c>
      <c r="B12802" t="inlineStr">
        <is>
          <t>27:33</t>
        </is>
      </c>
      <c r="C12802" t="inlineStr">
        <is>
          <t>was a bit of a disjunction between what</t>
        </is>
      </c>
      <c r="D12802">
        <f>HYPERLINK("https://www.youtube.com/watch?v=VWUXDDM_TAQ&amp;t=1653s", "Go to time")</f>
        <v/>
      </c>
    </row>
    <row r="12803">
      <c r="A12803">
        <f>HYPERLINK("https://www.youtube.com/watch?v=HFyaW50GFOs", "Video")</f>
        <v/>
      </c>
      <c r="B12803" t="inlineStr">
        <is>
          <t>1:08</t>
        </is>
      </c>
      <c r="C12803" t="inlineStr">
        <is>
          <t>CLEO: Would it be fair to say that the experience of the Web before cookies was a little bit</t>
        </is>
      </c>
      <c r="D12803">
        <f>HYPERLINK("https://www.youtube.com/watch?v=HFyaW50GFOs&amp;t=68s", "Go to time")</f>
        <v/>
      </c>
    </row>
    <row r="12804">
      <c r="A12804">
        <f>HYPERLINK("https://www.youtube.com/watch?v=88Cd5H3kmXQ", "Video")</f>
        <v/>
      </c>
      <c r="B12804" t="inlineStr">
        <is>
          <t>11:24</t>
        </is>
      </c>
      <c r="C12804" t="inlineStr">
        <is>
          <t>you really need to be taking
big bites of the apple.</t>
        </is>
      </c>
      <c r="D12804">
        <f>HYPERLINK("https://www.youtube.com/watch?v=88Cd5H3kmXQ&amp;t=684s", "Go to time")</f>
        <v/>
      </c>
    </row>
    <row r="12805">
      <c r="A12805">
        <f>HYPERLINK("https://www.youtube.com/watch?v=o2IeEsPki0I", "Video")</f>
        <v/>
      </c>
      <c r="B12805" t="inlineStr">
        <is>
          <t>1:26</t>
        </is>
      </c>
      <c r="C12805" t="inlineStr">
        <is>
          <t>If she leans back a little 
bit,  she'll fall over.</t>
        </is>
      </c>
      <c r="D12805">
        <f>HYPERLINK("https://www.youtube.com/watch?v=o2IeEsPki0I&amp;t=86s", "Go to time")</f>
        <v/>
      </c>
    </row>
    <row r="12806">
      <c r="A12806">
        <f>HYPERLINK("https://www.youtube.com/watch?v=DiheSWIxydk", "Video")</f>
        <v/>
      </c>
      <c r="B12806" t="inlineStr">
        <is>
          <t>0:06</t>
        </is>
      </c>
      <c r="C12806" t="inlineStr">
        <is>
          <t>But first, we want to tell you 
a little bit</t>
        </is>
      </c>
      <c r="D12806">
        <f>HYPERLINK("https://www.youtube.com/watch?v=DiheSWIxydk&amp;t=6s", "Go to time")</f>
        <v/>
      </c>
    </row>
    <row r="12807">
      <c r="A12807">
        <f>HYPERLINK("https://www.youtube.com/watch?v=DiheSWIxydk", "Video")</f>
        <v/>
      </c>
      <c r="B12807" t="inlineStr">
        <is>
          <t>4:11</t>
        </is>
      </c>
      <c r="C12807" t="inlineStr">
        <is>
          <t>And help us do more ambitious journalism for you.</t>
        </is>
      </c>
      <c r="D12807">
        <f>HYPERLINK("https://www.youtube.com/watch?v=DiheSWIxydk&amp;t=251s", "Go to time")</f>
        <v/>
      </c>
    </row>
    <row r="12808">
      <c r="A12808">
        <f>HYPERLINK("https://www.youtube.com/watch?v=oRUjKZOhV6E", "Video")</f>
        <v/>
      </c>
      <c r="B12808" t="inlineStr">
        <is>
          <t>1:30</t>
        </is>
      </c>
      <c r="C12808" t="inlineStr">
        <is>
          <t>which makes the Earth 
a little bit hotter.</t>
        </is>
      </c>
      <c r="D12808">
        <f>HYPERLINK("https://www.youtube.com/watch?v=oRUjKZOhV6E&amp;t=90s", "Go to time")</f>
        <v/>
      </c>
    </row>
    <row r="12809">
      <c r="A12809">
        <f>HYPERLINK("https://www.youtube.com/watch?v=oRUjKZOhV6E", "Video")</f>
        <v/>
      </c>
      <c r="B12809" t="inlineStr">
        <is>
          <t>5:28</t>
        </is>
      </c>
      <c r="C12809" t="inlineStr">
        <is>
          <t>But getting people to change their habits</t>
        </is>
      </c>
      <c r="D12809">
        <f>HYPERLINK("https://www.youtube.com/watch?v=oRUjKZOhV6E&amp;t=328s", "Go to time")</f>
        <v/>
      </c>
    </row>
    <row r="12810">
      <c r="A12810">
        <f>HYPERLINK("https://www.youtube.com/watch?v=OTk4Q4Nm5CA", "Video")</f>
        <v/>
      </c>
      <c r="B12810" t="inlineStr">
        <is>
          <t>1:40</t>
        </is>
      </c>
      <c r="C12810" t="inlineStr">
        <is>
          <t>They prohibit things like intentionally targeting
civilians.</t>
        </is>
      </c>
      <c r="D12810">
        <f>HYPERLINK("https://www.youtube.com/watch?v=OTk4Q4Nm5CA&amp;t=100s", "Go to time")</f>
        <v/>
      </c>
    </row>
    <row r="12811">
      <c r="A12811">
        <f>HYPERLINK("https://www.youtube.com/watch?v=OTk4Q4Nm5CA", "Video")</f>
        <v/>
      </c>
      <c r="B12811" t="inlineStr">
        <is>
          <t>7:22</t>
        </is>
      </c>
      <c r="C12811" t="inlineStr">
        <is>
          <t>by also prohibiting the development, production,
and stockpiling of the weapon.</t>
        </is>
      </c>
      <c r="D12811">
        <f>HYPERLINK("https://www.youtube.com/watch?v=OTk4Q4Nm5CA&amp;t=442s", "Go to time")</f>
        <v/>
      </c>
    </row>
    <row r="12812">
      <c r="A12812">
        <f>HYPERLINK("https://www.youtube.com/watch?v=IZWQonLN2xk", "Video")</f>
        <v/>
      </c>
      <c r="B12812" t="inlineStr">
        <is>
          <t>9:03</t>
        </is>
      </c>
      <c r="C12812" t="inlineStr">
        <is>
          <t>people I asked you to do a little bit of</t>
        </is>
      </c>
      <c r="D12812">
        <f>HYPERLINK("https://www.youtube.com/watch?v=IZWQonLN2xk&amp;t=543s", "Go to time")</f>
        <v/>
      </c>
    </row>
    <row r="12813">
      <c r="A12813">
        <f>HYPERLINK("https://www.youtube.com/watch?v=2BmN8C8IzRw", "Video")</f>
        <v/>
      </c>
      <c r="B12813" t="inlineStr">
        <is>
          <t>13:22</t>
        </is>
      </c>
      <c r="C12813" t="inlineStr">
        <is>
          <t>The pushing stage of labor tends
to be a bit longer,</t>
        </is>
      </c>
      <c r="D12813">
        <f>HYPERLINK("https://www.youtube.com/watch?v=2BmN8C8IzRw&amp;t=802s", "Go to time")</f>
        <v/>
      </c>
    </row>
    <row r="12814">
      <c r="A12814">
        <f>HYPERLINK("https://www.youtube.com/watch?v=twAP3buj9Og", "Video")</f>
        <v/>
      </c>
      <c r="B12814" t="inlineStr">
        <is>
          <t>0:02</t>
        </is>
      </c>
      <c r="C12814" t="inlineStr">
        <is>
          <t>Of all the rabbit holes I get stuck in 
on the internet</t>
        </is>
      </c>
      <c r="D12814">
        <f>HYPERLINK("https://www.youtube.com/watch?v=twAP3buj9Og&amp;t=2s", "Go to time")</f>
        <v/>
      </c>
    </row>
    <row r="12815">
      <c r="A12815">
        <f>HYPERLINK("https://www.youtube.com/watch?v=twAP3buj9Og", "Video")</f>
        <v/>
      </c>
      <c r="B12815" t="inlineStr">
        <is>
          <t>8:17</t>
        </is>
      </c>
      <c r="C12815" t="inlineStr">
        <is>
          <t>the basis of habitation in such harsh climates.</t>
        </is>
      </c>
      <c r="D12815">
        <f>HYPERLINK("https://www.youtube.com/watch?v=twAP3buj9Og&amp;t=497s", "Go to time")</f>
        <v/>
      </c>
    </row>
    <row r="12816">
      <c r="A12816">
        <f>HYPERLINK("https://www.youtube.com/watch?v=twAP3buj9Og", "Video")</f>
        <v/>
      </c>
      <c r="B12816" t="inlineStr">
        <is>
          <t>14:44</t>
        </is>
      </c>
      <c r="C12816" t="inlineStr">
        <is>
          <t>It's still a bit risky,</t>
        </is>
      </c>
      <c r="D12816">
        <f>HYPERLINK("https://www.youtube.com/watch?v=twAP3buj9Og&amp;t=884s", "Go to time")</f>
        <v/>
      </c>
    </row>
    <row r="12817">
      <c r="A12817">
        <f>HYPERLINK("https://www.youtube.com/watch?v=twAP3buj9Og", "Video")</f>
        <v/>
      </c>
      <c r="B12817" t="inlineStr">
        <is>
          <t>17:48</t>
        </is>
      </c>
      <c r="C12817" t="inlineStr">
        <is>
          <t>This one's a bit clearer.</t>
        </is>
      </c>
      <c r="D12817">
        <f>HYPERLINK("https://www.youtube.com/watch?v=twAP3buj9Og&amp;t=1068s", "Go to time")</f>
        <v/>
      </c>
    </row>
    <row r="12818">
      <c r="A12818">
        <f>HYPERLINK("https://www.youtube.com/watch?v=twAP3buj9Og", "Video")</f>
        <v/>
      </c>
      <c r="B12818" t="inlineStr">
        <is>
          <t>18:14</t>
        </is>
      </c>
      <c r="C12818" t="inlineStr">
        <is>
          <t>So maybe they dug just a little bit...</t>
        </is>
      </c>
      <c r="D12818">
        <f>HYPERLINK("https://www.youtube.com/watch?v=twAP3buj9Og&amp;t=1094s", "Go to time")</f>
        <v/>
      </c>
    </row>
    <row r="12819">
      <c r="A12819">
        <f>HYPERLINK("https://www.youtube.com/watch?v=uhx1sdX2bow", "Video")</f>
        <v/>
      </c>
      <c r="B12819" t="inlineStr">
        <is>
          <t>13:26</t>
        </is>
      </c>
      <c r="C12819" t="inlineStr">
        <is>
          <t>think of information networks as a bit</t>
        </is>
      </c>
      <c r="D12819">
        <f>HYPERLINK("https://www.youtube.com/watch?v=uhx1sdX2bow&amp;t=806s", "Go to time")</f>
        <v/>
      </c>
    </row>
    <row r="12820">
      <c r="A12820">
        <f>HYPERLINK("https://www.youtube.com/watch?v=qlKx8uc_ppU", "Video")</f>
        <v/>
      </c>
      <c r="B12820" t="inlineStr">
        <is>
          <t>3:14</t>
        </is>
      </c>
      <c r="C12820" t="inlineStr">
        <is>
          <t>It seems a bit more complicated 
than simply:</t>
        </is>
      </c>
      <c r="D12820">
        <f>HYPERLINK("https://www.youtube.com/watch?v=qlKx8uc_ppU&amp;t=194s", "Go to time")</f>
        <v/>
      </c>
    </row>
    <row r="12821">
      <c r="A12821">
        <f>HYPERLINK("https://www.youtube.com/watch?v=qlKx8uc_ppU", "Video")</f>
        <v/>
      </c>
      <c r="B12821" t="inlineStr">
        <is>
          <t>8:54</t>
        </is>
      </c>
      <c r="C12821" t="inlineStr">
        <is>
          <t>This honestly threw me a little bit</t>
        </is>
      </c>
      <c r="D12821">
        <f>HYPERLINK("https://www.youtube.com/watch?v=qlKx8uc_ppU&amp;t=534s", "Go to time")</f>
        <v/>
      </c>
    </row>
    <row r="12822">
      <c r="A12822">
        <f>HYPERLINK("https://www.youtube.com/watch?v=WC3ZPgg0nds", "Video")</f>
        <v/>
      </c>
      <c r="B12822" t="inlineStr">
        <is>
          <t>1:21</t>
        </is>
      </c>
      <c r="C12822" t="inlineStr">
        <is>
          <t>That would be prohibitively expensive; it was hard enough as it was.</t>
        </is>
      </c>
      <c r="D12822">
        <f>HYPERLINK("https://www.youtube.com/watch?v=WC3ZPgg0nds&amp;t=81s",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2025-06-25T22:09:29Z</dcterms:created>
  <dcterms:modified xsi:type="dcterms:W3CDTF">2025-06-25T22:09:30Z</dcterms:modified>
</cp:coreProperties>
</file>