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5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HYPERLINK("https://www.youtube.com/watch?v=UwJ0UJ8fXBc", "Video")</f>
        <v/>
      </c>
      <c r="B2" t="inlineStr">
        <is>
          <t>2:17</t>
        </is>
      </c>
      <c r="C2" t="inlineStr">
        <is>
          <t>quicker than we ever could,
and directly to people.</t>
        </is>
      </c>
      <c r="D2">
        <f>HYPERLINK("https://www.youtube.com/watch?v=UwJ0UJ8fXBc&amp;t=137s", "Go to time")</f>
        <v/>
      </c>
    </row>
    <row r="3">
      <c r="A3">
        <f>HYPERLINK("https://www.youtube.com/watch?v=TMGFqXWHXwE", "Video")</f>
        <v/>
      </c>
      <c r="B3" t="inlineStr">
        <is>
          <t>0:06</t>
        </is>
      </c>
      <c r="C3" t="inlineStr">
        <is>
          <t>on the sea. Calcium carbonate will be
harvested directly from sea water,</t>
        </is>
      </c>
      <c r="D3">
        <f>HYPERLINK("https://www.youtube.com/watch?v=TMGFqXWHXwE&amp;t=6s", "Go to time")</f>
        <v/>
      </c>
    </row>
    <row r="4">
      <c r="A4">
        <f>HYPERLINK("https://www.youtube.com/watch?v=vg0oeNtt-K0", "Video")</f>
        <v/>
      </c>
      <c r="B4" t="inlineStr">
        <is>
          <t>2:38</t>
        </is>
      </c>
      <c r="C4" t="inlineStr">
        <is>
          <t>website and applied direct to the</t>
        </is>
      </c>
      <c r="D4">
        <f>HYPERLINK("https://www.youtube.com/watch?v=vg0oeNtt-K0&amp;t=158s", "Go to time")</f>
        <v/>
      </c>
    </row>
    <row r="5">
      <c r="A5">
        <f>HYPERLINK("https://www.youtube.com/watch?v=0IjLMuljWro", "Video")</f>
        <v/>
      </c>
      <c r="B5" t="inlineStr">
        <is>
          <t>0:33</t>
        </is>
      </c>
      <c r="C5" t="inlineStr">
        <is>
          <t>everything that they do is directed</t>
        </is>
      </c>
      <c r="D5">
        <f>HYPERLINK("https://www.youtube.com/watch?v=0IjLMuljWro&amp;t=33s", "Go to time")</f>
        <v/>
      </c>
    </row>
    <row r="6">
      <c r="A6">
        <f>HYPERLINK("https://www.youtube.com/watch?v=DAyXeXVFSbw", "Video")</f>
        <v/>
      </c>
      <c r="B6" t="inlineStr">
        <is>
          <t>0:26</t>
        </is>
      </c>
      <c r="C6" t="inlineStr">
        <is>
          <t>that I could talk directly to them I</t>
        </is>
      </c>
      <c r="D6">
        <f>HYPERLINK("https://www.youtube.com/watch?v=DAyXeXVFSbw&amp;t=26s", "Go to time")</f>
        <v/>
      </c>
    </row>
    <row r="7">
      <c r="A7">
        <f>HYPERLINK("https://www.youtube.com/watch?v=dRke-WXRvME", "Video")</f>
        <v/>
      </c>
      <c r="B7" t="inlineStr">
        <is>
          <t>2:54</t>
        </is>
      </c>
      <c r="C7" t="inlineStr">
        <is>
          <t>As a direct
yet unintended consequence</t>
        </is>
      </c>
      <c r="D7">
        <f>HYPERLINK("https://www.youtube.com/watch?v=dRke-WXRvME&amp;t=174s", "Go to time")</f>
        <v/>
      </c>
    </row>
    <row r="8">
      <c r="A8">
        <f>HYPERLINK("https://www.youtube.com/watch?v=Hw5CPtEyedU", "Video")</f>
        <v/>
      </c>
      <c r="B8" t="inlineStr">
        <is>
          <t>0:39</t>
        </is>
      </c>
      <c r="C8" t="inlineStr">
        <is>
          <t>burlesque performer creative director</t>
        </is>
      </c>
      <c r="D8">
        <f>HYPERLINK("https://www.youtube.com/watch?v=Hw5CPtEyedU&amp;t=39s", "Go to time")</f>
        <v/>
      </c>
    </row>
    <row r="9">
      <c r="A9">
        <f>HYPERLINK("https://www.youtube.com/watch?v=Hw5CPtEyedU", "Video")</f>
        <v/>
      </c>
      <c r="B9" t="inlineStr">
        <is>
          <t>1:36</t>
        </is>
      </c>
      <c r="C9" t="inlineStr">
        <is>
          <t>tools to direct the audience's gaze</t>
        </is>
      </c>
      <c r="D9">
        <f>HYPERLINK("https://www.youtube.com/watch?v=Hw5CPtEyedU&amp;t=96s", "Go to time")</f>
        <v/>
      </c>
    </row>
    <row r="10">
      <c r="A10">
        <f>HYPERLINK("https://www.youtube.com/watch?v=Hw5CPtEyedU", "Video")</f>
        <v/>
      </c>
      <c r="B10" t="inlineStr">
        <is>
          <t>1:43</t>
        </is>
      </c>
      <c r="C10" t="inlineStr">
        <is>
          <t>with how you direct the audience to</t>
        </is>
      </c>
      <c r="D10">
        <f>HYPERLINK("https://www.youtube.com/watch?v=Hw5CPtEyedU&amp;t=103s", "Go to time")</f>
        <v/>
      </c>
    </row>
    <row r="11">
      <c r="A11">
        <f>HYPERLINK("https://www.youtube.com/watch?v=Hw5CPtEyedU", "Video")</f>
        <v/>
      </c>
      <c r="B11" t="inlineStr">
        <is>
          <t>3:11</t>
        </is>
      </c>
      <c r="C11" t="inlineStr">
        <is>
          <t>of day doesn't seem to be very directed</t>
        </is>
      </c>
      <c r="D11">
        <f>HYPERLINK("https://www.youtube.com/watch?v=Hw5CPtEyedU&amp;t=191s", "Go to time")</f>
        <v/>
      </c>
    </row>
    <row r="12">
      <c r="A12">
        <f>HYPERLINK("https://www.youtube.com/watch?v=Hw5CPtEyedU", "Video")</f>
        <v/>
      </c>
      <c r="B12" t="inlineStr">
        <is>
          <t>3:20</t>
        </is>
      </c>
      <c r="C12" t="inlineStr">
        <is>
          <t>the direction your life is traveling in</t>
        </is>
      </c>
      <c r="D12">
        <f>HYPERLINK("https://www.youtube.com/watch?v=Hw5CPtEyedU&amp;t=200s", "Go to time")</f>
        <v/>
      </c>
    </row>
    <row r="13">
      <c r="A13">
        <f>HYPERLINK("https://www.youtube.com/watch?v=rvdPpFqutjc", "Video")</f>
        <v/>
      </c>
      <c r="B13" t="inlineStr">
        <is>
          <t>0:27</t>
        </is>
      </c>
      <c r="C13" t="inlineStr">
        <is>
          <t>they had direct democracy,</t>
        </is>
      </c>
      <c r="D13">
        <f>HYPERLINK("https://www.youtube.com/watch?v=rvdPpFqutjc&amp;t=27s", "Go to time")</f>
        <v/>
      </c>
    </row>
    <row r="14">
      <c r="A14">
        <f>HYPERLINK("https://www.youtube.com/watch?v=KUXl-qP7iZ0", "Video")</f>
        <v/>
      </c>
      <c r="B14" t="inlineStr">
        <is>
          <t>1:11</t>
        </is>
      </c>
      <c r="C14" t="inlineStr">
        <is>
          <t>face your knuckles
directly to the ceiling,</t>
        </is>
      </c>
      <c r="D14">
        <f>HYPERLINK("https://www.youtube.com/watch?v=KUXl-qP7iZ0&amp;t=71s", "Go to time")</f>
        <v/>
      </c>
    </row>
    <row r="15">
      <c r="A15">
        <f>HYPERLINK("https://www.youtube.com/watch?v=-zFTmyW2_tw", "Video")</f>
        <v/>
      </c>
      <c r="B15" t="inlineStr">
        <is>
          <t>1:59</t>
        </is>
      </c>
      <c r="C15" t="inlineStr">
        <is>
          <t>that either block out
direct sunlight</t>
        </is>
      </c>
      <c r="D15">
        <f>HYPERLINK("https://www.youtube.com/watch?v=-zFTmyW2_tw&amp;t=119s", "Go to time")</f>
        <v/>
      </c>
    </row>
    <row r="16">
      <c r="A16">
        <f>HYPERLINK("https://www.youtube.com/watch?v=-zFTmyW2_tw", "Video")</f>
        <v/>
      </c>
      <c r="B16" t="inlineStr">
        <is>
          <t>2:52</t>
        </is>
      </c>
      <c r="C16" t="inlineStr">
        <is>
          <t>that direct cool air towards
buildings</t>
        </is>
      </c>
      <c r="D16">
        <f>HYPERLINK("https://www.youtube.com/watch?v=-zFTmyW2_tw&amp;t=172s", "Go to time")</f>
        <v/>
      </c>
    </row>
    <row r="17">
      <c r="A17">
        <f>HYPERLINK("https://www.youtube.com/watch?v=yY29cd5SxYQ", "Video")</f>
        <v/>
      </c>
      <c r="B17" t="inlineStr">
        <is>
          <t>0:36</t>
        </is>
      </c>
      <c r="C17" t="inlineStr">
        <is>
          <t>However, your answer
will be directly influenced</t>
        </is>
      </c>
      <c r="D17">
        <f>HYPERLINK("https://www.youtube.com/watch?v=yY29cd5SxYQ&amp;t=36s", "Go to time")</f>
        <v/>
      </c>
    </row>
    <row r="18">
      <c r="A18">
        <f>HYPERLINK("https://www.youtube.com/watch?v=GnTIKh5w0j8", "Video")</f>
        <v/>
      </c>
      <c r="B18" t="inlineStr">
        <is>
          <t>1:08</t>
        </is>
      </c>
      <c r="C18" t="inlineStr">
        <is>
          <t>in life they determine our direction and</t>
        </is>
      </c>
      <c r="D18">
        <f>HYPERLINK("https://www.youtube.com/watch?v=GnTIKh5w0j8&amp;t=68s", "Go to time")</f>
        <v/>
      </c>
    </row>
    <row r="19">
      <c r="A19">
        <f>HYPERLINK("https://www.youtube.com/watch?v=7lOJxI-3oqQ", "Video")</f>
        <v/>
      </c>
      <c r="B19" t="inlineStr">
        <is>
          <t>11:55</t>
        </is>
      </c>
      <c r="C19" t="inlineStr">
        <is>
          <t>about what is the direction
of research policy,</t>
        </is>
      </c>
      <c r="D19">
        <f>HYPERLINK("https://www.youtube.com/watch?v=7lOJxI-3oqQ&amp;t=715s", "Go to time")</f>
        <v/>
      </c>
    </row>
    <row r="20">
      <c r="A20">
        <f>HYPERLINK("https://www.youtube.com/watch?v=7lOJxI-3oqQ", "Video")</f>
        <v/>
      </c>
      <c r="B20" t="inlineStr">
        <is>
          <t>13:26</t>
        </is>
      </c>
      <c r="C20" t="inlineStr">
        <is>
          <t>Why have I met
so many directors at GCHQ?</t>
        </is>
      </c>
      <c r="D20">
        <f>HYPERLINK("https://www.youtube.com/watch?v=7lOJxI-3oqQ&amp;t=806s", "Go to time")</f>
        <v/>
      </c>
    </row>
    <row r="21">
      <c r="A21">
        <f>HYPERLINK("https://www.youtube.com/watch?v=pSNpO8tNMz0", "Video")</f>
        <v/>
      </c>
      <c r="B21" t="inlineStr">
        <is>
          <t>2:16</t>
        </is>
      </c>
      <c r="C21" t="inlineStr">
        <is>
          <t>directly from treating technology</t>
        </is>
      </c>
      <c r="D21">
        <f>HYPERLINK("https://www.youtube.com/watch?v=pSNpO8tNMz0&amp;t=136s", "Go to time")</f>
        <v/>
      </c>
    </row>
    <row r="22">
      <c r="A22">
        <f>HYPERLINK("https://www.youtube.com/watch?v=qCYosYUll3E", "Video")</f>
        <v/>
      </c>
      <c r="B22" t="inlineStr">
        <is>
          <t>1:08</t>
        </is>
      </c>
      <c r="C22" t="inlineStr">
        <is>
          <t>directly to your umbilical cord which is</t>
        </is>
      </c>
      <c r="D22">
        <f>HYPERLINK("https://www.youtube.com/watch?v=qCYosYUll3E&amp;t=68s", "Go to time")</f>
        <v/>
      </c>
    </row>
    <row r="23">
      <c r="A23">
        <f>HYPERLINK("https://www.youtube.com/watch?v=FRZwanQ2iM8", "Video")</f>
        <v/>
      </c>
      <c r="B23" t="inlineStr">
        <is>
          <t>0:16</t>
        </is>
      </c>
      <c r="C23" t="inlineStr">
        <is>
          <t>But whereas we can move
in any direction</t>
        </is>
      </c>
      <c r="D23">
        <f>HYPERLINK("https://www.youtube.com/watch?v=FRZwanQ2iM8&amp;t=16s", "Go to time")</f>
        <v/>
      </c>
    </row>
    <row r="24">
      <c r="A24">
        <f>HYPERLINK("https://www.youtube.com/watch?v=FRZwanQ2iM8", "Video")</f>
        <v/>
      </c>
      <c r="B24" t="inlineStr">
        <is>
          <t>0:21</t>
        </is>
      </c>
      <c r="C24" t="inlineStr">
        <is>
          <t>we can only move
in one direction of time -</t>
        </is>
      </c>
      <c r="D24">
        <f>HYPERLINK("https://www.youtube.com/watch?v=FRZwanQ2iM8&amp;t=21s", "Go to time")</f>
        <v/>
      </c>
    </row>
    <row r="25">
      <c r="A25">
        <f>HYPERLINK("https://www.youtube.com/watch?v=FRZwanQ2iM8", "Video")</f>
        <v/>
      </c>
      <c r="B25" t="inlineStr">
        <is>
          <t>3:01</t>
        </is>
      </c>
      <c r="C25" t="inlineStr">
        <is>
          <t>It gives us a clear direction
for the flow of what we call time -</t>
        </is>
      </c>
      <c r="D25">
        <f>HYPERLINK("https://www.youtube.com/watch?v=FRZwanQ2iM8&amp;t=181s", "Go to time")</f>
        <v/>
      </c>
    </row>
    <row r="26">
      <c r="A26">
        <f>HYPERLINK("https://www.youtube.com/watch?v=_iuPewWbp2U", "Video")</f>
        <v/>
      </c>
      <c r="B26" t="inlineStr">
        <is>
          <t>0:39</t>
        </is>
      </c>
      <c r="C26" t="inlineStr">
        <is>
          <t>different direction</t>
        </is>
      </c>
      <c r="D26">
        <f>HYPERLINK("https://www.youtube.com/watch?v=_iuPewWbp2U&amp;t=39s", "Go to time")</f>
        <v/>
      </c>
    </row>
    <row r="27">
      <c r="A27">
        <f>HYPERLINK("https://www.youtube.com/watch?v=b9qZWG-07M8", "Video")</f>
        <v/>
      </c>
      <c r="B27" t="inlineStr">
        <is>
          <t>1:56</t>
        </is>
      </c>
      <c r="C27" t="inlineStr">
        <is>
          <t>was directly in front of them those who</t>
        </is>
      </c>
      <c r="D27">
        <f>HYPERLINK("https://www.youtube.com/watch?v=b9qZWG-07M8&amp;t=116s", "Go to time")</f>
        <v/>
      </c>
    </row>
    <row r="28">
      <c r="A28">
        <f>HYPERLINK("https://www.youtube.com/watch?v=b9qZWG-07M8", "Video")</f>
        <v/>
      </c>
      <c r="B28" t="inlineStr">
        <is>
          <t>3:18</t>
        </is>
      </c>
      <c r="C28" t="inlineStr">
        <is>
          <t>direct path from Hilux masks to the</t>
        </is>
      </c>
      <c r="D28">
        <f>HYPERLINK("https://www.youtube.com/watch?v=b9qZWG-07M8&amp;t=198s", "Go to time")</f>
        <v/>
      </c>
    </row>
    <row r="29">
      <c r="A29">
        <f>HYPERLINK("https://www.youtube.com/watch?v=ZnBF2GeAKbo", "Video")</f>
        <v/>
      </c>
      <c r="B29" t="inlineStr">
        <is>
          <t>7:25</t>
        </is>
      </c>
      <c r="C29" t="inlineStr">
        <is>
          <t>machines making decisions that
directly affect our human lives,</t>
        </is>
      </c>
      <c r="D29">
        <f>HYPERLINK("https://www.youtube.com/watch?v=ZnBF2GeAKbo&amp;t=445s", "Go to time")</f>
        <v/>
      </c>
    </row>
    <row r="30">
      <c r="A30">
        <f>HYPERLINK("https://www.youtube.com/watch?v=XinNmhlnTyI", "Video")</f>
        <v/>
      </c>
      <c r="B30" t="inlineStr">
        <is>
          <t>2:48</t>
        </is>
      </c>
      <c r="C30" t="inlineStr">
        <is>
          <t>directions at left right across the road</t>
        </is>
      </c>
      <c r="D30">
        <f>HYPERLINK("https://www.youtube.com/watch?v=XinNmhlnTyI&amp;t=168s", "Go to time")</f>
        <v/>
      </c>
    </row>
    <row r="31">
      <c r="A31">
        <f>HYPERLINK("https://www.youtube.com/watch?v=3zHr9OKfJds", "Video")</f>
        <v/>
      </c>
      <c r="B31" t="inlineStr">
        <is>
          <t>1:28</t>
        </is>
      </c>
      <c r="C31" t="inlineStr">
        <is>
          <t>wasn't directed towards me I didn't</t>
        </is>
      </c>
      <c r="D31">
        <f>HYPERLINK("https://www.youtube.com/watch?v=3zHr9OKfJds&amp;t=88s", "Go to time")</f>
        <v/>
      </c>
    </row>
    <row r="32">
      <c r="A32">
        <f>HYPERLINK("https://www.youtube.com/watch?v=3zHr9OKfJds", "Video")</f>
        <v/>
      </c>
      <c r="B32" t="inlineStr">
        <is>
          <t>1:32</t>
        </is>
      </c>
      <c r="C32" t="inlineStr">
        <is>
          <t>was directed towards me there was a</t>
        </is>
      </c>
      <c r="D32">
        <f>HYPERLINK("https://www.youtube.com/watch?v=3zHr9OKfJds&amp;t=92s", "Go to time")</f>
        <v/>
      </c>
    </row>
    <row r="33">
      <c r="A33">
        <f>HYPERLINK("https://www.youtube.com/watch?v=PPewLIo4k5A", "Video")</f>
        <v/>
      </c>
      <c r="B33" t="inlineStr">
        <is>
          <t>3:27</t>
        </is>
      </c>
      <c r="C33" t="inlineStr">
        <is>
          <t>So that would imply constant winds,
flowing one direction.</t>
        </is>
      </c>
      <c r="D33">
        <f>HYPERLINK("https://www.youtube.com/watch?v=PPewLIo4k5A&amp;t=207s", "Go to time")</f>
        <v/>
      </c>
    </row>
    <row r="34">
      <c r="A34">
        <f>HYPERLINK("https://www.youtube.com/watch?v=PPewLIo4k5A", "Video")</f>
        <v/>
      </c>
      <c r="B34" t="inlineStr">
        <is>
          <t>4:25</t>
        </is>
      </c>
      <c r="C34" t="inlineStr">
        <is>
          <t>direction of the sun.</t>
        </is>
      </c>
      <c r="D34">
        <f>HYPERLINK("https://www.youtube.com/watch?v=PPewLIo4k5A&amp;t=265s", "Go to time")</f>
        <v/>
      </c>
    </row>
    <row r="35">
      <c r="A35">
        <f>HYPERLINK("https://www.youtube.com/watch?v=8HOH0a0noWI", "Video")</f>
        <v/>
      </c>
      <c r="B35" t="inlineStr">
        <is>
          <t>2:51</t>
        </is>
      </c>
      <c r="C35" t="inlineStr">
        <is>
          <t>the sun shines directly in
through a crack above the doorway.</t>
        </is>
      </c>
      <c r="D35">
        <f>HYPERLINK("https://www.youtube.com/watch?v=8HOH0a0noWI&amp;t=171s", "Go to time")</f>
        <v/>
      </c>
    </row>
    <row r="36">
      <c r="A36">
        <f>HYPERLINK("https://www.youtube.com/watch?v=Kx1BrsFvOkM", "Video")</f>
        <v/>
      </c>
      <c r="B36" t="inlineStr">
        <is>
          <t>1:20</t>
        </is>
      </c>
      <c r="C36" t="inlineStr">
        <is>
          <t>directly opposite was Colston
standing proud over Bristol.</t>
        </is>
      </c>
      <c r="D36">
        <f>HYPERLINK("https://www.youtube.com/watch?v=Kx1BrsFvOkM&amp;t=80s", "Go to time")</f>
        <v/>
      </c>
    </row>
    <row r="37">
      <c r="A37">
        <f>HYPERLINK("https://www.youtube.com/watch?v=YYkIjy8sOmE", "Video")</f>
        <v/>
      </c>
      <c r="B37" t="inlineStr">
        <is>
          <t>1:04</t>
        </is>
      </c>
      <c r="C37" t="inlineStr">
        <is>
          <t>direct translation it's a rich and</t>
        </is>
      </c>
      <c r="D37">
        <f>HYPERLINK("https://www.youtube.com/watch?v=YYkIjy8sOmE&amp;t=64s", "Go to time")</f>
        <v/>
      </c>
    </row>
    <row r="38">
      <c r="A38">
        <f>HYPERLINK("https://www.youtube.com/watch?v=tMiyzuO1qMs", "Video")</f>
        <v/>
      </c>
      <c r="B38" t="inlineStr">
        <is>
          <t>0:26</t>
        </is>
      </c>
      <c r="C38" t="inlineStr">
        <is>
          <t>direction at any one time our primary</t>
        </is>
      </c>
      <c r="D38">
        <f>HYPERLINK("https://www.youtube.com/watch?v=tMiyzuO1qMs&amp;t=26s", "Go to time")</f>
        <v/>
      </c>
    </row>
    <row r="39">
      <c r="A39">
        <f>HYPERLINK("https://www.youtube.com/watch?v=tMiyzuO1qMs", "Video")</f>
        <v/>
      </c>
      <c r="B39" t="inlineStr">
        <is>
          <t>2:41</t>
        </is>
      </c>
      <c r="C39" t="inlineStr">
        <is>
          <t>possible for a driver to look directly</t>
        </is>
      </c>
      <c r="D39">
        <f>HYPERLINK("https://www.youtube.com/watch?v=tMiyzuO1qMs&amp;t=161s", "Go to time")</f>
        <v/>
      </c>
    </row>
    <row r="40">
      <c r="A40">
        <f>HYPERLINK("https://www.youtube.com/watch?v=K5-bAvCM6Zs", "Video")</f>
        <v/>
      </c>
      <c r="B40" t="inlineStr">
        <is>
          <t>1:31</t>
        </is>
      </c>
      <c r="C40" t="inlineStr">
        <is>
          <t>It was virtually unheard of
for there to be a woman director</t>
        </is>
      </c>
      <c r="D40">
        <f>HYPERLINK("https://www.youtube.com/watch?v=K5-bAvCM6Zs&amp;t=91s", "Go to time")</f>
        <v/>
      </c>
    </row>
    <row r="41">
      <c r="A41">
        <f>HYPERLINK("https://www.youtube.com/watch?v=S9DMDy-EWZU", "Video")</f>
        <v/>
      </c>
      <c r="B41" t="inlineStr">
        <is>
          <t>1:59</t>
        </is>
      </c>
      <c r="C41" t="inlineStr">
        <is>
          <t>the direction of the two arrows</t>
        </is>
      </c>
      <c r="D41">
        <f>HYPERLINK("https://www.youtube.com/watch?v=S9DMDy-EWZU&amp;t=119s", "Go to time")</f>
        <v/>
      </c>
    </row>
    <row r="42">
      <c r="A42">
        <f>HYPERLINK("https://www.youtube.com/watch?v=7QDGDh9KT_U", "Video")</f>
        <v/>
      </c>
      <c r="B42" t="inlineStr">
        <is>
          <t>0:20</t>
        </is>
      </c>
      <c r="C42" t="inlineStr">
        <is>
          <t>and puts you directly into
the shoes of somebody</t>
        </is>
      </c>
      <c r="D42">
        <f>HYPERLINK("https://www.youtube.com/watch?v=7QDGDh9KT_U&amp;t=20s", "Go to time")</f>
        <v/>
      </c>
    </row>
    <row r="43">
      <c r="A43">
        <f>HYPERLINK("https://www.youtube.com/watch?v=7QDGDh9KT_U", "Video")</f>
        <v/>
      </c>
      <c r="B43" t="inlineStr">
        <is>
          <t>3:22</t>
        </is>
      </c>
      <c r="C43" t="inlineStr">
        <is>
          <t>is a direct inheritance from
Mesopotamian scholarly tradition.</t>
        </is>
      </c>
      <c r="D43">
        <f>HYPERLINK("https://www.youtube.com/watch?v=7QDGDh9KT_U&amp;t=202s", "Go to time")</f>
        <v/>
      </c>
    </row>
    <row r="44">
      <c r="A44">
        <f>HYPERLINK("https://www.youtube.com/watch?v=S8uV7t-IPew", "Video")</f>
        <v/>
      </c>
      <c r="B44" t="inlineStr">
        <is>
          <t>1:33</t>
        </is>
      </c>
      <c r="C44" t="inlineStr">
        <is>
          <t>An example is the hidden FedEx arrow
that conveys direction and movement.</t>
        </is>
      </c>
      <c r="D44">
        <f>HYPERLINK("https://www.youtube.com/watch?v=S8uV7t-IPew&amp;t=93s", "Go to time")</f>
        <v/>
      </c>
    </row>
    <row r="45">
      <c r="A45">
        <f>HYPERLINK("https://www.youtube.com/watch?v=Dqei9WAHt6A", "Video")</f>
        <v/>
      </c>
      <c r="B45" t="inlineStr">
        <is>
          <t>2:53</t>
        </is>
      </c>
      <c r="C45" t="inlineStr">
        <is>
          <t>was directed at myself,</t>
        </is>
      </c>
      <c r="D45">
        <f>HYPERLINK("https://www.youtube.com/watch?v=Dqei9WAHt6A&amp;t=173s", "Go to time")</f>
        <v/>
      </c>
    </row>
    <row r="46">
      <c r="A46">
        <f>HYPERLINK("https://www.youtube.com/watch?v=WhV6Niia06w", "Video")</f>
        <v/>
      </c>
      <c r="B46" t="inlineStr">
        <is>
          <t>0:31</t>
        </is>
      </c>
      <c r="C46" t="inlineStr">
        <is>
          <t>And if you're able to harness
those in the right direction</t>
        </is>
      </c>
      <c r="D46">
        <f>HYPERLINK("https://www.youtube.com/watch?v=WhV6Niia06w&amp;t=31s", "Go to time")</f>
        <v/>
      </c>
    </row>
    <row r="47">
      <c r="A47">
        <f>HYPERLINK("https://www.youtube.com/watch?v=WhV6Niia06w", "Video")</f>
        <v/>
      </c>
      <c r="B47" t="inlineStr">
        <is>
          <t>2:43</t>
        </is>
      </c>
      <c r="C47" t="inlineStr">
        <is>
          <t>But I've learned to say,
quite directly,</t>
        </is>
      </c>
      <c r="D47">
        <f>HYPERLINK("https://www.youtube.com/watch?v=WhV6Niia06w&amp;t=163s", "Go to time")</f>
        <v/>
      </c>
    </row>
    <row r="48">
      <c r="A48">
        <f>HYPERLINK("https://www.youtube.com/watch?v=fAOZu1lTEjA", "Video")</f>
        <v/>
      </c>
      <c r="B48" t="inlineStr">
        <is>
          <t>0:11</t>
        </is>
      </c>
      <c r="C48" t="inlineStr">
        <is>
          <t>Back in the day, they helped us hunt
by pinpointing which direction</t>
        </is>
      </c>
      <c r="D48">
        <f>HYPERLINK("https://www.youtube.com/watch?v=fAOZu1lTEjA&amp;t=11s", "Go to time")</f>
        <v/>
      </c>
    </row>
    <row r="49">
      <c r="A49">
        <f>HYPERLINK("https://www.youtube.com/watch?v=-fOe9pPCW-c", "Video")</f>
        <v/>
      </c>
      <c r="B49" t="inlineStr">
        <is>
          <t>1:01</t>
        </is>
      </c>
      <c r="C49" t="inlineStr">
        <is>
          <t>direction this exercise will help for</t>
        </is>
      </c>
      <c r="D49">
        <f>HYPERLINK("https://www.youtube.com/watch?v=-fOe9pPCW-c&amp;t=61s", "Go to time")</f>
        <v/>
      </c>
    </row>
    <row r="50">
      <c r="A50">
        <f>HYPERLINK("https://www.youtube.com/watch?v=WWzaZWN1IOU", "Video")</f>
        <v/>
      </c>
      <c r="B50" t="inlineStr">
        <is>
          <t>1:37</t>
        </is>
      </c>
      <c r="C50" t="inlineStr">
        <is>
          <t>or move in two different directions
at the same time.</t>
        </is>
      </c>
      <c r="D50">
        <f>HYPERLINK("https://www.youtube.com/watch?v=WWzaZWN1IOU&amp;t=97s", "Go to time")</f>
        <v/>
      </c>
    </row>
    <row r="51">
      <c r="A51">
        <f>HYPERLINK("https://www.youtube.com/watch?v=WWzaZWN1IOU", "Video")</f>
        <v/>
      </c>
      <c r="B51" t="inlineStr">
        <is>
          <t>3:23</t>
        </is>
      </c>
      <c r="C51" t="inlineStr">
        <is>
          <t>then particle B will be found to be
spinning in the opposite direction.</t>
        </is>
      </c>
      <c r="D51">
        <f>HYPERLINK("https://www.youtube.com/watch?v=WWzaZWN1IOU&amp;t=203s", "Go to time")</f>
        <v/>
      </c>
    </row>
    <row r="52">
      <c r="A52">
        <f>HYPERLINK("https://www.youtube.com/watch?v=o8HyB0SnHJM", "Video")</f>
        <v/>
      </c>
      <c r="B52" t="inlineStr">
        <is>
          <t>4:17</t>
        </is>
      </c>
      <c r="C52" t="inlineStr">
        <is>
          <t>about myself are directly</t>
        </is>
      </c>
      <c r="D52">
        <f>HYPERLINK("https://www.youtube.com/watch?v=o8HyB0SnHJM&amp;t=257s", "Go to time")</f>
        <v/>
      </c>
    </row>
    <row r="53">
      <c r="A53">
        <f>HYPERLINK("https://www.youtube.com/watch?v=m-u5d0SG2iQ", "Video")</f>
        <v/>
      </c>
      <c r="B53" t="inlineStr">
        <is>
          <t>2:48</t>
        </is>
      </c>
      <c r="C53" t="inlineStr">
        <is>
          <t>which is sort of very direct air
pollution directly into your lungs.</t>
        </is>
      </c>
      <c r="D53">
        <f>HYPERLINK("https://www.youtube.com/watch?v=m-u5d0SG2iQ&amp;t=168s", "Go to time")</f>
        <v/>
      </c>
    </row>
    <row r="54">
      <c r="A54">
        <f>HYPERLINK("https://www.youtube.com/watch?v=cFiVvwadowQ", "Video")</f>
        <v/>
      </c>
      <c r="B54" t="inlineStr">
        <is>
          <t>1:36</t>
        </is>
      </c>
      <c r="C54" t="inlineStr">
        <is>
          <t>because we don't have a direct wire
from our brain to reality,</t>
        </is>
      </c>
      <c r="D54">
        <f>HYPERLINK("https://www.youtube.com/watch?v=cFiVvwadowQ&amp;t=96s", "Go to time")</f>
        <v/>
      </c>
    </row>
    <row r="55">
      <c r="A55">
        <f>HYPERLINK("https://www.youtube.com/watch?v=qZsFwbosBdc", "Video")</f>
        <v/>
      </c>
      <c r="B55" t="inlineStr">
        <is>
          <t>2:43</t>
        </is>
      </c>
      <c r="C55" t="inlineStr">
        <is>
          <t>and see if that leads you
in a new direction.</t>
        </is>
      </c>
      <c r="D55">
        <f>HYPERLINK("https://www.youtube.com/watch?v=qZsFwbosBdc&amp;t=163s", "Go to time")</f>
        <v/>
      </c>
    </row>
    <row r="56">
      <c r="A56">
        <f>HYPERLINK("https://www.youtube.com/watch?v=NV22a3qv3wE", "Video")</f>
        <v/>
      </c>
      <c r="B56" t="inlineStr">
        <is>
          <t>2:03</t>
        </is>
      </c>
      <c r="C56" t="inlineStr">
        <is>
          <t>in the right direction, so actually,</t>
        </is>
      </c>
      <c r="D56">
        <f>HYPERLINK("https://www.youtube.com/watch?v=NV22a3qv3wE&amp;t=123s", "Go to time")</f>
        <v/>
      </c>
    </row>
    <row r="57">
      <c r="A57">
        <f>HYPERLINK("https://www.youtube.com/watch?v=Eok1LF4SUa4", "Video")</f>
        <v/>
      </c>
      <c r="B57" t="inlineStr">
        <is>
          <t>0:46</t>
        </is>
      </c>
      <c r="C57" t="inlineStr">
        <is>
          <t>And from the direction
of the scratches,</t>
        </is>
      </c>
      <c r="D57">
        <f>HYPERLINK("https://www.youtube.com/watch?v=Eok1LF4SUa4&amp;t=46s", "Go to time")</f>
        <v/>
      </c>
    </row>
    <row r="58">
      <c r="A58">
        <f>HYPERLINK("https://www.youtube.com/watch?v=oJPI4HpdFsg", "Video")</f>
        <v/>
      </c>
      <c r="B58" t="inlineStr">
        <is>
          <t>0:27</t>
        </is>
      </c>
      <c r="C58" t="inlineStr">
        <is>
          <t>is bearing directly on brain health,</t>
        </is>
      </c>
      <c r="D58">
        <f>HYPERLINK("https://www.youtube.com/watch?v=oJPI4HpdFsg&amp;t=27s", "Go to time")</f>
        <v/>
      </c>
    </row>
    <row r="59">
      <c r="A59">
        <f>HYPERLINK("https://www.youtube.com/watch?v=oJPI4HpdFsg", "Video")</f>
        <v/>
      </c>
      <c r="B59" t="inlineStr">
        <is>
          <t>4:41</t>
        </is>
      </c>
      <c r="C59" t="inlineStr">
        <is>
          <t>NARRATOR: As well as the direct
effects of climate change</t>
        </is>
      </c>
      <c r="D59">
        <f>HYPERLINK("https://www.youtube.com/watch?v=oJPI4HpdFsg&amp;t=281s", "Go to time")</f>
        <v/>
      </c>
    </row>
    <row r="60">
      <c r="A60">
        <f>HYPERLINK("https://www.youtube.com/watch?v=NphJULxY5ng", "Video")</f>
        <v/>
      </c>
      <c r="B60" t="inlineStr">
        <is>
          <t>3:22</t>
        </is>
      </c>
      <c r="C60" t="inlineStr">
        <is>
          <t>And it can also happen that there is no easy or direct translation for whatever you want to say.</t>
        </is>
      </c>
      <c r="D60">
        <f>HYPERLINK("https://www.youtube.com/watch?v=NphJULxY5ng&amp;t=202s", "Go to time")</f>
        <v/>
      </c>
    </row>
    <row r="61">
      <c r="A61">
        <f>HYPERLINK("https://www.youtube.com/watch?v=ljGdwLL9YT4", "Video")</f>
        <v/>
      </c>
      <c r="B61" t="inlineStr">
        <is>
          <t>4:12</t>
        </is>
      </c>
      <c r="C61" t="inlineStr">
        <is>
          <t>Why: separated and with an accent. It is used for direct or indirect questions.</t>
        </is>
      </c>
      <c r="D61">
        <f>HYPERLINK("https://www.youtube.com/watch?v=ljGdwLL9YT4&amp;t=252s", "Go to time")</f>
        <v/>
      </c>
    </row>
    <row r="62">
      <c r="A62">
        <f>HYPERLINK("https://www.youtube.com/watch?v=ljGdwLL9YT4", "Video")</f>
        <v/>
      </c>
      <c r="B62" t="inlineStr">
        <is>
          <t>6:03</t>
        </is>
      </c>
      <c r="C62" t="inlineStr">
        <is>
          <t>My favorite comma, one of the most forgotten. It is used when we speak directly to someone.</t>
        </is>
      </c>
      <c r="D62">
        <f>HYPERLINK("https://www.youtube.com/watch?v=ljGdwLL9YT4&amp;t=363s", "Go to time")</f>
        <v/>
      </c>
    </row>
    <row r="63">
      <c r="A63">
        <f>HYPERLINK("https://www.youtube.com/watch?v=wONAqaxgIoo", "Video")</f>
        <v/>
      </c>
      <c r="B63" t="inlineStr">
        <is>
          <t>2:10</t>
        </is>
      </c>
      <c r="C63" t="inlineStr">
        <is>
          <t>In Nevada, in California in the 1870s and
80s directed at the Chinese minorities.</t>
        </is>
      </c>
      <c r="D63">
        <f>HYPERLINK("https://www.youtube.com/watch?v=wONAqaxgIoo&amp;t=130s", "Go to time")</f>
        <v/>
      </c>
    </row>
    <row r="64">
      <c r="A64">
        <f>HYPERLINK("https://www.youtube.com/watch?v=wONAqaxgIoo", "Video")</f>
        <v/>
      </c>
      <c r="B64" t="inlineStr">
        <is>
          <t>2:32</t>
        </is>
      </c>
      <c r="C64" t="inlineStr">
        <is>
          <t>directed at black men working on the docks
and the fear.</t>
        </is>
      </c>
      <c r="D64">
        <f>HYPERLINK("https://www.youtube.com/watch?v=wONAqaxgIoo&amp;t=152s", "Go to time")</f>
        <v/>
      </c>
    </row>
    <row r="65">
      <c r="A65">
        <f>HYPERLINK("https://www.youtube.com/watch?v=wONAqaxgIoo", "Video")</f>
        <v/>
      </c>
      <c r="B65" t="inlineStr">
        <is>
          <t>3:01</t>
        </is>
      </c>
      <c r="C65" t="inlineStr">
        <is>
          <t>The first marijuana prohibition laws were
in the Midwest and the Southwest directed</t>
        </is>
      </c>
      <c r="D65">
        <f>HYPERLINK("https://www.youtube.com/watch?v=wONAqaxgIoo&amp;t=181s", "Go to time")</f>
        <v/>
      </c>
    </row>
    <row r="66">
      <c r="A66">
        <f>HYPERLINK("https://www.youtube.com/watch?v=rATDV4kx6Tk", "Video")</f>
        <v/>
      </c>
      <c r="B66" t="inlineStr">
        <is>
          <t>0:18</t>
        </is>
      </c>
      <c r="C66" t="inlineStr">
        <is>
          <t>kind of uh uh dire warners of climate</t>
        </is>
      </c>
      <c r="D66">
        <f>HYPERLINK("https://www.youtube.com/watch?v=rATDV4kx6Tk&amp;t=18s", "Go to time")</f>
        <v/>
      </c>
    </row>
    <row r="67">
      <c r="A67">
        <f>HYPERLINK("https://www.youtube.com/watch?v=ubaSPnrRCjw", "Video")</f>
        <v/>
      </c>
      <c r="B67" t="inlineStr">
        <is>
          <t>3:13</t>
        </is>
      </c>
      <c r="C67" t="inlineStr">
        <is>
          <t>pay those bills directly from my phone</t>
        </is>
      </c>
      <c r="D67">
        <f>HYPERLINK("https://www.youtube.com/watch?v=ubaSPnrRCjw&amp;t=193s", "Go to time")</f>
        <v/>
      </c>
    </row>
    <row r="68">
      <c r="A68">
        <f>HYPERLINK("https://www.youtube.com/watch?v=ubaSPnrRCjw", "Video")</f>
        <v/>
      </c>
      <c r="B68" t="inlineStr">
        <is>
          <t>3:52</t>
        </is>
      </c>
      <c r="C68" t="inlineStr">
        <is>
          <t>directly which is tied in for them</t>
        </is>
      </c>
      <c r="D68">
        <f>HYPERLINK("https://www.youtube.com/watch?v=ubaSPnrRCjw&amp;t=232s", "Go to time")</f>
        <v/>
      </c>
    </row>
    <row r="69">
      <c r="A69">
        <f>HYPERLINK("https://www.youtube.com/watch?v=ubaSPnrRCjw", "Video")</f>
        <v/>
      </c>
      <c r="B69" t="inlineStr">
        <is>
          <t>10:07</t>
        </is>
      </c>
      <c r="C69" t="inlineStr">
        <is>
          <t>we have a healthc care service directory</t>
        </is>
      </c>
      <c r="D69">
        <f>HYPERLINK("https://www.youtube.com/watch?v=ubaSPnrRCjw&amp;t=607s", "Go to time")</f>
        <v/>
      </c>
    </row>
    <row r="70">
      <c r="A70">
        <f>HYPERLINK("https://www.youtube.com/watch?v=8PwAhNV3FwE", "Video")</f>
        <v/>
      </c>
      <c r="B70" t="inlineStr">
        <is>
          <t>0:34</t>
        </is>
      </c>
      <c r="C70" t="inlineStr">
        <is>
          <t>term direction of business absent a war</t>
        </is>
      </c>
      <c r="D70">
        <f>HYPERLINK("https://www.youtube.com/watch?v=8PwAhNV3FwE&amp;t=34s", "Go to time")</f>
        <v/>
      </c>
    </row>
    <row r="71">
      <c r="A71">
        <f>HYPERLINK("https://www.youtube.com/watch?v=M2DjsceS_Ik", "Video")</f>
        <v/>
      </c>
      <c r="B71" t="inlineStr">
        <is>
          <t>23:55</t>
        </is>
      </c>
      <c r="C71" t="inlineStr">
        <is>
          <t>director of assessment uh um another</t>
        </is>
      </c>
      <c r="D71">
        <f>HYPERLINK("https://www.youtube.com/watch?v=M2DjsceS_Ik&amp;t=1435s", "Go to time")</f>
        <v/>
      </c>
    </row>
    <row r="72">
      <c r="A72">
        <f>HYPERLINK("https://www.youtube.com/watch?v=M2DjsceS_Ik", "Video")</f>
        <v/>
      </c>
      <c r="B72" t="inlineStr">
        <is>
          <t>24:00</t>
        </is>
      </c>
      <c r="C72" t="inlineStr">
        <is>
          <t>would be the director of parent</t>
        </is>
      </c>
      <c r="D72">
        <f>HYPERLINK("https://www.youtube.com/watch?v=M2DjsceS_Ik&amp;t=1440s", "Go to time")</f>
        <v/>
      </c>
    </row>
    <row r="73">
      <c r="A73">
        <f>HYPERLINK("https://www.youtube.com/watch?v=-QICBsD9Aog", "Video")</f>
        <v/>
      </c>
      <c r="B73" t="inlineStr">
        <is>
          <t>4:06</t>
        </is>
      </c>
      <c r="C73" t="inlineStr">
        <is>
          <t>is not necessarily about the direct</t>
        </is>
      </c>
      <c r="D73">
        <f>HYPERLINK("https://www.youtube.com/watch?v=-QICBsD9Aog&amp;t=246s", "Go to time")</f>
        <v/>
      </c>
    </row>
    <row r="74">
      <c r="A74">
        <f>HYPERLINK("https://www.youtube.com/watch?v=-QICBsD9Aog", "Video")</f>
        <v/>
      </c>
      <c r="B74" t="inlineStr">
        <is>
          <t>4:12</t>
        </is>
      </c>
      <c r="C74" t="inlineStr">
        <is>
          <t>Actually, the direct impact</t>
        </is>
      </c>
      <c r="D74">
        <f>HYPERLINK("https://www.youtube.com/watch?v=-QICBsD9Aog&amp;t=252s", "Go to time")</f>
        <v/>
      </c>
    </row>
    <row r="75">
      <c r="A75">
        <f>HYPERLINK("https://www.youtube.com/watch?v=-QICBsD9Aog", "Video")</f>
        <v/>
      </c>
      <c r="B75" t="inlineStr">
        <is>
          <t>4:32</t>
        </is>
      </c>
      <c r="C75" t="inlineStr">
        <is>
          <t>So the direct impact on land use</t>
        </is>
      </c>
      <c r="D75">
        <f>HYPERLINK("https://www.youtube.com/watch?v=-QICBsD9Aog&amp;t=272s", "Go to time")</f>
        <v/>
      </c>
    </row>
    <row r="76">
      <c r="A76">
        <f>HYPERLINK("https://www.youtube.com/watch?v=TN58qluf8ng", "Video")</f>
        <v/>
      </c>
      <c r="B76" t="inlineStr">
        <is>
          <t>5:47</t>
        </is>
      </c>
      <c r="C76" t="inlineStr">
        <is>
          <t>about only on a direct strike yes I</t>
        </is>
      </c>
      <c r="D76">
        <f>HYPERLINK("https://www.youtube.com/watch?v=TN58qluf8ng&amp;t=347s", "Go to time")</f>
        <v/>
      </c>
    </row>
    <row r="77">
      <c r="A77">
        <f>HYPERLINK("https://www.youtube.com/watch?v=NFRDRu4D4GU", "Video")</f>
        <v/>
      </c>
      <c r="B77" t="inlineStr">
        <is>
          <t>11:53</t>
        </is>
      </c>
      <c r="C77" t="inlineStr">
        <is>
          <t>know the director pretty well but you</t>
        </is>
      </c>
      <c r="D77">
        <f>HYPERLINK("https://www.youtube.com/watch?v=NFRDRu4D4GU&amp;t=713s", "Go to time")</f>
        <v/>
      </c>
    </row>
    <row r="78">
      <c r="A78">
        <f>HYPERLINK("https://www.youtube.com/watch?v=NFRDRu4D4GU", "Video")</f>
        <v/>
      </c>
      <c r="B78" t="inlineStr">
        <is>
          <t>30:53</t>
        </is>
      </c>
      <c r="C78" t="inlineStr">
        <is>
          <t>advising the director for the NSB that</t>
        </is>
      </c>
      <c r="D78">
        <f>HYPERLINK("https://www.youtube.com/watch?v=NFRDRu4D4GU&amp;t=1853s", "Go to time")</f>
        <v/>
      </c>
    </row>
    <row r="79">
      <c r="A79">
        <f>HYPERLINK("https://www.youtube.com/watch?v=NFRDRu4D4GU", "Video")</f>
        <v/>
      </c>
      <c r="B79" t="inlineStr">
        <is>
          <t>42:22</t>
        </is>
      </c>
      <c r="C79" t="inlineStr">
        <is>
          <t>through both directly by NASA as well as</t>
        </is>
      </c>
      <c r="D79">
        <f>HYPERLINK("https://www.youtube.com/watch?v=NFRDRu4D4GU&amp;t=2542s", "Go to time")</f>
        <v/>
      </c>
    </row>
    <row r="80">
      <c r="A80">
        <f>HYPERLINK("https://www.youtube.com/watch?v=C-WL_MOnk98", "Video")</f>
        <v/>
      </c>
      <c r="B80" t="inlineStr">
        <is>
          <t>2:07</t>
        </is>
      </c>
      <c r="C80" t="inlineStr">
        <is>
          <t>kind of split in two directions. One half was, can 
we use software to virtually unroll these scrolls,</t>
        </is>
      </c>
      <c r="D80">
        <f>HYPERLINK("https://www.youtube.com/watch?v=C-WL_MOnk98&amp;t=127s", "Go to time")</f>
        <v/>
      </c>
    </row>
    <row r="81">
      <c r="A81">
        <f>HYPERLINK("https://www.youtube.com/watch?v=F7j6TjklIio", "Video")</f>
        <v/>
      </c>
      <c r="B81" t="inlineStr">
        <is>
          <t>2:08</t>
        </is>
      </c>
      <c r="C81" t="inlineStr">
        <is>
          <t>has seen to go too far in some direction</t>
        </is>
      </c>
      <c r="D81">
        <f>HYPERLINK("https://www.youtube.com/watch?v=F7j6TjklIio&amp;t=128s", "Go to time")</f>
        <v/>
      </c>
    </row>
    <row r="82">
      <c r="A82">
        <f>HYPERLINK("https://www.youtube.com/watch?v=QmhvMwugtbA", "Video")</f>
        <v/>
      </c>
      <c r="B82" t="inlineStr">
        <is>
          <t>1:06</t>
        </is>
      </c>
      <c r="C82" t="inlineStr">
        <is>
          <t>a direct um extension of their you know</t>
        </is>
      </c>
      <c r="D82">
        <f>HYPERLINK("https://www.youtube.com/watch?v=QmhvMwugtbA&amp;t=66s", "Go to time")</f>
        <v/>
      </c>
    </row>
    <row r="83">
      <c r="A83">
        <f>HYPERLINK("https://www.youtube.com/watch?v=gTIdl8acmxY", "Video")</f>
        <v/>
      </c>
      <c r="B83" t="inlineStr">
        <is>
          <t>3:55</t>
        </is>
      </c>
      <c r="C83" t="inlineStr">
        <is>
          <t>the nose and right directly onto the</t>
        </is>
      </c>
      <c r="D83">
        <f>HYPERLINK("https://www.youtube.com/watch?v=gTIdl8acmxY&amp;t=235s", "Go to time")</f>
        <v/>
      </c>
    </row>
    <row r="84">
      <c r="A84">
        <f>HYPERLINK("https://www.youtube.com/watch?v=KsHiOIDCBu4", "Video")</f>
        <v/>
      </c>
      <c r="B84" t="inlineStr">
        <is>
          <t>0:08</t>
        </is>
      </c>
      <c r="C84" t="inlineStr">
        <is>
          <t>the ways that people associate with each other
when they're not interacting directly with</t>
        </is>
      </c>
      <c r="D84">
        <f>HYPERLINK("https://www.youtube.com/watch?v=KsHiOIDCBu4&amp;t=8s", "Go to time")</f>
        <v/>
      </c>
    </row>
    <row r="85">
      <c r="A85">
        <f>HYPERLINK("https://www.youtube.com/watch?v=s4374A9Jh2A", "Video")</f>
        <v/>
      </c>
      <c r="B85" t="inlineStr">
        <is>
          <t>2:26</t>
        </is>
      </c>
      <c r="C85" t="inlineStr">
        <is>
          <t>burden for some of these young directors</t>
        </is>
      </c>
      <c r="D85">
        <f>HYPERLINK("https://www.youtube.com/watch?v=s4374A9Jh2A&amp;t=146s", "Go to time")</f>
        <v/>
      </c>
    </row>
    <row r="86">
      <c r="A86">
        <f>HYPERLINK("https://www.youtube.com/watch?v=fNR2jL2s_Bs", "Video")</f>
        <v/>
      </c>
      <c r="B86" t="inlineStr">
        <is>
          <t>0:34</t>
        </is>
      </c>
      <c r="C86" t="inlineStr">
        <is>
          <t>direct descendant of free swimming Free</t>
        </is>
      </c>
      <c r="D86">
        <f>HYPERLINK("https://www.youtube.com/watch?v=fNR2jL2s_Bs&amp;t=34s", "Go to time")</f>
        <v/>
      </c>
    </row>
    <row r="87">
      <c r="A87">
        <f>HYPERLINK("https://www.youtube.com/watch?v=UScm9avQM1Y", "Video")</f>
        <v/>
      </c>
      <c r="B87" t="inlineStr">
        <is>
          <t>0:24</t>
        </is>
      </c>
      <c r="C87" t="inlineStr">
        <is>
          <t>that uh the directions for how to deal</t>
        </is>
      </c>
      <c r="D87">
        <f>HYPERLINK("https://www.youtube.com/watch?v=UScm9avQM1Y&amp;t=24s", "Go to time")</f>
        <v/>
      </c>
    </row>
    <row r="88">
      <c r="A88">
        <f>HYPERLINK("https://www.youtube.com/watch?v=KJ9w-xFAq2U", "Video")</f>
        <v/>
      </c>
      <c r="B88" t="inlineStr">
        <is>
          <t>10:39</t>
        </is>
      </c>
      <c r="C88" t="inlineStr">
        <is>
          <t>to get an opportunity
to meet its director.</t>
        </is>
      </c>
      <c r="D88">
        <f>HYPERLINK("https://www.youtube.com/watch?v=KJ9w-xFAq2U&amp;t=639s", "Go to time")</f>
        <v/>
      </c>
    </row>
    <row r="89">
      <c r="A89">
        <f>HYPERLINK("https://www.youtube.com/watch?v=KJ9w-xFAq2U", "Video")</f>
        <v/>
      </c>
      <c r="B89" t="inlineStr">
        <is>
          <t>11:10</t>
        </is>
      </c>
      <c r="C89" t="inlineStr">
        <is>
          <t>before being appointed
director of ALMA in 2018,</t>
        </is>
      </c>
      <c r="D89">
        <f>HYPERLINK("https://www.youtube.com/watch?v=KJ9w-xFAq2U&amp;t=670s", "Go to time")</f>
        <v/>
      </c>
    </row>
    <row r="90">
      <c r="A90">
        <f>HYPERLINK("https://www.youtube.com/watch?v=iJVFRodUJM8", "Video")</f>
        <v/>
      </c>
      <c r="B90" t="inlineStr">
        <is>
          <t>0:16</t>
        </is>
      </c>
      <c r="C90" t="inlineStr">
        <is>
          <t>progress in that direction even as we</t>
        </is>
      </c>
      <c r="D90">
        <f>HYPERLINK("https://www.youtube.com/watch?v=iJVFRodUJM8&amp;t=16s", "Go to time")</f>
        <v/>
      </c>
    </row>
    <row r="91">
      <c r="A91">
        <f>HYPERLINK("https://www.youtube.com/watch?v=iJVFRodUJM8", "Video")</f>
        <v/>
      </c>
      <c r="B91" t="inlineStr">
        <is>
          <t>1:07</t>
        </is>
      </c>
      <c r="C91" t="inlineStr">
        <is>
          <t>called Omni directional treadmills it's</t>
        </is>
      </c>
      <c r="D91">
        <f>HYPERLINK("https://www.youtube.com/watch?v=iJVFRodUJM8&amp;t=67s", "Go to time")</f>
        <v/>
      </c>
    </row>
    <row r="92">
      <c r="A92">
        <f>HYPERLINK("https://www.youtube.com/watch?v=iJVFRodUJM8", "Video")</f>
        <v/>
      </c>
      <c r="B92" t="inlineStr">
        <is>
          <t>1:09</t>
        </is>
      </c>
      <c r="C92" t="inlineStr">
        <is>
          <t>a treadmill in any direction now I had a</t>
        </is>
      </c>
      <c r="D92">
        <f>HYPERLINK("https://www.youtube.com/watch?v=iJVFRodUJM8&amp;t=69s", "Go to time")</f>
        <v/>
      </c>
    </row>
    <row r="93">
      <c r="A93">
        <f>HYPERLINK("https://www.youtube.com/watch?v=iJVFRodUJM8", "Video")</f>
        <v/>
      </c>
      <c r="B93" t="inlineStr">
        <is>
          <t>1:19</t>
        </is>
      </c>
      <c r="C93" t="inlineStr">
        <is>
          <t>omnidirectional treadmill I was</t>
        </is>
      </c>
      <c r="D93">
        <f>HYPERLINK("https://www.youtube.com/watch?v=iJVFRodUJM8&amp;t=79s", "Go to time")</f>
        <v/>
      </c>
    </row>
    <row r="94">
      <c r="A94">
        <f>HYPERLINK("https://www.youtube.com/watch?v=iJVFRodUJM8", "Video")</f>
        <v/>
      </c>
      <c r="B94" t="inlineStr">
        <is>
          <t>1:33</t>
        </is>
      </c>
      <c r="C94" t="inlineStr">
        <is>
          <t>direction and always wind up in the same</t>
        </is>
      </c>
      <c r="D94">
        <f>HYPERLINK("https://www.youtube.com/watch?v=iJVFRodUJM8&amp;t=93s", "Go to time")</f>
        <v/>
      </c>
    </row>
    <row r="95">
      <c r="A95">
        <f>HYPERLINK("https://www.youtube.com/watch?v=iJVFRodUJM8", "Video")</f>
        <v/>
      </c>
      <c r="B95" t="inlineStr">
        <is>
          <t>1:42</t>
        </is>
      </c>
      <c r="C95" t="inlineStr">
        <is>
          <t>every time I ran in any direction the</t>
        </is>
      </c>
      <c r="D95">
        <f>HYPERLINK("https://www.youtube.com/watch?v=iJVFRodUJM8&amp;t=102s", "Go to time")</f>
        <v/>
      </c>
    </row>
    <row r="96">
      <c r="A96">
        <f>HYPERLINK("https://www.youtube.com/watch?v=iJVFRodUJM8", "Video")</f>
        <v/>
      </c>
      <c r="B96" t="inlineStr">
        <is>
          <t>2:35</t>
        </is>
      </c>
      <c r="C96" t="inlineStr">
        <is>
          <t>screens with an omnidirectional</t>
        </is>
      </c>
      <c r="D96">
        <f>HYPERLINK("https://www.youtube.com/watch?v=iJVFRodUJM8&amp;t=155s", "Go to time")</f>
        <v/>
      </c>
    </row>
    <row r="97">
      <c r="A97">
        <f>HYPERLINK("https://www.youtube.com/watch?v=ZXiQXkI_2po", "Video")</f>
        <v/>
      </c>
      <c r="B97" t="inlineStr">
        <is>
          <t>2:25</t>
        </is>
      </c>
      <c r="C97" t="inlineStr">
        <is>
          <t>directly what's going on there.</t>
        </is>
      </c>
      <c r="D97">
        <f>HYPERLINK("https://www.youtube.com/watch?v=ZXiQXkI_2po&amp;t=145s", "Go to time")</f>
        <v/>
      </c>
    </row>
    <row r="98">
      <c r="A98">
        <f>HYPERLINK("https://www.youtube.com/watch?v=rJWFxu6k1g4", "Video")</f>
        <v/>
      </c>
      <c r="B98" t="inlineStr">
        <is>
          <t>4:28</t>
        </is>
      </c>
      <c r="C98" t="inlineStr">
        <is>
          <t>That comes as a surprise
then to their direct reports,</t>
        </is>
      </c>
      <c r="D98">
        <f>HYPERLINK("https://www.youtube.com/watch?v=rJWFxu6k1g4&amp;t=268s", "Go to time")</f>
        <v/>
      </c>
    </row>
    <row r="99">
      <c r="A99">
        <f>HYPERLINK("https://www.youtube.com/watch?v=ZCkPxtoMcDE", "Video")</f>
        <v/>
      </c>
      <c r="B99" t="inlineStr">
        <is>
          <t>1:27</t>
        </is>
      </c>
      <c r="C99" t="inlineStr">
        <is>
          <t>and I'm the director of CANDLE,</t>
        </is>
      </c>
      <c r="D99">
        <f>HYPERLINK("https://www.youtube.com/watch?v=ZCkPxtoMcDE&amp;t=87s", "Go to time")</f>
        <v/>
      </c>
    </row>
    <row r="100">
      <c r="A100">
        <f>HYPERLINK("https://www.youtube.com/watch?v=SnRB_xZNQmI", "Video")</f>
        <v/>
      </c>
      <c r="B100" t="inlineStr">
        <is>
          <t>4:01</t>
        </is>
      </c>
      <c r="C100" t="inlineStr">
        <is>
          <t>directions depending on their</t>
        </is>
      </c>
      <c r="D100">
        <f>HYPERLINK("https://www.youtube.com/watch?v=SnRB_xZNQmI&amp;t=241s", "Go to time")</f>
        <v/>
      </c>
    </row>
    <row r="101">
      <c r="A101">
        <f>HYPERLINK("https://www.youtube.com/watch?v=Up-B7G9UpSY", "Video")</f>
        <v/>
      </c>
      <c r="B101" t="inlineStr">
        <is>
          <t>1:43</t>
        </is>
      </c>
      <c r="C101" t="inlineStr">
        <is>
          <t>goes directly so therefore I think that</t>
        </is>
      </c>
      <c r="D101">
        <f>HYPERLINK("https://www.youtube.com/watch?v=Up-B7G9UpSY&amp;t=103s", "Go to time")</f>
        <v/>
      </c>
    </row>
    <row r="102">
      <c r="A102">
        <f>HYPERLINK("https://www.youtube.com/watch?v=SdIkQnTy6jA", "Video")</f>
        <v/>
      </c>
      <c r="B102" t="inlineStr">
        <is>
          <t>5:50</t>
        </is>
      </c>
      <c r="C102" t="inlineStr">
        <is>
          <t>Self-directed engaged learning is the ability
to continue to learn from life, to learn from</t>
        </is>
      </c>
      <c r="D102">
        <f>HYPERLINK("https://www.youtube.com/watch?v=SdIkQnTy6jA&amp;t=350s", "Go to time")</f>
        <v/>
      </c>
    </row>
    <row r="103">
      <c r="A103">
        <f>HYPERLINK("https://www.youtube.com/watch?v=ZF1pVqkGTO4", "Video")</f>
        <v/>
      </c>
      <c r="B103" t="inlineStr">
        <is>
          <t>2:34</t>
        </is>
      </c>
      <c r="C103" t="inlineStr">
        <is>
          <t>directives of an authority figure to</t>
        </is>
      </c>
      <c r="D103">
        <f>HYPERLINK("https://www.youtube.com/watch?v=ZF1pVqkGTO4&amp;t=154s", "Go to time")</f>
        <v/>
      </c>
    </row>
    <row r="104">
      <c r="A104">
        <f>HYPERLINK("https://www.youtube.com/watch?v=ZF1pVqkGTO4", "Video")</f>
        <v/>
      </c>
      <c r="B104" t="inlineStr">
        <is>
          <t>3:10</t>
        </is>
      </c>
      <c r="C104" t="inlineStr">
        <is>
          <t>use simply because they were directed to</t>
        </is>
      </c>
      <c r="D104">
        <f>HYPERLINK("https://www.youtube.com/watch?v=ZF1pVqkGTO4&amp;t=190s", "Go to time")</f>
        <v/>
      </c>
    </row>
    <row r="105">
      <c r="A105">
        <f>HYPERLINK("https://www.youtube.com/watch?v=ItR0M69fMnQ", "Video")</f>
        <v/>
      </c>
      <c r="B105" t="inlineStr">
        <is>
          <t>1:53</t>
        </is>
      </c>
      <c r="C105" t="inlineStr">
        <is>
          <t>director is in</t>
        </is>
      </c>
      <c r="D105">
        <f>HYPERLINK("https://www.youtube.com/watch?v=ItR0M69fMnQ&amp;t=113s", "Go to time")</f>
        <v/>
      </c>
    </row>
    <row r="106">
      <c r="A106">
        <f>HYPERLINK("https://www.youtube.com/watch?v=dEi7XUlyr_A", "Video")</f>
        <v/>
      </c>
      <c r="B106" t="inlineStr">
        <is>
          <t>0:33</t>
        </is>
      </c>
      <c r="C106" t="inlineStr">
        <is>
          <t>To a very large extent we moved in that direction.</t>
        </is>
      </c>
      <c r="D106">
        <f>HYPERLINK("https://www.youtube.com/watch?v=dEi7XUlyr_A&amp;t=33s", "Go to time")</f>
        <v/>
      </c>
    </row>
    <row r="107">
      <c r="A107">
        <f>HYPERLINK("https://www.youtube.com/watch?v=_qJDd-2tM-A", "Video")</f>
        <v/>
      </c>
      <c r="B107" t="inlineStr">
        <is>
          <t>1:08</t>
        </is>
      </c>
      <c r="C107" t="inlineStr">
        <is>
          <t>about, I just don’t want to talk about that
kind of pain too directly, it’s too unpleasant</t>
        </is>
      </c>
      <c r="D107">
        <f>HYPERLINK("https://www.youtube.com/watch?v=_qJDd-2tM-A&amp;t=68s", "Go to time")</f>
        <v/>
      </c>
    </row>
    <row r="108">
      <c r="A108">
        <f>HYPERLINK("https://www.youtube.com/watch?v=dtwW6C_MKxY", "Video")</f>
        <v/>
      </c>
      <c r="B108" t="inlineStr">
        <is>
          <t>2:14</t>
        </is>
      </c>
      <c r="C108" t="inlineStr">
        <is>
          <t>now to have an influence directly on how</t>
        </is>
      </c>
      <c r="D108">
        <f>HYPERLINK("https://www.youtube.com/watch?v=dtwW6C_MKxY&amp;t=134s", "Go to time")</f>
        <v/>
      </c>
    </row>
    <row r="109">
      <c r="A109">
        <f>HYPERLINK("https://www.youtube.com/watch?v=EAPXM50wy_U", "Video")</f>
        <v/>
      </c>
      <c r="B109" t="inlineStr">
        <is>
          <t>4:28</t>
        </is>
      </c>
      <c r="C109" t="inlineStr">
        <is>
          <t>of those trends, because
trends change direction.</t>
        </is>
      </c>
      <c r="D109">
        <f>HYPERLINK("https://www.youtube.com/watch?v=EAPXM50wy_U&amp;t=268s", "Go to time")</f>
        <v/>
      </c>
    </row>
    <row r="110">
      <c r="A110">
        <f>HYPERLINK("https://www.youtube.com/watch?v=EAPXM50wy_U", "Video")</f>
        <v/>
      </c>
      <c r="B110" t="inlineStr">
        <is>
          <t>5:34</t>
        </is>
      </c>
      <c r="C110" t="inlineStr">
        <is>
          <t>about how it can change direction.</t>
        </is>
      </c>
      <c r="D110">
        <f>HYPERLINK("https://www.youtube.com/watch?v=EAPXM50wy_U&amp;t=334s", "Go to time")</f>
        <v/>
      </c>
    </row>
    <row r="111">
      <c r="A111">
        <f>HYPERLINK("https://www.youtube.com/watch?v=--z41eyiErk", "Video")</f>
        <v/>
      </c>
      <c r="B111" t="inlineStr">
        <is>
          <t>2:58</t>
        </is>
      </c>
      <c r="C111" t="inlineStr">
        <is>
          <t>you to make sure those numbers are not
leading you in a bad direction so for</t>
        </is>
      </c>
      <c r="D111">
        <f>HYPERLINK("https://www.youtube.com/watch?v=--z41eyiErk&amp;t=178s", "Go to time")</f>
        <v/>
      </c>
    </row>
    <row r="112">
      <c r="A112">
        <f>HYPERLINK("https://www.youtube.com/watch?v=--z41eyiErk", "Video")</f>
        <v/>
      </c>
      <c r="B112" t="inlineStr">
        <is>
          <t>3:35</t>
        </is>
      </c>
      <c r="C112" t="inlineStr">
        <is>
          <t>they can point you in the right
direction if you use it well</t>
        </is>
      </c>
      <c r="D112">
        <f>HYPERLINK("https://www.youtube.com/watch?v=--z41eyiErk&amp;t=215s", "Go to time")</f>
        <v/>
      </c>
    </row>
    <row r="113">
      <c r="A113">
        <f>HYPERLINK("https://www.youtube.com/watch?v=HTbfmfQaDWk", "Video")</f>
        <v/>
      </c>
      <c r="B113" t="inlineStr">
        <is>
          <t>2:30</t>
        </is>
      </c>
      <c r="C113" t="inlineStr">
        <is>
          <t>when you've goofed up and to redirect or</t>
        </is>
      </c>
      <c r="D113">
        <f>HYPERLINK("https://www.youtube.com/watch?v=HTbfmfQaDWk&amp;t=150s", "Go to time")</f>
        <v/>
      </c>
    </row>
    <row r="114">
      <c r="A114">
        <f>HYPERLINK("https://www.youtube.com/watch?v=44l0aNhx0EI", "Video")</f>
        <v/>
      </c>
      <c r="B114" t="inlineStr">
        <is>
          <t>2:48</t>
        </is>
      </c>
      <c r="C114" t="inlineStr">
        <is>
          <t>to make oil directly uh and this has</t>
        </is>
      </c>
      <c r="D114">
        <f>HYPERLINK("https://www.youtube.com/watch?v=44l0aNhx0EI&amp;t=168s", "Go to time")</f>
        <v/>
      </c>
    </row>
    <row r="115">
      <c r="A115">
        <f>HYPERLINK("https://www.youtube.com/watch?v=SWJvaAv74ls", "Video")</f>
        <v/>
      </c>
      <c r="B115" t="inlineStr">
        <is>
          <t>1:53</t>
        </is>
      </c>
      <c r="C115" t="inlineStr">
        <is>
          <t>and their world is bi-directional-</t>
        </is>
      </c>
      <c r="D115">
        <f>HYPERLINK("https://www.youtube.com/watch?v=SWJvaAv74ls&amp;t=113s", "Go to time")</f>
        <v/>
      </c>
    </row>
    <row r="116">
      <c r="A116">
        <f>HYPERLINK("https://www.youtube.com/watch?v=mm8asJxdcds", "Video")</f>
        <v/>
      </c>
      <c r="B116" t="inlineStr">
        <is>
          <t>5:40</t>
        </is>
      </c>
      <c r="C116" t="inlineStr">
        <is>
          <t>Nozick are in a conversation directly with
one another about the question who gets what.</t>
        </is>
      </c>
      <c r="D116">
        <f>HYPERLINK("https://www.youtube.com/watch?v=mm8asJxdcds&amp;t=340s", "Go to time")</f>
        <v/>
      </c>
    </row>
    <row r="117">
      <c r="A117">
        <f>HYPERLINK("https://www.youtube.com/watch?v=mm8asJxdcds", "Video")</f>
        <v/>
      </c>
      <c r="B117" t="inlineStr">
        <is>
          <t>9:03</t>
        </is>
      </c>
      <c r="C117" t="inlineStr">
        <is>
          <t>motivate people to try to leave the state
of nature.  They are, to quote directly,</t>
        </is>
      </c>
      <c r="D117">
        <f>HYPERLINK("https://www.youtube.com/watch?v=mm8asJxdcds&amp;t=543s", "Go to time")</f>
        <v/>
      </c>
    </row>
    <row r="118">
      <c r="A118">
        <f>HYPERLINK("https://www.youtube.com/watch?v=mm8asJxdcds", "Video")</f>
        <v/>
      </c>
      <c r="B118" t="inlineStr">
        <is>
          <t>42:23</t>
        </is>
      </c>
      <c r="C118" t="inlineStr">
        <is>
          <t>philosopher John Rawls and a man who ended
up being my dissertation director Robert Nozick.</t>
        </is>
      </c>
      <c r="D118">
        <f>HYPERLINK("https://www.youtube.com/watch?v=mm8asJxdcds&amp;t=2543s", "Go to time")</f>
        <v/>
      </c>
    </row>
    <row r="119">
      <c r="A119">
        <f>HYPERLINK("https://www.youtube.com/watch?v=sYyvE9FTQlI", "Video")</f>
        <v/>
      </c>
      <c r="B119" t="inlineStr">
        <is>
          <t>1:59</t>
        </is>
      </c>
      <c r="C119" t="inlineStr">
        <is>
          <t>him in a better direction than he has</t>
        </is>
      </c>
      <c r="D119">
        <f>HYPERLINK("https://www.youtube.com/watch?v=sYyvE9FTQlI&amp;t=119s", "Go to time")</f>
        <v/>
      </c>
    </row>
    <row r="120">
      <c r="A120">
        <f>HYPERLINK("https://www.youtube.com/watch?v=MeiG2TpIi7E", "Video")</f>
        <v/>
      </c>
      <c r="B120" t="inlineStr">
        <is>
          <t>2:56</t>
        </is>
      </c>
      <c r="C120" t="inlineStr">
        <is>
          <t>a policy agenda and a direction towards the
future.</t>
        </is>
      </c>
      <c r="D120">
        <f>HYPERLINK("https://www.youtube.com/watch?v=MeiG2TpIi7E&amp;t=176s", "Go to time")</f>
        <v/>
      </c>
    </row>
    <row r="121">
      <c r="A121">
        <f>HYPERLINK("https://www.youtube.com/watch?v=zDNzBgGYB3k", "Video")</f>
        <v/>
      </c>
      <c r="B121" t="inlineStr">
        <is>
          <t>2:15</t>
        </is>
      </c>
      <c r="C121" t="inlineStr">
        <is>
          <t>directly or indirectly supporting</t>
        </is>
      </c>
      <c r="D121">
        <f>HYPERLINK("https://www.youtube.com/watch?v=zDNzBgGYB3k&amp;t=135s", "Go to time")</f>
        <v/>
      </c>
    </row>
    <row r="122">
      <c r="A122">
        <f>HYPERLINK("https://www.youtube.com/watch?v=gkVQIwvCnqE", "Video")</f>
        <v/>
      </c>
      <c r="B122" t="inlineStr">
        <is>
          <t>5:47</t>
        </is>
      </c>
      <c r="C122" t="inlineStr">
        <is>
          <t>that know what to do, that are directly helping
the poor.</t>
        </is>
      </c>
      <c r="D122">
        <f>HYPERLINK("https://www.youtube.com/watch?v=gkVQIwvCnqE&amp;t=347s", "Go to time")</f>
        <v/>
      </c>
    </row>
    <row r="123">
      <c r="A123">
        <f>HYPERLINK("https://www.youtube.com/watch?v=gkVQIwvCnqE", "Video")</f>
        <v/>
      </c>
      <c r="B123" t="inlineStr">
        <is>
          <t>6:27</t>
        </is>
      </c>
      <c r="C123" t="inlineStr">
        <is>
          <t>So there are lots of ways both directly and
through political advocacy to try to really</t>
        </is>
      </c>
      <c r="D123">
        <f>HYPERLINK("https://www.youtube.com/watch?v=gkVQIwvCnqE&amp;t=387s", "Go to time")</f>
        <v/>
      </c>
    </row>
    <row r="124">
      <c r="A124">
        <f>HYPERLINK("https://www.youtube.com/watch?v=MPQB67-YKM0", "Video")</f>
        <v/>
      </c>
      <c r="B124" t="inlineStr">
        <is>
          <t>3:46</t>
        </is>
      </c>
      <c r="C124" t="inlineStr">
        <is>
          <t>direct customers and it's our indirect customers
because we're the Intel Inside ingredient</t>
        </is>
      </c>
      <c r="D124">
        <f>HYPERLINK("https://www.youtube.com/watch?v=MPQB67-YKM0&amp;t=226s", "Go to time")</f>
        <v/>
      </c>
    </row>
    <row r="125">
      <c r="A125">
        <f>HYPERLINK("https://www.youtube.com/watch?v=gzksqQDI_kE", "Video")</f>
        <v/>
      </c>
      <c r="B125" t="inlineStr">
        <is>
          <t>15:03</t>
        </is>
      </c>
      <c r="C125" t="inlineStr">
        <is>
          <t>In theory we could redirect those subsidies
to this technology and solve the problem already.</t>
        </is>
      </c>
      <c r="D125">
        <f>HYPERLINK("https://www.youtube.com/watch?v=gzksqQDI_kE&amp;t=903s", "Go to time")</f>
        <v/>
      </c>
    </row>
    <row r="126">
      <c r="A126">
        <f>HYPERLINK("https://www.youtube.com/watch?v=gzksqQDI_kE", "Video")</f>
        <v/>
      </c>
      <c r="B126" t="inlineStr">
        <is>
          <t>16:46</t>
        </is>
      </c>
      <c r="C126" t="inlineStr">
        <is>
          <t>The democrats pushed in another direction
and the two parties saw no value in coming</t>
        </is>
      </c>
      <c r="D126">
        <f>HYPERLINK("https://www.youtube.com/watch?v=gzksqQDI_kE&amp;t=1006s", "Go to time")</f>
        <v/>
      </c>
    </row>
    <row r="127">
      <c r="A127">
        <f>HYPERLINK("https://www.youtube.com/watch?v=3X1p_YUHbpo", "Video")</f>
        <v/>
      </c>
      <c r="B127" t="inlineStr">
        <is>
          <t>1:21</t>
        </is>
      </c>
      <c r="C127" t="inlineStr">
        <is>
          <t>talked to musical school directors and mothers
and so on.</t>
        </is>
      </c>
      <c r="D127">
        <f>HYPERLINK("https://www.youtube.com/watch?v=3X1p_YUHbpo&amp;t=81s", "Go to time")</f>
        <v/>
      </c>
    </row>
    <row r="128">
      <c r="A128">
        <f>HYPERLINK("https://www.youtube.com/watch?v=3X1p_YUHbpo", "Video")</f>
        <v/>
      </c>
      <c r="B128" t="inlineStr">
        <is>
          <t>1:34</t>
        </is>
      </c>
      <c r="C128" t="inlineStr">
        <is>
          <t>Of course many children are not talented in
this direction and of course they may even</t>
        </is>
      </c>
      <c r="D128">
        <f>HYPERLINK("https://www.youtube.com/watch?v=3X1p_YUHbpo&amp;t=94s", "Go to time")</f>
        <v/>
      </c>
    </row>
    <row r="129">
      <c r="A129">
        <f>HYPERLINK("https://www.youtube.com/watch?v=AAYcLGxOVSY", "Video")</f>
        <v/>
      </c>
      <c r="B129" t="inlineStr">
        <is>
          <t>2:27</t>
        </is>
      </c>
      <c r="C129" t="inlineStr">
        <is>
          <t>direction of saying there should be a</t>
        </is>
      </c>
      <c r="D129">
        <f>HYPERLINK("https://www.youtube.com/watch?v=AAYcLGxOVSY&amp;t=147s", "Go to time")</f>
        <v/>
      </c>
    </row>
    <row r="130">
      <c r="A130">
        <f>HYPERLINK("https://www.youtube.com/watch?v=SpI6y2ZzRsg", "Video")</f>
        <v/>
      </c>
      <c r="B130" t="inlineStr">
        <is>
          <t>0:25</t>
        </is>
      </c>
      <c r="C130" t="inlineStr">
        <is>
          <t>moral direction to that kind of activity</t>
        </is>
      </c>
      <c r="D130">
        <f>HYPERLINK("https://www.youtube.com/watch?v=SpI6y2ZzRsg&amp;t=25s", "Go to time")</f>
        <v/>
      </c>
    </row>
    <row r="131">
      <c r="A131">
        <f>HYPERLINK("https://www.youtube.com/watch?v=_uNP0lvq3DY", "Video")</f>
        <v/>
      </c>
      <c r="B131" t="inlineStr">
        <is>
          <t>3:01</t>
        </is>
      </c>
      <c r="C131" t="inlineStr">
        <is>
          <t>all those obstacles and those division and
speaks to us very directly now.</t>
        </is>
      </c>
      <c r="D131">
        <f>HYPERLINK("https://www.youtube.com/watch?v=_uNP0lvq3DY&amp;t=181s", "Go to time")</f>
        <v/>
      </c>
    </row>
    <row r="132">
      <c r="A132">
        <f>HYPERLINK("https://www.youtube.com/watch?v=KZ8hHmJWHsM", "Video")</f>
        <v/>
      </c>
      <c r="B132" t="inlineStr">
        <is>
          <t>13:52</t>
        </is>
      </c>
      <c r="C132" t="inlineStr">
        <is>
          <t>directions so like this moment if I was</t>
        </is>
      </c>
      <c r="D132">
        <f>HYPERLINK("https://www.youtube.com/watch?v=KZ8hHmJWHsM&amp;t=832s", "Go to time")</f>
        <v/>
      </c>
    </row>
    <row r="133">
      <c r="A133">
        <f>HYPERLINK("https://www.youtube.com/watch?v=IoubVUSk7h0", "Video")</f>
        <v/>
      </c>
      <c r="B133" t="inlineStr">
        <is>
          <t>1:18</t>
        </is>
      </c>
      <c r="C133" t="inlineStr">
        <is>
          <t>If you look at Renaissance art, particularly
early Renaissance art, it’s very inner directed.</t>
        </is>
      </c>
      <c r="D133">
        <f>HYPERLINK("https://www.youtube.com/watch?v=IoubVUSk7h0&amp;t=78s", "Go to time")</f>
        <v/>
      </c>
    </row>
    <row r="134">
      <c r="A134">
        <f>HYPERLINK("https://www.youtube.com/watch?v=IoubVUSk7h0", "Video")</f>
        <v/>
      </c>
      <c r="B134" t="inlineStr">
        <is>
          <t>1:52</t>
        </is>
      </c>
      <c r="C134" t="inlineStr">
        <is>
          <t>It’s a very inner directed picture and it
doesn’t really recruit the involvement of</t>
        </is>
      </c>
      <c r="D134">
        <f>HYPERLINK("https://www.youtube.com/watch?v=IoubVUSk7h0&amp;t=112s", "Go to time")</f>
        <v/>
      </c>
    </row>
    <row r="135">
      <c r="A135">
        <f>HYPERLINK("https://www.youtube.com/watch?v=MsoPZQR3v4I", "Video")</f>
        <v/>
      </c>
      <c r="B135" t="inlineStr">
        <is>
          <t>3:01</t>
        </is>
      </c>
      <c r="C135" t="inlineStr">
        <is>
          <t>To me, as a Norwegian, the best way to experience
silence is to just walk in one direction out</t>
        </is>
      </c>
      <c r="D135">
        <f>HYPERLINK("https://www.youtube.com/watch?v=MsoPZQR3v4I&amp;t=181s", "Go to time")</f>
        <v/>
      </c>
    </row>
    <row r="136">
      <c r="A136">
        <f>HYPERLINK("https://www.youtube.com/watch?v=B2zCWJBnfuE", "Video")</f>
        <v/>
      </c>
      <c r="B136" t="inlineStr">
        <is>
          <t>5:00</t>
        </is>
      </c>
      <c r="C136" t="inlineStr">
        <is>
          <t>directions,</t>
        </is>
      </c>
      <c r="D136">
        <f>HYPERLINK("https://www.youtube.com/watch?v=B2zCWJBnfuE&amp;t=300s", "Go to time")</f>
        <v/>
      </c>
    </row>
    <row r="137">
      <c r="A137">
        <f>HYPERLINK("https://www.youtube.com/watch?v=B2zCWJBnfuE", "Video")</f>
        <v/>
      </c>
      <c r="B137" t="inlineStr">
        <is>
          <t>7:26</t>
        </is>
      </c>
      <c r="C137" t="inlineStr">
        <is>
          <t>we're actively making progress in that
direction. That is a recipe</t>
        </is>
      </c>
      <c r="D137">
        <f>HYPERLINK("https://www.youtube.com/watch?v=B2zCWJBnfuE&amp;t=446s", "Go to time")</f>
        <v/>
      </c>
    </row>
    <row r="138">
      <c r="A138">
        <f>HYPERLINK("https://www.youtube.com/watch?v=xDndvHP5xg0", "Video")</f>
        <v/>
      </c>
      <c r="B138" t="inlineStr">
        <is>
          <t>1:10</t>
        </is>
      </c>
      <c r="C138" t="inlineStr">
        <is>
          <t>in on the issues and indirectly affect</t>
        </is>
      </c>
      <c r="D138">
        <f>HYPERLINK("https://www.youtube.com/watch?v=xDndvHP5xg0&amp;t=70s", "Go to time")</f>
        <v/>
      </c>
    </row>
    <row r="139">
      <c r="A139">
        <f>HYPERLINK("https://www.youtube.com/watch?v=8qAZ0hr6hr8", "Video")</f>
        <v/>
      </c>
      <c r="B139" t="inlineStr">
        <is>
          <t>0:11</t>
        </is>
      </c>
      <c r="C139" t="inlineStr">
        <is>
          <t>We're pulled in so many directions
between the texts alerts</t>
        </is>
      </c>
      <c r="D139">
        <f>HYPERLINK("https://www.youtube.com/watch?v=8qAZ0hr6hr8&amp;t=11s", "Go to time")</f>
        <v/>
      </c>
    </row>
    <row r="140">
      <c r="A140">
        <f>HYPERLINK("https://www.youtube.com/watch?v=kQynS3T_sQw", "Video")</f>
        <v/>
      </c>
      <c r="B140" t="inlineStr">
        <is>
          <t>0:47</t>
        </is>
      </c>
      <c r="C140" t="inlineStr">
        <is>
          <t>art director frustrated novelist right</t>
        </is>
      </c>
      <c r="D140">
        <f>HYPERLINK("https://www.youtube.com/watch?v=kQynS3T_sQw&amp;t=47s", "Go to time")</f>
        <v/>
      </c>
    </row>
    <row r="141">
      <c r="A141">
        <f>HYPERLINK("https://www.youtube.com/watch?v=kQynS3T_sQw", "Video")</f>
        <v/>
      </c>
      <c r="B141" t="inlineStr">
        <is>
          <t>1:42</t>
        </is>
      </c>
      <c r="C141" t="inlineStr">
        <is>
          <t>creative director said no the meeting's</t>
        </is>
      </c>
      <c r="D141">
        <f>HYPERLINK("https://www.youtube.com/watch?v=kQynS3T_sQw&amp;t=102s", "Go to time")</f>
        <v/>
      </c>
    </row>
    <row r="142">
      <c r="A142">
        <f>HYPERLINK("https://www.youtube.com/watch?v=kQynS3T_sQw", "Video")</f>
        <v/>
      </c>
      <c r="B142" t="inlineStr">
        <is>
          <t>9:28</t>
        </is>
      </c>
      <c r="C142" t="inlineStr">
        <is>
          <t>story and he art directed every article</t>
        </is>
      </c>
      <c r="D142">
        <f>HYPERLINK("https://www.youtube.com/watch?v=kQynS3T_sQw&amp;t=568s", "Go to time")</f>
        <v/>
      </c>
    </row>
    <row r="143">
      <c r="A143">
        <f>HYPERLINK("https://www.youtube.com/watch?v=kQynS3T_sQw", "Video")</f>
        <v/>
      </c>
      <c r="B143" t="inlineStr">
        <is>
          <t>9:32</t>
        </is>
      </c>
      <c r="C143" t="inlineStr">
        <is>
          <t>could do art Direction on the web and</t>
        </is>
      </c>
      <c r="D143">
        <f>HYPERLINK("https://www.youtube.com/watch?v=kQynS3T_sQw&amp;t=572s", "Go to time")</f>
        <v/>
      </c>
    </row>
    <row r="144">
      <c r="A144">
        <f>HYPERLINK("https://www.youtube.com/watch?v=kQynS3T_sQw", "Video")</f>
        <v/>
      </c>
      <c r="B144" t="inlineStr">
        <is>
          <t>9:40</t>
        </is>
      </c>
      <c r="C144" t="inlineStr">
        <is>
          <t>magazine beautifully art directed</t>
        </is>
      </c>
      <c r="D144">
        <f>HYPERLINK("https://www.youtube.com/watch?v=kQynS3T_sQw&amp;t=580s", "Go to time")</f>
        <v/>
      </c>
    </row>
    <row r="145">
      <c r="A145">
        <f>HYPERLINK("https://www.youtube.com/watch?v=kQynS3T_sQw", "Video")</f>
        <v/>
      </c>
      <c r="B145" t="inlineStr">
        <is>
          <t>11:50</t>
        </is>
      </c>
      <c r="C145" t="inlineStr">
        <is>
          <t>art directed manicured again a list</t>
        </is>
      </c>
      <c r="D145">
        <f>HYPERLINK("https://www.youtube.com/watch?v=kQynS3T_sQw&amp;t=710s", "Go to time")</f>
        <v/>
      </c>
    </row>
    <row r="146">
      <c r="A146">
        <f>HYPERLINK("https://www.youtube.com/watch?v=kQynS3T_sQw", "Video")</f>
        <v/>
      </c>
      <c r="B146" t="inlineStr">
        <is>
          <t>12:02</t>
        </is>
      </c>
      <c r="C146" t="inlineStr">
        <is>
          <t>Cornell and an art director Jason Santa</t>
        </is>
      </c>
      <c r="D146">
        <f>HYPERLINK("https://www.youtube.com/watch?v=kQynS3T_sQw&amp;t=722s", "Go to time")</f>
        <v/>
      </c>
    </row>
    <row r="147">
      <c r="A147">
        <f>HYPERLINK("https://www.youtube.com/watch?v=5U4SnQ5l2RA", "Video")</f>
        <v/>
      </c>
      <c r="B147" t="inlineStr">
        <is>
          <t>1:22</t>
        </is>
      </c>
      <c r="C147" t="inlineStr">
        <is>
          <t>that could take us in a bad Direction</t>
        </is>
      </c>
      <c r="D147">
        <f>HYPERLINK("https://www.youtube.com/watch?v=5U4SnQ5l2RA&amp;t=82s", "Go to time")</f>
        <v/>
      </c>
    </row>
    <row r="148">
      <c r="A148">
        <f>HYPERLINK("https://www.youtube.com/watch?v=Ou-D5CjQ1Gs", "Video")</f>
        <v/>
      </c>
      <c r="B148" t="inlineStr">
        <is>
          <t>2:51</t>
        </is>
      </c>
      <c r="C148" t="inlineStr">
        <is>
          <t>even directly to Google so at flicker I</t>
        </is>
      </c>
      <c r="D148">
        <f>HYPERLINK("https://www.youtube.com/watch?v=Ou-D5CjQ1Gs&amp;t=171s", "Go to time")</f>
        <v/>
      </c>
    </row>
    <row r="149">
      <c r="A149">
        <f>HYPERLINK("https://www.youtube.com/watch?v=SKxe-pyJ-PE", "Video")</f>
        <v/>
      </c>
      <c r="B149" t="inlineStr">
        <is>
          <t>3:02</t>
        </is>
      </c>
      <c r="C149" t="inlineStr">
        <is>
          <t>dire state of the</t>
        </is>
      </c>
      <c r="D149">
        <f>HYPERLINK("https://www.youtube.com/watch?v=SKxe-pyJ-PE&amp;t=182s", "Go to time")</f>
        <v/>
      </c>
    </row>
    <row r="150">
      <c r="A150">
        <f>HYPERLINK("https://www.youtube.com/watch?v=FgrtAmTSgtE", "Video")</f>
        <v/>
      </c>
      <c r="B150" t="inlineStr">
        <is>
          <t>0:41</t>
        </is>
      </c>
      <c r="C150" t="inlineStr">
        <is>
          <t>case studies directly connected to what</t>
        </is>
      </c>
      <c r="D150">
        <f>HYPERLINK("https://www.youtube.com/watch?v=FgrtAmTSgtE&amp;t=41s", "Go to time")</f>
        <v/>
      </c>
    </row>
    <row r="151">
      <c r="A151">
        <f>HYPERLINK("https://www.youtube.com/watch?v=FgrtAmTSgtE", "Video")</f>
        <v/>
      </c>
      <c r="B151" t="inlineStr">
        <is>
          <t>1:05</t>
        </is>
      </c>
      <c r="C151" t="inlineStr">
        <is>
          <t>going to give you a case study directly</t>
        </is>
      </c>
      <c r="D151">
        <f>HYPERLINK("https://www.youtube.com/watch?v=FgrtAmTSgtE&amp;t=65s", "Go to time")</f>
        <v/>
      </c>
    </row>
    <row r="152">
      <c r="A152">
        <f>HYPERLINK("https://www.youtube.com/watch?v=FgrtAmTSgtE", "Video")</f>
        <v/>
      </c>
      <c r="B152" t="inlineStr">
        <is>
          <t>1:49</t>
        </is>
      </c>
      <c r="C152" t="inlineStr">
        <is>
          <t>directly to what they're interested in</t>
        </is>
      </c>
      <c r="D152">
        <f>HYPERLINK("https://www.youtube.com/watch?v=FgrtAmTSgtE&amp;t=109s", "Go to time")</f>
        <v/>
      </c>
    </row>
    <row r="153">
      <c r="A153">
        <f>HYPERLINK("https://www.youtube.com/watch?v=2B9R8KOCJQo", "Video")</f>
        <v/>
      </c>
      <c r="B153" t="inlineStr">
        <is>
          <t>0:07</t>
        </is>
      </c>
      <c r="C153" t="inlineStr">
        <is>
          <t>particular direction and you think that</t>
        </is>
      </c>
      <c r="D153">
        <f>HYPERLINK("https://www.youtube.com/watch?v=2B9R8KOCJQo&amp;t=7s", "Go to time")</f>
        <v/>
      </c>
    </row>
    <row r="154">
      <c r="A154">
        <f>HYPERLINK("https://www.youtube.com/watch?v=2B9R8KOCJQo", "Video")</f>
        <v/>
      </c>
      <c r="B154" t="inlineStr">
        <is>
          <t>2:33</t>
        </is>
      </c>
      <c r="C154" t="inlineStr">
        <is>
          <t>in a different direction is to make sure</t>
        </is>
      </c>
      <c r="D154">
        <f>HYPERLINK("https://www.youtube.com/watch?v=2B9R8KOCJQo&amp;t=153s", "Go to time")</f>
        <v/>
      </c>
    </row>
    <row r="155">
      <c r="A155">
        <f>HYPERLINK("https://www.youtube.com/watch?v=2B9R8KOCJQo", "Video")</f>
        <v/>
      </c>
      <c r="B155" t="inlineStr">
        <is>
          <t>2:44</t>
        </is>
      </c>
      <c r="C155" t="inlineStr">
        <is>
          <t>Direction</t>
        </is>
      </c>
      <c r="D155">
        <f>HYPERLINK("https://www.youtube.com/watch?v=2B9R8KOCJQo&amp;t=164s", "Go to time")</f>
        <v/>
      </c>
    </row>
    <row r="156">
      <c r="A156">
        <f>HYPERLINK("https://www.youtube.com/watch?v=Q-B_ONJIEcE", "Video")</f>
        <v/>
      </c>
      <c r="B156" t="inlineStr">
        <is>
          <t>39:05</t>
        </is>
      </c>
      <c r="C156" t="inlineStr">
        <is>
          <t>What about the flow of information in the
other direction, that is from the world into</t>
        </is>
      </c>
      <c r="D156">
        <f>HYPERLINK("https://www.youtube.com/watch?v=Q-B_ONJIEcE&amp;t=2345s", "Go to time")</f>
        <v/>
      </c>
    </row>
    <row r="157">
      <c r="A157">
        <f>HYPERLINK("https://www.youtube.com/watch?v=YPTHmhCohNQ", "Video")</f>
        <v/>
      </c>
      <c r="B157" t="inlineStr">
        <is>
          <t>5:53</t>
        </is>
      </c>
      <c r="C157" t="inlineStr">
        <is>
          <t>it's directly contrary to something I believe 
I never think, "Well Howard's evil." You know,</t>
        </is>
      </c>
      <c r="D157">
        <f>HYPERLINK("https://www.youtube.com/watch?v=YPTHmhCohNQ&amp;t=353s", "Go to time")</f>
        <v/>
      </c>
    </row>
    <row r="158">
      <c r="A158">
        <f>HYPERLINK("https://www.youtube.com/watch?v=EGXhWJsIMSg", "Video")</f>
        <v/>
      </c>
      <c r="B158" t="inlineStr">
        <is>
          <t>2:15</t>
        </is>
      </c>
      <c r="C158" t="inlineStr">
        <is>
          <t>probably a step in that direction in a</t>
        </is>
      </c>
      <c r="D158">
        <f>HYPERLINK("https://www.youtube.com/watch?v=EGXhWJsIMSg&amp;t=135s", "Go to time")</f>
        <v/>
      </c>
    </row>
    <row r="159">
      <c r="A159">
        <f>HYPERLINK("https://www.youtube.com/watch?v=NfzDSSiLtBQ", "Video")</f>
        <v/>
      </c>
      <c r="B159" t="inlineStr">
        <is>
          <t>4:45</t>
        </is>
      </c>
      <c r="C159" t="inlineStr">
        <is>
          <t>And so just take one little
step in the next direction</t>
        </is>
      </c>
      <c r="D159">
        <f>HYPERLINK("https://www.youtube.com/watch?v=NfzDSSiLtBQ&amp;t=285s", "Go to time")</f>
        <v/>
      </c>
    </row>
    <row r="160">
      <c r="A160">
        <f>HYPERLINK("https://www.youtube.com/watch?v=NfzDSSiLtBQ", "Video")</f>
        <v/>
      </c>
      <c r="B160" t="inlineStr">
        <is>
          <t>5:09</t>
        </is>
      </c>
      <c r="C160" t="inlineStr">
        <is>
          <t>to go in a different direction</t>
        </is>
      </c>
      <c r="D160">
        <f>HYPERLINK("https://www.youtube.com/watch?v=NfzDSSiLtBQ&amp;t=309s", "Go to time")</f>
        <v/>
      </c>
    </row>
    <row r="161">
      <c r="A161">
        <f>HYPERLINK("https://www.youtube.com/watch?v=lx26k8LTCdI", "Video")</f>
        <v/>
      </c>
      <c r="B161" t="inlineStr">
        <is>
          <t>2:13</t>
        </is>
      </c>
      <c r="C161" t="inlineStr">
        <is>
          <t>the mind, consciousness, cannot be taken by
direct assault.</t>
        </is>
      </c>
      <c r="D161">
        <f>HYPERLINK("https://www.youtube.com/watch?v=lx26k8LTCdI&amp;t=133s", "Go to time")</f>
        <v/>
      </c>
    </row>
    <row r="162">
      <c r="A162">
        <f>HYPERLINK("https://www.youtube.com/watch?v=CSv0pQbo6tg", "Video")</f>
        <v/>
      </c>
      <c r="B162" t="inlineStr">
        <is>
          <t>1:30</t>
        </is>
      </c>
      <c r="C162" t="inlineStr">
        <is>
          <t>other in in the same direction uh</t>
        </is>
      </c>
      <c r="D162">
        <f>HYPERLINK("https://www.youtube.com/watch?v=CSv0pQbo6tg&amp;t=90s", "Go to time")</f>
        <v/>
      </c>
    </row>
    <row r="163">
      <c r="A163">
        <f>HYPERLINK("https://www.youtube.com/watch?v=CSv0pQbo6tg", "Video")</f>
        <v/>
      </c>
      <c r="B163" t="inlineStr">
        <is>
          <t>14:31</t>
        </is>
      </c>
      <c r="C163" t="inlineStr">
        <is>
          <t>response they launched direct action uh</t>
        </is>
      </c>
      <c r="D163">
        <f>HYPERLINK("https://www.youtube.com/watch?v=CSv0pQbo6tg&amp;t=871s", "Go to time")</f>
        <v/>
      </c>
    </row>
    <row r="164">
      <c r="A164">
        <f>HYPERLINK("https://www.youtube.com/watch?v=CSv0pQbo6tg", "Video")</f>
        <v/>
      </c>
      <c r="B164" t="inlineStr">
        <is>
          <t>14:38</t>
        </is>
      </c>
      <c r="C164" t="inlineStr">
        <is>
          <t>direct actions uh to demand State</t>
        </is>
      </c>
      <c r="D164">
        <f>HYPERLINK("https://www.youtube.com/watch?v=CSv0pQbo6tg&amp;t=878s", "Go to time")</f>
        <v/>
      </c>
    </row>
    <row r="165">
      <c r="A165">
        <f>HYPERLINK("https://www.youtube.com/watch?v=CSv0pQbo6tg", "Video")</f>
        <v/>
      </c>
      <c r="B165" t="inlineStr">
        <is>
          <t>14:52</t>
        </is>
      </c>
      <c r="C165" t="inlineStr">
        <is>
          <t>uh approach with direct action now give</t>
        </is>
      </c>
      <c r="D165">
        <f>HYPERLINK("https://www.youtube.com/watch?v=CSv0pQbo6tg&amp;t=892s", "Go to time")</f>
        <v/>
      </c>
    </row>
    <row r="166">
      <c r="A166">
        <f>HYPERLINK("https://www.youtube.com/watch?v=CSv0pQbo6tg", "Video")</f>
        <v/>
      </c>
      <c r="B166" t="inlineStr">
        <is>
          <t>17:43</t>
        </is>
      </c>
      <c r="C166" t="inlineStr">
        <is>
          <t>medium that was speaking directly to</t>
        </is>
      </c>
      <c r="D166">
        <f>HYPERLINK("https://www.youtube.com/watch?v=CSv0pQbo6tg&amp;t=1063s", "Go to time")</f>
        <v/>
      </c>
    </row>
    <row r="167">
      <c r="A167">
        <f>HYPERLINK("https://www.youtube.com/watch?v=76ma3D0iNJ8", "Video")</f>
        <v/>
      </c>
      <c r="B167" t="inlineStr">
        <is>
          <t>5:13</t>
        </is>
      </c>
      <c r="C167" t="inlineStr">
        <is>
          <t>directly through algorithms,</t>
        </is>
      </c>
      <c r="D167">
        <f>HYPERLINK("https://www.youtube.com/watch?v=76ma3D0iNJ8&amp;t=313s", "Go to time")</f>
        <v/>
      </c>
    </row>
    <row r="168">
      <c r="A168">
        <f>HYPERLINK("https://www.youtube.com/watch?v=tGxyKLsZIGU", "Video")</f>
        <v/>
      </c>
      <c r="B168" t="inlineStr">
        <is>
          <t>3:56</t>
        </is>
      </c>
      <c r="C168" t="inlineStr">
        <is>
          <t>able to give the $100 loan directly to</t>
        </is>
      </c>
      <c r="D168">
        <f>HYPERLINK("https://www.youtube.com/watch?v=tGxyKLsZIGU&amp;t=236s", "Go to time")</f>
        <v/>
      </c>
    </row>
    <row r="169">
      <c r="A169">
        <f>HYPERLINK("https://www.youtube.com/watch?v=O2-fV3ywJQw", "Video")</f>
        <v/>
      </c>
      <c r="B169" t="inlineStr">
        <is>
          <t>0:57</t>
        </is>
      </c>
      <c r="C169" t="inlineStr">
        <is>
          <t>which direction the piece had to go in</t>
        </is>
      </c>
      <c r="D169">
        <f>HYPERLINK("https://www.youtube.com/watch?v=O2-fV3ywJQw&amp;t=57s", "Go to time")</f>
        <v/>
      </c>
    </row>
    <row r="170">
      <c r="A170">
        <f>HYPERLINK("https://www.youtube.com/watch?v=PuAwied4x2Q", "Video")</f>
        <v/>
      </c>
      <c r="B170" t="inlineStr">
        <is>
          <t>5:58</t>
        </is>
      </c>
      <c r="C170" t="inlineStr">
        <is>
          <t>of those trends, because
trends change direction.</t>
        </is>
      </c>
      <c r="D170">
        <f>HYPERLINK("https://www.youtube.com/watch?v=PuAwied4x2Q&amp;t=358s", "Go to time")</f>
        <v/>
      </c>
    </row>
    <row r="171">
      <c r="A171">
        <f>HYPERLINK("https://www.youtube.com/watch?v=PuAwied4x2Q", "Video")</f>
        <v/>
      </c>
      <c r="B171" t="inlineStr">
        <is>
          <t>7:03</t>
        </is>
      </c>
      <c r="C171" t="inlineStr">
        <is>
          <t>about how it can change direction.</t>
        </is>
      </c>
      <c r="D171">
        <f>HYPERLINK("https://www.youtube.com/watch?v=PuAwied4x2Q&amp;t=423s", "Go to time")</f>
        <v/>
      </c>
    </row>
    <row r="172">
      <c r="A172">
        <f>HYPERLINK("https://www.youtube.com/watch?v=PuAwied4x2Q", "Video")</f>
        <v/>
      </c>
      <c r="B172" t="inlineStr">
        <is>
          <t>11:16</t>
        </is>
      </c>
      <c r="C172" t="inlineStr">
        <is>
          <t>Protopia is a direction.</t>
        </is>
      </c>
      <c r="D172">
        <f>HYPERLINK("https://www.youtube.com/watch?v=PuAwied4x2Q&amp;t=676s", "Go to time")</f>
        <v/>
      </c>
    </row>
    <row r="173">
      <c r="A173">
        <f>HYPERLINK("https://www.youtube.com/watch?v=PuAwied4x2Q", "Video")</f>
        <v/>
      </c>
      <c r="B173" t="inlineStr">
        <is>
          <t>16:36</t>
        </is>
      </c>
      <c r="C173" t="inlineStr">
        <is>
          <t>We are moving, rather, 
in directions.</t>
        </is>
      </c>
      <c r="D173">
        <f>HYPERLINK("https://www.youtube.com/watch?v=PuAwied4x2Q&amp;t=996s", "Go to time")</f>
        <v/>
      </c>
    </row>
    <row r="174">
      <c r="A174">
        <f>HYPERLINK("https://www.youtube.com/watch?v=PuAwied4x2Q", "Video")</f>
        <v/>
      </c>
      <c r="B174" t="inlineStr">
        <is>
          <t>16:39</t>
        </is>
      </c>
      <c r="C174" t="inlineStr">
        <is>
          <t>And Protopia is a direction,</t>
        </is>
      </c>
      <c r="D174">
        <f>HYPERLINK("https://www.youtube.com/watch?v=PuAwied4x2Q&amp;t=999s", "Go to time")</f>
        <v/>
      </c>
    </row>
    <row r="175">
      <c r="A175">
        <f>HYPERLINK("https://www.youtube.com/watch?v=-82gNL8XeWg", "Video")</f>
        <v/>
      </c>
      <c r="B175" t="inlineStr">
        <is>
          <t>0:15</t>
        </is>
      </c>
      <c r="C175" t="inlineStr">
        <is>
          <t>And museums and museum directors have an association
and a code and that code says, among other</t>
        </is>
      </c>
      <c r="D175">
        <f>HYPERLINK("https://www.youtube.com/watch?v=-82gNL8XeWg&amp;t=15s", "Go to time")</f>
        <v/>
      </c>
    </row>
    <row r="176">
      <c r="A176">
        <f>HYPERLINK("https://www.youtube.com/watch?v=-82gNL8XeWg", "Video")</f>
        <v/>
      </c>
      <c r="B176" t="inlineStr">
        <is>
          <t>0:42</t>
        </is>
      </c>
      <c r="C176" t="inlineStr">
        <is>
          <t>How does the director defend himself?</t>
        </is>
      </c>
      <c r="D176">
        <f>HYPERLINK("https://www.youtube.com/watch?v=-82gNL8XeWg&amp;t=42s", "Go to time")</f>
        <v/>
      </c>
    </row>
    <row r="177">
      <c r="A177">
        <f>HYPERLINK("https://www.youtube.com/watch?v=-82gNL8XeWg", "Video")</f>
        <v/>
      </c>
      <c r="B177" t="inlineStr">
        <is>
          <t>2:44</t>
        </is>
      </c>
      <c r="C177" t="inlineStr">
        <is>
          <t>A couple of years ago Diane Paulus who is
a wonderful director and producer in Boston</t>
        </is>
      </c>
      <c r="D177">
        <f>HYPERLINK("https://www.youtube.com/watch?v=-82gNL8XeWg&amp;t=164s", "Go to time")</f>
        <v/>
      </c>
    </row>
    <row r="178">
      <c r="A178">
        <f>HYPERLINK("https://www.youtube.com/watch?v=-82gNL8XeWg", "Video")</f>
        <v/>
      </c>
      <c r="B178" t="inlineStr">
        <is>
          <t>4:18</t>
        </is>
      </c>
      <c r="C178" t="inlineStr">
        <is>
          <t>and this producer/opera director in Berlin
-- and in Berlin you know they do kind of</t>
        </is>
      </c>
      <c r="D178">
        <f>HYPERLINK("https://www.youtube.com/watch?v=-82gNL8XeWg&amp;t=258s", "Go to time")</f>
        <v/>
      </c>
    </row>
    <row r="179">
      <c r="A179">
        <f>HYPERLINK("https://www.youtube.com/watch?v=-82gNL8XeWg", "Video")</f>
        <v/>
      </c>
      <c r="B179" t="inlineStr">
        <is>
          <t>4:48</t>
        </is>
      </c>
      <c r="C179" t="inlineStr">
        <is>
          <t>And the question is does the head of the opera
company say the director has the right and</t>
        </is>
      </c>
      <c r="D179">
        <f>HYPERLINK("https://www.youtube.com/watch?v=-82gNL8XeWg&amp;t=288s", "Go to time")</f>
        <v/>
      </c>
    </row>
    <row r="180">
      <c r="A180">
        <f>HYPERLINK("https://www.youtube.com/watch?v=-82gNL8XeWg", "Video")</f>
        <v/>
      </c>
      <c r="B180" t="inlineStr">
        <is>
          <t>5:20</t>
        </is>
      </c>
      <c r="C180" t="inlineStr">
        <is>
          <t>If a museum director is faced with an ethical
choice they turn to a code of ethics.</t>
        </is>
      </c>
      <c r="D180">
        <f>HYPERLINK("https://www.youtube.com/watch?v=-82gNL8XeWg&amp;t=320s", "Go to time")</f>
        <v/>
      </c>
    </row>
    <row r="181">
      <c r="A181">
        <f>HYPERLINK("https://www.youtube.com/watch?v=-82gNL8XeWg", "Video")</f>
        <v/>
      </c>
      <c r="B181" t="inlineStr">
        <is>
          <t>5:26</t>
        </is>
      </c>
      <c r="C181" t="inlineStr">
        <is>
          <t>If a performing arts director or a string
quartet leader or a producer on Broadway is</t>
        </is>
      </c>
      <c r="D181">
        <f>HYPERLINK("https://www.youtube.com/watch?v=-82gNL8XeWg&amp;t=326s", "Go to time")</f>
        <v/>
      </c>
    </row>
    <row r="182">
      <c r="A182">
        <f>HYPERLINK("https://www.youtube.com/watch?v=s9Cm5ocVXkU", "Video")</f>
        <v/>
      </c>
      <c r="B182" t="inlineStr">
        <is>
          <t>2:34</t>
        </is>
      </c>
      <c r="C182" t="inlineStr">
        <is>
          <t>direction generally of more protection.</t>
        </is>
      </c>
      <c r="D182">
        <f>HYPERLINK("https://www.youtube.com/watch?v=s9Cm5ocVXkU&amp;t=154s", "Go to time")</f>
        <v/>
      </c>
    </row>
    <row r="183">
      <c r="A183">
        <f>HYPERLINK("https://www.youtube.com/watch?v=eiDjPZx8wtc", "Video")</f>
        <v/>
      </c>
      <c r="B183" t="inlineStr">
        <is>
          <t>3:09</t>
        </is>
      </c>
      <c r="C183" t="inlineStr">
        <is>
          <t>serve God you cannot serve God directly</t>
        </is>
      </c>
      <c r="D183">
        <f>HYPERLINK("https://www.youtube.com/watch?v=eiDjPZx8wtc&amp;t=189s", "Go to time")</f>
        <v/>
      </c>
    </row>
    <row r="184">
      <c r="A184">
        <f>HYPERLINK("https://www.youtube.com/watch?v=Kj6LvWYiBJA", "Video")</f>
        <v/>
      </c>
      <c r="B184" t="inlineStr">
        <is>
          <t>1:03</t>
        </is>
      </c>
      <c r="C184" t="inlineStr">
        <is>
          <t>and I'm the director of
the Human Flourishing Lab</t>
        </is>
      </c>
      <c r="D184">
        <f>HYPERLINK("https://www.youtube.com/watch?v=Kj6LvWYiBJA&amp;t=63s", "Go to time")</f>
        <v/>
      </c>
    </row>
    <row r="185">
      <c r="A185">
        <f>HYPERLINK("https://www.youtube.com/watch?v=MQ6slIYBV_s", "Video")</f>
        <v/>
      </c>
      <c r="B185" t="inlineStr">
        <is>
          <t>5:00</t>
        </is>
      </c>
      <c r="C185" t="inlineStr">
        <is>
          <t>uh uh uh uh directly but I think that</t>
        </is>
      </c>
      <c r="D185">
        <f>HYPERLINK("https://www.youtube.com/watch?v=MQ6slIYBV_s&amp;t=300s", "Go to time")</f>
        <v/>
      </c>
    </row>
    <row r="186">
      <c r="A186">
        <f>HYPERLINK("https://www.youtube.com/watch?v=niu3Jsr6Vzg", "Video")</f>
        <v/>
      </c>
      <c r="B186" t="inlineStr">
        <is>
          <t>1:02</t>
        </is>
      </c>
      <c r="C186" t="inlineStr">
        <is>
          <t>to deal with things direct. And I think</t>
        </is>
      </c>
      <c r="D186">
        <f>HYPERLINK("https://www.youtube.com/watch?v=niu3Jsr6Vzg&amp;t=62s", "Go to time")</f>
        <v/>
      </c>
    </row>
    <row r="187">
      <c r="A187">
        <f>HYPERLINK("https://www.youtube.com/watch?v=BjmPvovl-V4", "Video")</f>
        <v/>
      </c>
      <c r="B187" t="inlineStr">
        <is>
          <t>4:32</t>
        </is>
      </c>
      <c r="C187" t="inlineStr">
        <is>
          <t>and directly related to that</t>
        </is>
      </c>
      <c r="D187">
        <f>HYPERLINK("https://www.youtube.com/watch?v=BjmPvovl-V4&amp;t=272s", "Go to time")</f>
        <v/>
      </c>
    </row>
    <row r="188">
      <c r="A188">
        <f>HYPERLINK("https://www.youtube.com/watch?v=c5Hun3ESTug", "Video")</f>
        <v/>
      </c>
      <c r="B188" t="inlineStr">
        <is>
          <t>3:43</t>
        </is>
      </c>
      <c r="C188" t="inlineStr">
        <is>
          <t>directions that you're being pulled and</t>
        </is>
      </c>
      <c r="D188">
        <f>HYPERLINK("https://www.youtube.com/watch?v=c5Hun3ESTug&amp;t=223s", "Go to time")</f>
        <v/>
      </c>
    </row>
    <row r="189">
      <c r="A189">
        <f>HYPERLINK("https://www.youtube.com/watch?v=tljAoZMXUEk", "Video")</f>
        <v/>
      </c>
      <c r="B189" t="inlineStr">
        <is>
          <t>5:53</t>
        </is>
      </c>
      <c r="C189" t="inlineStr">
        <is>
          <t>that's a direct result of the work that</t>
        </is>
      </c>
      <c r="D189">
        <f>HYPERLINK("https://www.youtube.com/watch?v=tljAoZMXUEk&amp;t=353s", "Go to time")</f>
        <v/>
      </c>
    </row>
    <row r="190">
      <c r="A190">
        <f>HYPERLINK("https://www.youtube.com/watch?v=gpDCO0rvr44", "Video")</f>
        <v/>
      </c>
      <c r="B190" t="inlineStr">
        <is>
          <t>2:39</t>
        </is>
      </c>
      <c r="C190" t="inlineStr">
        <is>
          <t>On the other hand, a writer comes to them
and they say to the writer or director, they</t>
        </is>
      </c>
      <c r="D190">
        <f>HYPERLINK("https://www.youtube.com/watch?v=gpDCO0rvr44&amp;t=159s", "Go to time")</f>
        <v/>
      </c>
    </row>
    <row r="191">
      <c r="A191">
        <f>HYPERLINK("https://www.youtube.com/watch?v=XxXHgGZzojU", "Video")</f>
        <v/>
      </c>
      <c r="B191" t="inlineStr">
        <is>
          <t>5:31</t>
        </is>
      </c>
      <c r="C191" t="inlineStr">
        <is>
          <t>they do take their own earnings and they direct 
it at their nieces and nephews. And that means you</t>
        </is>
      </c>
      <c r="D191">
        <f>HYPERLINK("https://www.youtube.com/watch?v=XxXHgGZzojU&amp;t=331s", "Go to time")</f>
        <v/>
      </c>
    </row>
    <row r="192">
      <c r="A192">
        <f>HYPERLINK("https://www.youtube.com/watch?v=O9sLCp2Jq74", "Video")</f>
        <v/>
      </c>
      <c r="B192" t="inlineStr">
        <is>
          <t>2:43</t>
        </is>
      </c>
      <c r="C192" t="inlineStr">
        <is>
          <t>Sam Altman, is the nonprofit
has a board of directors</t>
        </is>
      </c>
      <c r="D192">
        <f>HYPERLINK("https://www.youtube.com/watch?v=O9sLCp2Jq74&amp;t=163s", "Go to time")</f>
        <v/>
      </c>
    </row>
    <row r="193">
      <c r="A193">
        <f>HYPERLINK("https://www.youtube.com/watch?v=O9sLCp2Jq74", "Video")</f>
        <v/>
      </c>
      <c r="B193" t="inlineStr">
        <is>
          <t>3:20</t>
        </is>
      </c>
      <c r="C193" t="inlineStr">
        <is>
          <t>that the company was no
longer headed in the direction</t>
        </is>
      </c>
      <c r="D193">
        <f>HYPERLINK("https://www.youtube.com/watch?v=O9sLCp2Jq74&amp;t=200s", "Go to time")</f>
        <v/>
      </c>
    </row>
    <row r="194">
      <c r="A194">
        <f>HYPERLINK("https://www.youtube.com/watch?v=O9sLCp2Jq74", "Video")</f>
        <v/>
      </c>
      <c r="B194" t="inlineStr">
        <is>
          <t>28:19</t>
        </is>
      </c>
      <c r="C194" t="inlineStr">
        <is>
          <t>Elon Musk was disagreeing
with the company direction,</t>
        </is>
      </c>
      <c r="D194">
        <f>HYPERLINK("https://www.youtube.com/watch?v=O9sLCp2Jq74&amp;t=1699s", "Go to time")</f>
        <v/>
      </c>
    </row>
    <row r="195">
      <c r="A195">
        <f>HYPERLINK("https://www.youtube.com/watch?v=O9sLCp2Jq74", "Video")</f>
        <v/>
      </c>
      <c r="B195" t="inlineStr">
        <is>
          <t>48:14</t>
        </is>
      </c>
      <c r="C195" t="inlineStr">
        <is>
          <t>moving towards directions
that we collectively</t>
        </is>
      </c>
      <c r="D195">
        <f>HYPERLINK("https://www.youtube.com/watch?v=O9sLCp2Jq74&amp;t=2894s", "Go to time")</f>
        <v/>
      </c>
    </row>
    <row r="196">
      <c r="A196">
        <f>HYPERLINK("https://www.youtube.com/watch?v=kJGxVeQw3SE", "Video")</f>
        <v/>
      </c>
      <c r="B196" t="inlineStr">
        <is>
          <t>12:36</t>
        </is>
      </c>
      <c r="C196" t="inlineStr">
        <is>
          <t>don't want to talk about that kind of pain
too directly, it's too unpleasant for me.</t>
        </is>
      </c>
      <c r="D196">
        <f>HYPERLINK("https://www.youtube.com/watch?v=kJGxVeQw3SE&amp;t=756s", "Go to time")</f>
        <v/>
      </c>
    </row>
    <row r="197">
      <c r="A197">
        <f>HYPERLINK("https://www.youtube.com/watch?v=Nrenme_XixQ", "Video")</f>
        <v/>
      </c>
      <c r="B197" t="inlineStr">
        <is>
          <t>2:30</t>
        </is>
      </c>
      <c r="C197" t="inlineStr">
        <is>
          <t>It was directed against a young woman</t>
        </is>
      </c>
      <c r="D197">
        <f>HYPERLINK("https://www.youtube.com/watch?v=Nrenme_XixQ&amp;t=150s", "Go to time")</f>
        <v/>
      </c>
    </row>
    <row r="198">
      <c r="A198">
        <f>HYPERLINK("https://www.youtube.com/watch?v=jU-U47lFomk", "Video")</f>
        <v/>
      </c>
      <c r="B198" t="inlineStr">
        <is>
          <t>9:55</t>
        </is>
      </c>
      <c r="C198" t="inlineStr">
        <is>
          <t>sources such as foreign direct</t>
        </is>
      </c>
      <c r="D198">
        <f>HYPERLINK("https://www.youtube.com/watch?v=jU-U47lFomk&amp;t=595s", "Go to time")</f>
        <v/>
      </c>
    </row>
    <row r="199">
      <c r="A199">
        <f>HYPERLINK("https://www.youtube.com/watch?v=hFCZqgHVUuo", "Video")</f>
        <v/>
      </c>
      <c r="B199" t="inlineStr">
        <is>
          <t>0:47</t>
        </is>
      </c>
      <c r="C199" t="inlineStr">
        <is>
          <t>Direction with uh uh Matthew Robinson um</t>
        </is>
      </c>
      <c r="D199">
        <f>HYPERLINK("https://www.youtube.com/watch?v=hFCZqgHVUuo&amp;t=47s", "Go to time")</f>
        <v/>
      </c>
    </row>
    <row r="200">
      <c r="A200">
        <f>HYPERLINK("https://www.youtube.com/watch?v=cqXzUJHCRfA", "Video")</f>
        <v/>
      </c>
      <c r="B200" t="inlineStr">
        <is>
          <t>1:35</t>
        </is>
      </c>
      <c r="C200" t="inlineStr">
        <is>
          <t>fun way of communicating directly with</t>
        </is>
      </c>
      <c r="D200">
        <f>HYPERLINK("https://www.youtube.com/watch?v=cqXzUJHCRfA&amp;t=95s", "Go to time")</f>
        <v/>
      </c>
    </row>
    <row r="201">
      <c r="A201">
        <f>HYPERLINK("https://www.youtube.com/watch?v=cqXzUJHCRfA", "Video")</f>
        <v/>
      </c>
      <c r="B201" t="inlineStr">
        <is>
          <t>1:47</t>
        </is>
      </c>
      <c r="C201" t="inlineStr">
        <is>
          <t>now I can communicate very directly and</t>
        </is>
      </c>
      <c r="D201">
        <f>HYPERLINK("https://www.youtube.com/watch?v=cqXzUJHCRfA&amp;t=107s", "Go to time")</f>
        <v/>
      </c>
    </row>
    <row r="202">
      <c r="A202">
        <f>HYPERLINK("https://www.youtube.com/watch?v=clsCuzG-Yho", "Video")</f>
        <v/>
      </c>
      <c r="B202" t="inlineStr">
        <is>
          <t>0:17</t>
        </is>
      </c>
      <c r="C202" t="inlineStr">
        <is>
          <t>creative director has always been to</t>
        </is>
      </c>
      <c r="D202">
        <f>HYPERLINK("https://www.youtube.com/watch?v=clsCuzG-Yho&amp;t=17s", "Go to time")</f>
        <v/>
      </c>
    </row>
    <row r="203">
      <c r="A203">
        <f>HYPERLINK("https://www.youtube.com/watch?v=clsCuzG-Yho", "Video")</f>
        <v/>
      </c>
      <c r="B203" t="inlineStr">
        <is>
          <t>0:26</t>
        </is>
      </c>
      <c r="C203" t="inlineStr">
        <is>
          <t>create new creative directors and not</t>
        </is>
      </c>
      <c r="D203">
        <f>HYPERLINK("https://www.youtube.com/watch?v=clsCuzG-Yho&amp;t=26s", "Go to time")</f>
        <v/>
      </c>
    </row>
    <row r="204">
      <c r="A204">
        <f>HYPERLINK("https://www.youtube.com/watch?v=clsCuzG-Yho", "Video")</f>
        <v/>
      </c>
      <c r="B204" t="inlineStr">
        <is>
          <t>0:30</t>
        </is>
      </c>
      <c r="C204" t="inlineStr">
        <is>
          <t>director material you you actually have</t>
        </is>
      </c>
      <c r="D204">
        <f>HYPERLINK("https://www.youtube.com/watch?v=clsCuzG-Yho&amp;t=30s", "Go to time")</f>
        <v/>
      </c>
    </row>
    <row r="205">
      <c r="A205">
        <f>HYPERLINK("https://www.youtube.com/watch?v=clsCuzG-Yho", "Video")</f>
        <v/>
      </c>
      <c r="B205" t="inlineStr">
        <is>
          <t>0:40</t>
        </is>
      </c>
      <c r="C205" t="inlineStr">
        <is>
          <t>can't be a creative director but I think</t>
        </is>
      </c>
      <c r="D205">
        <f>HYPERLINK("https://www.youtube.com/watch?v=clsCuzG-Yho&amp;t=40s", "Go to time")</f>
        <v/>
      </c>
    </row>
    <row r="206">
      <c r="A206">
        <f>HYPERLINK("https://www.youtube.com/watch?v=Gv-QISxPsFw", "Video")</f>
        <v/>
      </c>
      <c r="B206" t="inlineStr">
        <is>
          <t>4:05</t>
        </is>
      </c>
      <c r="C206" t="inlineStr">
        <is>
          <t>mysterious I mean directing is a very</t>
        </is>
      </c>
      <c r="D206">
        <f>HYPERLINK("https://www.youtube.com/watch?v=Gv-QISxPsFw&amp;t=245s", "Go to time")</f>
        <v/>
      </c>
    </row>
    <row r="207">
      <c r="A207">
        <f>HYPERLINK("https://www.youtube.com/watch?v=Gv-QISxPsFw", "Video")</f>
        <v/>
      </c>
      <c r="B207" t="inlineStr">
        <is>
          <t>4:33</t>
        </is>
      </c>
      <c r="C207" t="inlineStr">
        <is>
          <t>direction</t>
        </is>
      </c>
      <c r="D207">
        <f>HYPERLINK("https://www.youtube.com/watch?v=Gv-QISxPsFw&amp;t=273s", "Go to time")</f>
        <v/>
      </c>
    </row>
    <row r="208">
      <c r="A208">
        <f>HYPERLINK("https://www.youtube.com/watch?v=rtCQ9jzC-Ek", "Video")</f>
        <v/>
      </c>
      <c r="B208" t="inlineStr">
        <is>
          <t>2:47</t>
        </is>
      </c>
      <c r="C208" t="inlineStr">
        <is>
          <t>direction you're going and it's it can</t>
        </is>
      </c>
      <c r="D208">
        <f>HYPERLINK("https://www.youtube.com/watch?v=rtCQ9jzC-Ek&amp;t=167s", "Go to time")</f>
        <v/>
      </c>
    </row>
    <row r="209">
      <c r="A209">
        <f>HYPERLINK("https://www.youtube.com/watch?v=LCJQAs4Rf_c", "Video")</f>
        <v/>
      </c>
      <c r="B209" t="inlineStr">
        <is>
          <t>1:36</t>
        </is>
      </c>
      <c r="C209" t="inlineStr">
        <is>
          <t>concept to apply in a direct way it's</t>
        </is>
      </c>
      <c r="D209">
        <f>HYPERLINK("https://www.youtube.com/watch?v=LCJQAs4Rf_c&amp;t=96s", "Go to time")</f>
        <v/>
      </c>
    </row>
    <row r="210">
      <c r="A210">
        <f>HYPERLINK("https://www.youtube.com/watch?v=1XFKKGXuY4I", "Video")</f>
        <v/>
      </c>
      <c r="B210" t="inlineStr">
        <is>
          <t>0:31</t>
        </is>
      </c>
      <c r="C210" t="inlineStr">
        <is>
          <t>channel their energy in this direction</t>
        </is>
      </c>
      <c r="D210">
        <f>HYPERLINK("https://www.youtube.com/watch?v=1XFKKGXuY4I&amp;t=31s", "Go to time")</f>
        <v/>
      </c>
    </row>
    <row r="211">
      <c r="A211">
        <f>HYPERLINK("https://www.youtube.com/watch?v=UTDLNQsO6p4", "Video")</f>
        <v/>
      </c>
      <c r="B211" t="inlineStr">
        <is>
          <t>0:18</t>
        </is>
      </c>
      <c r="C211" t="inlineStr">
        <is>
          <t>problems are the direct result of what</t>
        </is>
      </c>
      <c r="D211">
        <f>HYPERLINK("https://www.youtube.com/watch?v=UTDLNQsO6p4&amp;t=18s", "Go to time")</f>
        <v/>
      </c>
    </row>
    <row r="212">
      <c r="A212">
        <f>HYPERLINK("https://www.youtube.com/watch?v=iJFIzE3i0X0", "Video")</f>
        <v/>
      </c>
      <c r="B212" t="inlineStr">
        <is>
          <t>2:23</t>
        </is>
      </c>
      <c r="C212" t="inlineStr">
        <is>
          <t>because questions direct
the topic of conversation.</t>
        </is>
      </c>
      <c r="D212">
        <f>HYPERLINK("https://www.youtube.com/watch?v=iJFIzE3i0X0&amp;t=143s", "Go to time")</f>
        <v/>
      </c>
    </row>
    <row r="213">
      <c r="A213">
        <f>HYPERLINK("https://www.youtube.com/watch?v=nx0NULq_KRU", "Video")</f>
        <v/>
      </c>
      <c r="B213" t="inlineStr">
        <is>
          <t>1:16</t>
        </is>
      </c>
      <c r="C213" t="inlineStr">
        <is>
          <t>work directly on needs like education</t>
        </is>
      </c>
      <c r="D213">
        <f>HYPERLINK("https://www.youtube.com/watch?v=nx0NULq_KRU&amp;t=76s", "Go to time")</f>
        <v/>
      </c>
    </row>
    <row r="214">
      <c r="A214">
        <f>HYPERLINK("https://www.youtube.com/watch?v=nx0NULq_KRU", "Video")</f>
        <v/>
      </c>
      <c r="B214" t="inlineStr">
        <is>
          <t>1:22</t>
        </is>
      </c>
      <c r="C214" t="inlineStr">
        <is>
          <t>congregation, we try to work directly on</t>
        </is>
      </c>
      <c r="D214">
        <f>HYPERLINK("https://www.youtube.com/watch?v=nx0NULq_KRU&amp;t=82s", "Go to time")</f>
        <v/>
      </c>
    </row>
    <row r="215">
      <c r="A215">
        <f>HYPERLINK("https://www.youtube.com/watch?v=9qGcelNEf2A", "Video")</f>
        <v/>
      </c>
      <c r="B215" t="inlineStr">
        <is>
          <t>1:21</t>
        </is>
      </c>
      <c r="C215" t="inlineStr">
        <is>
          <t>and director of the Cool Worlds Lab.</t>
        </is>
      </c>
      <c r="D215">
        <f>HYPERLINK("https://www.youtube.com/watch?v=9qGcelNEf2A&amp;t=81s", "Go to time")</f>
        <v/>
      </c>
    </row>
    <row r="216">
      <c r="A216">
        <f>HYPERLINK("https://www.youtube.com/watch?v=QUSiK2cazcs", "Video")</f>
        <v/>
      </c>
      <c r="B216" t="inlineStr">
        <is>
          <t>0:42</t>
        </is>
      </c>
      <c r="C216" t="inlineStr">
        <is>
          <t>me in a direction towards foreign policy</t>
        </is>
      </c>
      <c r="D216">
        <f>HYPERLINK("https://www.youtube.com/watch?v=QUSiK2cazcs&amp;t=42s", "Go to time")</f>
        <v/>
      </c>
    </row>
    <row r="217">
      <c r="A217">
        <f>HYPERLINK("https://www.youtube.com/watch?v=ZTB1TPeLQNY", "Video")</f>
        <v/>
      </c>
      <c r="B217" t="inlineStr">
        <is>
          <t>0:33</t>
        </is>
      </c>
      <c r="C217" t="inlineStr">
        <is>
          <t>A few years ago, I decided to change direction,
I was inspired to change directions just by</t>
        </is>
      </c>
      <c r="D217">
        <f>HYPERLINK("https://www.youtube.com/watch?v=ZTB1TPeLQNY&amp;t=33s", "Go to time")</f>
        <v/>
      </c>
    </row>
    <row r="218">
      <c r="A218">
        <f>HYPERLINK("https://www.youtube.com/watch?v=ZTB1TPeLQNY", "Video")</f>
        <v/>
      </c>
      <c r="B218" t="inlineStr">
        <is>
          <t>1:46</t>
        </is>
      </c>
      <c r="C218" t="inlineStr">
        <is>
          <t>of the world unless we change inside of us
as individuals and that's the direction I</t>
        </is>
      </c>
      <c r="D218">
        <f>HYPERLINK("https://www.youtube.com/watch?v=ZTB1TPeLQNY&amp;t=106s", "Go to time")</f>
        <v/>
      </c>
    </row>
    <row r="219">
      <c r="A219">
        <f>HYPERLINK("https://www.youtube.com/watch?v=HCTKavcQX4s", "Video")</f>
        <v/>
      </c>
      <c r="B219" t="inlineStr">
        <is>
          <t>0:24</t>
        </is>
      </c>
      <c r="C219" t="inlineStr">
        <is>
          <t>level our methods are indirect they're</t>
        </is>
      </c>
      <c r="D219">
        <f>HYPERLINK("https://www.youtube.com/watch?v=HCTKavcQX4s&amp;t=24s", "Go to time")</f>
        <v/>
      </c>
    </row>
    <row r="220">
      <c r="A220">
        <f>HYPERLINK("https://www.youtube.com/watch?v=_QJ3M8M_RU8", "Video")</f>
        <v/>
      </c>
      <c r="B220" t="inlineStr">
        <is>
          <t>12:56</t>
        </is>
      </c>
      <c r="C220" t="inlineStr">
        <is>
          <t>You can compare this quite directly</t>
        </is>
      </c>
      <c r="D220">
        <f>HYPERLINK("https://www.youtube.com/watch?v=_QJ3M8M_RU8&amp;t=776s", "Go to time")</f>
        <v/>
      </c>
    </row>
    <row r="221">
      <c r="A221">
        <f>HYPERLINK("https://www.youtube.com/watch?v=AQDd14NcT3w", "Video")</f>
        <v/>
      </c>
      <c r="B221" t="inlineStr">
        <is>
          <t>2:22</t>
        </is>
      </c>
      <c r="C221" t="inlineStr">
        <is>
          <t>century and he's directing operas he's a</t>
        </is>
      </c>
      <c r="D221">
        <f>HYPERLINK("https://www.youtube.com/watch?v=AQDd14NcT3w&amp;t=142s", "Go to time")</f>
        <v/>
      </c>
    </row>
    <row r="222">
      <c r="A222">
        <f>HYPERLINK("https://www.youtube.com/watch?v=AQDd14NcT3w", "Video")</f>
        <v/>
      </c>
      <c r="B222" t="inlineStr">
        <is>
          <t>2:25</t>
        </is>
      </c>
      <c r="C222" t="inlineStr">
        <is>
          <t>musician and a theater director so they</t>
        </is>
      </c>
      <c r="D222">
        <f>HYPERLINK("https://www.youtube.com/watch?v=AQDd14NcT3w&amp;t=145s", "Go to time")</f>
        <v/>
      </c>
    </row>
    <row r="223">
      <c r="A223">
        <f>HYPERLINK("https://www.youtube.com/watch?v=ghKwii6PUd8", "Video")</f>
        <v/>
      </c>
      <c r="B223" t="inlineStr">
        <is>
          <t>0:29</t>
        </is>
      </c>
      <c r="C223" t="inlineStr">
        <is>
          <t>buying direct by cutting out you know</t>
        </is>
      </c>
      <c r="D223">
        <f>HYPERLINK("https://www.youtube.com/watch?v=ghKwii6PUd8&amp;t=29s", "Go to time")</f>
        <v/>
      </c>
    </row>
    <row r="224">
      <c r="A224">
        <f>HYPERLINK("https://www.youtube.com/watch?v=pwV4pImBdpA", "Video")</f>
        <v/>
      </c>
      <c r="B224" t="inlineStr">
        <is>
          <t>5:42</t>
        </is>
      </c>
      <c r="C224" t="inlineStr">
        <is>
          <t>a different direction.</t>
        </is>
      </c>
      <c r="D224">
        <f>HYPERLINK("https://www.youtube.com/watch?v=pwV4pImBdpA&amp;t=342s", "Go to time")</f>
        <v/>
      </c>
    </row>
    <row r="225">
      <c r="A225">
        <f>HYPERLINK("https://www.youtube.com/watch?v=eq0MrCCAQWU", "Video")</f>
        <v/>
      </c>
      <c r="B225" t="inlineStr">
        <is>
          <t>1:25</t>
        </is>
      </c>
      <c r="C225" t="inlineStr">
        <is>
          <t>are a direct result of both nature and nurture.</t>
        </is>
      </c>
      <c r="D225">
        <f>HYPERLINK("https://www.youtube.com/watch?v=eq0MrCCAQWU&amp;t=85s", "Go to time")</f>
        <v/>
      </c>
    </row>
    <row r="226">
      <c r="A226">
        <f>HYPERLINK("https://www.youtube.com/watch?v=X9W97KyPL_A", "Video")</f>
        <v/>
      </c>
      <c r="B226" t="inlineStr">
        <is>
          <t>3:46</t>
        </is>
      </c>
      <c r="C226" t="inlineStr">
        <is>
          <t>to move more in the direction of turning</t>
        </is>
      </c>
      <c r="D226">
        <f>HYPERLINK("https://www.youtube.com/watch?v=X9W97KyPL_A&amp;t=226s", "Go to time")</f>
        <v/>
      </c>
    </row>
    <row r="227">
      <c r="A227">
        <f>HYPERLINK("https://www.youtube.com/watch?v=rj0w6UicPew", "Video")</f>
        <v/>
      </c>
      <c r="B227" t="inlineStr">
        <is>
          <t>0:25</t>
        </is>
      </c>
      <c r="C227" t="inlineStr">
        <is>
          <t>in direct denial of all the human rights</t>
        </is>
      </c>
      <c r="D227">
        <f>HYPERLINK("https://www.youtube.com/watch?v=rj0w6UicPew&amp;t=25s", "Go to time")</f>
        <v/>
      </c>
    </row>
    <row r="228">
      <c r="A228">
        <f>HYPERLINK("https://www.youtube.com/watch?v=rj0w6UicPew", "Video")</f>
        <v/>
      </c>
      <c r="B228" t="inlineStr">
        <is>
          <t>2:40</t>
        </is>
      </c>
      <c r="C228" t="inlineStr">
        <is>
          <t>direct implication for human rights. Be</t>
        </is>
      </c>
      <c r="D228">
        <f>HYPERLINK("https://www.youtube.com/watch?v=rj0w6UicPew&amp;t=160s", "Go to time")</f>
        <v/>
      </c>
    </row>
    <row r="229">
      <c r="A229">
        <f>HYPERLINK("https://www.youtube.com/watch?v=rj0w6UicPew", "Video")</f>
        <v/>
      </c>
      <c r="B229" t="inlineStr">
        <is>
          <t>3:12</t>
        </is>
      </c>
      <c r="C229" t="inlineStr">
        <is>
          <t>many ways directly affects the</t>
        </is>
      </c>
      <c r="D229">
        <f>HYPERLINK("https://www.youtube.com/watch?v=rj0w6UicPew&amp;t=192s", "Go to time")</f>
        <v/>
      </c>
    </row>
    <row r="230">
      <c r="A230">
        <f>HYPERLINK("https://www.youtube.com/watch?v=z3xrYsp6Fpg", "Video")</f>
        <v/>
      </c>
      <c r="B230" t="inlineStr">
        <is>
          <t>0:32</t>
        </is>
      </c>
      <c r="C230" t="inlineStr">
        <is>
          <t>directive and it's not that men aren't</t>
        </is>
      </c>
      <c r="D230">
        <f>HYPERLINK("https://www.youtube.com/watch?v=z3xrYsp6Fpg&amp;t=32s", "Go to time")</f>
        <v/>
      </c>
    </row>
    <row r="231">
      <c r="A231">
        <f>HYPERLINK("https://www.youtube.com/watch?v=JxPnrhW1NeQ", "Video")</f>
        <v/>
      </c>
      <c r="B231" t="inlineStr">
        <is>
          <t>2:53</t>
        </is>
      </c>
      <c r="C231" t="inlineStr">
        <is>
          <t>terms of foreign direct investment</t>
        </is>
      </c>
      <c r="D231">
        <f>HYPERLINK("https://www.youtube.com/watch?v=JxPnrhW1NeQ&amp;t=173s", "Go to time")</f>
        <v/>
      </c>
    </row>
    <row r="232">
      <c r="A232">
        <f>HYPERLINK("https://www.youtube.com/watch?v=wI3cXbIlA0g", "Video")</f>
        <v/>
      </c>
      <c r="B232" t="inlineStr">
        <is>
          <t>8:21</t>
        </is>
      </c>
      <c r="C232" t="inlineStr">
        <is>
          <t>a way to get indirect evidence about that.
You could give subjects a reaction time test.</t>
        </is>
      </c>
      <c r="D232">
        <f>HYPERLINK("https://www.youtube.com/watch?v=wI3cXbIlA0g&amp;t=501s", "Go to time")</f>
        <v/>
      </c>
    </row>
    <row r="233">
      <c r="A233">
        <f>HYPERLINK("https://www.youtube.com/watch?v=-U7kAZUTa7w", "Video")</f>
        <v/>
      </c>
      <c r="B233" t="inlineStr">
        <is>
          <t>0:40</t>
        </is>
      </c>
      <c r="C233" t="inlineStr">
        <is>
          <t>directly contradicts the notion that</t>
        </is>
      </c>
      <c r="D233">
        <f>HYPERLINK("https://www.youtube.com/watch?v=-U7kAZUTa7w&amp;t=40s", "Go to time")</f>
        <v/>
      </c>
    </row>
    <row r="234">
      <c r="A234">
        <f>HYPERLINK("https://www.youtube.com/watch?v=tpPFdFdfxxM", "Video")</f>
        <v/>
      </c>
      <c r="B234" t="inlineStr">
        <is>
          <t>11:26</t>
        </is>
      </c>
      <c r="C234" t="inlineStr">
        <is>
          <t>A big piece of this is directly political.</t>
        </is>
      </c>
      <c r="D234">
        <f>HYPERLINK("https://www.youtube.com/watch?v=tpPFdFdfxxM&amp;t=686s", "Go to time")</f>
        <v/>
      </c>
    </row>
    <row r="235">
      <c r="A235">
        <f>HYPERLINK("https://www.youtube.com/watch?v=tpPFdFdfxxM", "Video")</f>
        <v/>
      </c>
      <c r="B235" t="inlineStr">
        <is>
          <t>24:23</t>
        </is>
      </c>
      <c r="C235" t="inlineStr">
        <is>
          <t>Now, the worst that could
happen would be a direct war</t>
        </is>
      </c>
      <c r="D235">
        <f>HYPERLINK("https://www.youtube.com/watch?v=tpPFdFdfxxM&amp;t=1463s", "Go to time")</f>
        <v/>
      </c>
    </row>
    <row r="236">
      <c r="A236">
        <f>HYPERLINK("https://www.youtube.com/watch?v=xo2WD1No75E", "Video")</f>
        <v/>
      </c>
      <c r="B236" t="inlineStr">
        <is>
          <t>1:30</t>
        </is>
      </c>
      <c r="C236" t="inlineStr">
        <is>
          <t>is aiming directly at a an end user so I</t>
        </is>
      </c>
      <c r="D236">
        <f>HYPERLINK("https://www.youtube.com/watch?v=xo2WD1No75E&amp;t=90s", "Go to time")</f>
        <v/>
      </c>
    </row>
    <row r="237">
      <c r="A237">
        <f>HYPERLINK("https://www.youtube.com/watch?v=e-or_D-qNqM", "Video")</f>
        <v/>
      </c>
      <c r="B237" t="inlineStr">
        <is>
          <t>3:05</t>
        </is>
      </c>
      <c r="C237" t="inlineStr">
        <is>
          <t>is that we pursue happiness indirectly.</t>
        </is>
      </c>
      <c r="D237">
        <f>HYPERLINK("https://www.youtube.com/watch?v=e-or_D-qNqM&amp;t=185s", "Go to time")</f>
        <v/>
      </c>
    </row>
    <row r="238">
      <c r="A238">
        <f>HYPERLINK("https://www.youtube.com/watch?v=e-or_D-qNqM", "Video")</f>
        <v/>
      </c>
      <c r="B238" t="inlineStr">
        <is>
          <t>3:12</t>
        </is>
      </c>
      <c r="C238" t="inlineStr">
        <is>
          <t>So if I look at the sun directly,</t>
        </is>
      </c>
      <c r="D238">
        <f>HYPERLINK("https://www.youtube.com/watch?v=e-or_D-qNqM&amp;t=192s", "Go to time")</f>
        <v/>
      </c>
    </row>
    <row r="239">
      <c r="A239">
        <f>HYPERLINK("https://www.youtube.com/watch?v=e-or_D-qNqM", "Video")</f>
        <v/>
      </c>
      <c r="B239" t="inlineStr">
        <is>
          <t>3:26</t>
        </is>
      </c>
      <c r="C239" t="inlineStr">
        <is>
          <t>So I'm indirectly looking at the sunlight,</t>
        </is>
      </c>
      <c r="D239">
        <f>HYPERLINK("https://www.youtube.com/watch?v=e-or_D-qNqM&amp;t=206s", "Go to time")</f>
        <v/>
      </c>
    </row>
    <row r="240">
      <c r="A240">
        <f>HYPERLINK("https://www.youtube.com/watch?v=e-or_D-qNqM", "Video")</f>
        <v/>
      </c>
      <c r="B240" t="inlineStr">
        <is>
          <t>3:31</t>
        </is>
      </c>
      <c r="C240" t="inlineStr">
        <is>
          <t>In the same way, pursuing
happiness directly</t>
        </is>
      </c>
      <c r="D240">
        <f>HYPERLINK("https://www.youtube.com/watch?v=e-or_D-qNqM&amp;t=211s", "Go to time")</f>
        <v/>
      </c>
    </row>
    <row r="241">
      <c r="A241">
        <f>HYPERLINK("https://www.youtube.com/watch?v=e-or_D-qNqM", "Video")</f>
        <v/>
      </c>
      <c r="B241" t="inlineStr">
        <is>
          <t>3:40</t>
        </is>
      </c>
      <c r="C241" t="inlineStr">
        <is>
          <t>can lead us to enjoy the
indirect pursuit of happiness,</t>
        </is>
      </c>
      <c r="D241">
        <f>HYPERLINK("https://www.youtube.com/watch?v=e-or_D-qNqM&amp;t=220s", "Go to time")</f>
        <v/>
      </c>
    </row>
    <row r="242">
      <c r="A242">
        <f>HYPERLINK("https://www.youtube.com/watch?v=RRqBds8B3Mk", "Video")</f>
        <v/>
      </c>
      <c r="B242" t="inlineStr">
        <is>
          <t>2:13</t>
        </is>
      </c>
      <c r="C242" t="inlineStr">
        <is>
          <t>work with a director or a film company</t>
        </is>
      </c>
      <c r="D242">
        <f>HYPERLINK("https://www.youtube.com/watch?v=RRqBds8B3Mk&amp;t=133s", "Go to time")</f>
        <v/>
      </c>
    </row>
    <row r="243">
      <c r="A243">
        <f>HYPERLINK("https://www.youtube.com/watch?v=aE19FVbXrAM", "Video")</f>
        <v/>
      </c>
      <c r="B243" t="inlineStr">
        <is>
          <t>34:52</t>
        </is>
      </c>
      <c r="C243" t="inlineStr">
        <is>
          <t>should or shouldn't have that direct</t>
        </is>
      </c>
      <c r="D243">
        <f>HYPERLINK("https://www.youtube.com/watch?v=aE19FVbXrAM&amp;t=2092s", "Go to time")</f>
        <v/>
      </c>
    </row>
    <row r="244">
      <c r="A244">
        <f>HYPERLINK("https://www.youtube.com/watch?v=qlEOo9ANNos", "Video")</f>
        <v/>
      </c>
      <c r="B244" t="inlineStr">
        <is>
          <t>4:33</t>
        </is>
      </c>
      <c r="C244" t="inlineStr">
        <is>
          <t>And that is that if we take a telescope and
we look in every direction around us, there</t>
        </is>
      </c>
      <c r="D244">
        <f>HYPERLINK("https://www.youtube.com/watch?v=qlEOo9ANNos&amp;t=273s", "Go to time")</f>
        <v/>
      </c>
    </row>
    <row r="245">
      <c r="A245">
        <f>HYPERLINK("https://www.youtube.com/watch?v=qlEOo9ANNos", "Video")</f>
        <v/>
      </c>
      <c r="B245" t="inlineStr">
        <is>
          <t>4:55</t>
        </is>
      </c>
      <c r="C245" t="inlineStr">
        <is>
          <t>So we see in every direction in the sky out
to a distance where we’re looking back,</t>
        </is>
      </c>
      <c r="D245">
        <f>HYPERLINK("https://www.youtube.com/watch?v=qlEOo9ANNos&amp;t=295s", "Go to time")</f>
        <v/>
      </c>
    </row>
    <row r="246">
      <c r="A246">
        <f>HYPERLINK("https://www.youtube.com/watch?v=qlEOo9ANNos", "Video")</f>
        <v/>
      </c>
      <c r="B246" t="inlineStr">
        <is>
          <t>5:39</t>
        </is>
      </c>
      <c r="C246" t="inlineStr">
        <is>
          <t>That’s just how far we can see in every
direction since the beginning of time.</t>
        </is>
      </c>
      <c r="D246">
        <f>HYPERLINK("https://www.youtube.com/watch?v=qlEOo9ANNos&amp;t=339s", "Go to time")</f>
        <v/>
      </c>
    </row>
    <row r="247">
      <c r="A247">
        <f>HYPERLINK("https://www.youtube.com/watch?v=bYfDIERhpjI", "Video")</f>
        <v/>
      </c>
      <c r="B247" t="inlineStr">
        <is>
          <t>1:04</t>
        </is>
      </c>
      <c r="C247" t="inlineStr">
        <is>
          <t>Bookers producers directors</t>
        </is>
      </c>
      <c r="D247">
        <f>HYPERLINK("https://www.youtube.com/watch?v=bYfDIERhpjI&amp;t=64s", "Go to time")</f>
        <v/>
      </c>
    </row>
    <row r="248">
      <c r="A248">
        <f>HYPERLINK("https://www.youtube.com/watch?v=N4l4lNDpauI", "Video")</f>
        <v/>
      </c>
      <c r="B248" t="inlineStr">
        <is>
          <t>1:15</t>
        </is>
      </c>
      <c r="C248" t="inlineStr">
        <is>
          <t>And when I did find it interesting and I found
that business is directly tied to every aspect</t>
        </is>
      </c>
      <c r="D248">
        <f>HYPERLINK("https://www.youtube.com/watch?v=N4l4lNDpauI&amp;t=75s", "Go to time")</f>
        <v/>
      </c>
    </row>
    <row r="249">
      <c r="A249">
        <f>HYPERLINK("https://www.youtube.com/watch?v=b3yRPZwFSx4", "Video")</f>
        <v/>
      </c>
      <c r="B249" t="inlineStr">
        <is>
          <t>1:39</t>
        </is>
      </c>
      <c r="C249" t="inlineStr">
        <is>
          <t>think we we're moving in that direction</t>
        </is>
      </c>
      <c r="D249">
        <f>HYPERLINK("https://www.youtube.com/watch?v=b3yRPZwFSx4&amp;t=99s", "Go to time")</f>
        <v/>
      </c>
    </row>
    <row r="250">
      <c r="A250">
        <f>HYPERLINK("https://www.youtube.com/watch?v=qf8FXw-PSs0", "Video")</f>
        <v/>
      </c>
      <c r="B250" t="inlineStr">
        <is>
          <t>18:15</t>
        </is>
      </c>
      <c r="C250" t="inlineStr">
        <is>
          <t>is my partner can go directly to the</t>
        </is>
      </c>
      <c r="D250">
        <f>HYPERLINK("https://www.youtube.com/watch?v=qf8FXw-PSs0&amp;t=1095s", "Go to time")</f>
        <v/>
      </c>
    </row>
    <row r="251">
      <c r="A251">
        <f>HYPERLINK("https://www.youtube.com/watch?v=t5xxAF4aHig", "Video")</f>
        <v/>
      </c>
      <c r="B251" t="inlineStr">
        <is>
          <t>2:03</t>
        </is>
      </c>
      <c r="C251" t="inlineStr">
        <is>
          <t>You're not quite clear about what is the direction
of the business.</t>
        </is>
      </c>
      <c r="D251">
        <f>HYPERLINK("https://www.youtube.com/watch?v=t5xxAF4aHig&amp;t=123s", "Go to time")</f>
        <v/>
      </c>
    </row>
    <row r="252">
      <c r="A252">
        <f>HYPERLINK("https://www.youtube.com/watch?v=t5xxAF4aHig", "Video")</f>
        <v/>
      </c>
      <c r="B252" t="inlineStr">
        <is>
          <t>2:11</t>
        </is>
      </c>
      <c r="C252" t="inlineStr">
        <is>
          <t>and directly and give you a sense of, not
only where you're coming from but where you're</t>
        </is>
      </c>
      <c r="D252">
        <f>HYPERLINK("https://www.youtube.com/watch?v=t5xxAF4aHig&amp;t=131s", "Go to time")</f>
        <v/>
      </c>
    </row>
    <row r="253">
      <c r="A253">
        <f>HYPERLINK("https://www.youtube.com/watch?v=OGERHyo7JD0", "Video")</f>
        <v/>
      </c>
      <c r="B253" t="inlineStr">
        <is>
          <t>2:15</t>
        </is>
      </c>
      <c r="C253" t="inlineStr">
        <is>
          <t>director of the</t>
        </is>
      </c>
      <c r="D253">
        <f>HYPERLINK("https://www.youtube.com/watch?v=OGERHyo7JD0&amp;t=135s", "Go to time")</f>
        <v/>
      </c>
    </row>
    <row r="254">
      <c r="A254">
        <f>HYPERLINK("https://www.youtube.com/watch?v=ZlTAghiVTfI", "Video")</f>
        <v/>
      </c>
      <c r="B254" t="inlineStr">
        <is>
          <t>0:44</t>
        </is>
      </c>
      <c r="C254" t="inlineStr">
        <is>
          <t>that my own sexual desires were directed</t>
        </is>
      </c>
      <c r="D254">
        <f>HYPERLINK("https://www.youtube.com/watch?v=ZlTAghiVTfI&amp;t=44s", "Go to time")</f>
        <v/>
      </c>
    </row>
    <row r="255">
      <c r="A255">
        <f>HYPERLINK("https://www.youtube.com/watch?v=ZlTAghiVTfI", "Video")</f>
        <v/>
      </c>
      <c r="B255" t="inlineStr">
        <is>
          <t>1:15</t>
        </is>
      </c>
      <c r="C255" t="inlineStr">
        <is>
          <t>bad Direction in response to that um I</t>
        </is>
      </c>
      <c r="D255">
        <f>HYPERLINK("https://www.youtube.com/watch?v=ZlTAghiVTfI&amp;t=75s", "Go to time")</f>
        <v/>
      </c>
    </row>
    <row r="256">
      <c r="A256">
        <f>HYPERLINK("https://www.youtube.com/watch?v=ZlTAghiVTfI", "Video")</f>
        <v/>
      </c>
      <c r="B256" t="inlineStr">
        <is>
          <t>4:52</t>
        </is>
      </c>
      <c r="C256" t="inlineStr">
        <is>
          <t>direction I think reconciling different</t>
        </is>
      </c>
      <c r="D256">
        <f>HYPERLINK("https://www.youtube.com/watch?v=ZlTAghiVTfI&amp;t=292s", "Go to time")</f>
        <v/>
      </c>
    </row>
    <row r="257">
      <c r="A257">
        <f>HYPERLINK("https://www.youtube.com/watch?v=ZlTAghiVTfI", "Video")</f>
        <v/>
      </c>
      <c r="B257" t="inlineStr">
        <is>
          <t>5:32</t>
        </is>
      </c>
      <c r="C257" t="inlineStr">
        <is>
          <t>directions being a loyal Gan meant he</t>
        </is>
      </c>
      <c r="D257">
        <f>HYPERLINK("https://www.youtube.com/watch?v=ZlTAghiVTfI&amp;t=332s", "Go to time")</f>
        <v/>
      </c>
    </row>
    <row r="258">
      <c r="A258">
        <f>HYPERLINK("https://www.youtube.com/watch?v=5Rk1ArxetMU", "Video")</f>
        <v/>
      </c>
      <c r="B258" t="inlineStr">
        <is>
          <t>6:44</t>
        </is>
      </c>
      <c r="C258" t="inlineStr">
        <is>
          <t>or who aren't sure what direction to turn.</t>
        </is>
      </c>
      <c r="D258">
        <f>HYPERLINK("https://www.youtube.com/watch?v=5Rk1ArxetMU&amp;t=404s", "Go to time")</f>
        <v/>
      </c>
    </row>
    <row r="259">
      <c r="A259">
        <f>HYPERLINK("https://www.youtube.com/watch?v=qNvek_G8A1A", "Video")</f>
        <v/>
      </c>
      <c r="B259" t="inlineStr">
        <is>
          <t>1:32</t>
        </is>
      </c>
      <c r="C259" t="inlineStr">
        <is>
          <t>kind of pulled in one direction that you</t>
        </is>
      </c>
      <c r="D259">
        <f>HYPERLINK("https://www.youtube.com/watch?v=qNvek_G8A1A&amp;t=92s", "Go to time")</f>
        <v/>
      </c>
    </row>
    <row r="260">
      <c r="A260">
        <f>HYPERLINK("https://www.youtube.com/watch?v=PlwAKR4luJM", "Video")</f>
        <v/>
      </c>
      <c r="B260" t="inlineStr">
        <is>
          <t>0:33</t>
        </is>
      </c>
      <c r="C260" t="inlineStr">
        <is>
          <t>We have for the first time in history an opportunity
to reach billions of people directly on their</t>
        </is>
      </c>
      <c r="D260">
        <f>HYPERLINK("https://www.youtube.com/watch?v=PlwAKR4luJM&amp;t=33s", "Go to time")</f>
        <v/>
      </c>
    </row>
    <row r="261">
      <c r="A261">
        <f>HYPERLINK("https://www.youtube.com/watch?v=rttiuzToe0o", "Video")</f>
        <v/>
      </c>
      <c r="B261" t="inlineStr">
        <is>
          <t>2:52</t>
        </is>
      </c>
      <c r="C261" t="inlineStr">
        <is>
          <t>day and to make it go in a direction in</t>
        </is>
      </c>
      <c r="D261">
        <f>HYPERLINK("https://www.youtube.com/watch?v=rttiuzToe0o&amp;t=172s", "Go to time")</f>
        <v/>
      </c>
    </row>
    <row r="262">
      <c r="A262">
        <f>HYPERLINK("https://www.youtube.com/watch?v=cfAUbJgR0pE", "Video")</f>
        <v/>
      </c>
      <c r="B262" t="inlineStr">
        <is>
          <t>7:48</t>
        </is>
      </c>
      <c r="C262" t="inlineStr">
        <is>
          <t>it makes sense to pay
attention to it directly.</t>
        </is>
      </c>
      <c r="D262">
        <f>HYPERLINK("https://www.youtube.com/watch?v=cfAUbJgR0pE&amp;t=468s", "Go to time")</f>
        <v/>
      </c>
    </row>
    <row r="263">
      <c r="A263">
        <f>HYPERLINK("https://www.youtube.com/watch?v=9TrbOoirkhM", "Video")</f>
        <v/>
      </c>
      <c r="B263" t="inlineStr">
        <is>
          <t>2:44</t>
        </is>
      </c>
      <c r="C263" t="inlineStr">
        <is>
          <t>redirect our interest and get the information
we need as we need it.</t>
        </is>
      </c>
      <c r="D263">
        <f>HYPERLINK("https://www.youtube.com/watch?v=9TrbOoirkhM&amp;t=164s", "Go to time")</f>
        <v/>
      </c>
    </row>
    <row r="264">
      <c r="A264">
        <f>HYPERLINK("https://www.youtube.com/watch?v=W2ykyVanUgc", "Video")</f>
        <v/>
      </c>
      <c r="B264" t="inlineStr">
        <is>
          <t>10:06</t>
        </is>
      </c>
      <c r="C264" t="inlineStr">
        <is>
          <t>A few years ago, I decided to change direction,
I was inspired to change directions just by</t>
        </is>
      </c>
      <c r="D264">
        <f>HYPERLINK("https://www.youtube.com/watch?v=W2ykyVanUgc&amp;t=606s", "Go to time")</f>
        <v/>
      </c>
    </row>
    <row r="265">
      <c r="A265">
        <f>HYPERLINK("https://www.youtube.com/watch?v=W2ykyVanUgc", "Video")</f>
        <v/>
      </c>
      <c r="B265" t="inlineStr">
        <is>
          <t>11:17</t>
        </is>
      </c>
      <c r="C265" t="inlineStr">
        <is>
          <t>of the world unless we change inside of us
as individuals and that’s the direction</t>
        </is>
      </c>
      <c r="D265">
        <f>HYPERLINK("https://www.youtube.com/watch?v=W2ykyVanUgc&amp;t=677s", "Go to time")</f>
        <v/>
      </c>
    </row>
    <row r="266">
      <c r="A266">
        <f>HYPERLINK("https://www.youtube.com/watch?v=W2ykyVanUgc", "Video")</f>
        <v/>
      </c>
      <c r="B266" t="inlineStr">
        <is>
          <t>20:31</t>
        </is>
      </c>
      <c r="C266" t="inlineStr">
        <is>
          <t>it’s the mother that really raise the child
are the mother that directs the reason on</t>
        </is>
      </c>
      <c r="D266">
        <f>HYPERLINK("https://www.youtube.com/watch?v=W2ykyVanUgc&amp;t=1231s", "Go to time")</f>
        <v/>
      </c>
    </row>
    <row r="267">
      <c r="A267">
        <f>HYPERLINK("https://www.youtube.com/watch?v=W2ykyVanUgc", "Video")</f>
        <v/>
      </c>
      <c r="B267" t="inlineStr">
        <is>
          <t>23:51</t>
        </is>
      </c>
      <c r="C267" t="inlineStr">
        <is>
          <t>It’s going to go in that direction.</t>
        </is>
      </c>
      <c r="D267">
        <f>HYPERLINK("https://www.youtube.com/watch?v=W2ykyVanUgc&amp;t=1431s", "Go to time")</f>
        <v/>
      </c>
    </row>
    <row r="268">
      <c r="A268">
        <f>HYPERLINK("https://www.youtube.com/watch?v=Ynzgn4slglg", "Video")</f>
        <v/>
      </c>
      <c r="B268" t="inlineStr">
        <is>
          <t>6:32</t>
        </is>
      </c>
      <c r="C268" t="inlineStr">
        <is>
          <t>directly</t>
        </is>
      </c>
      <c r="D268">
        <f>HYPERLINK("https://www.youtube.com/watch?v=Ynzgn4slglg&amp;t=392s", "Go to time")</f>
        <v/>
      </c>
    </row>
    <row r="269">
      <c r="A269">
        <f>HYPERLINK("https://www.youtube.com/watch?v=Ynzgn4slglg", "Video")</f>
        <v/>
      </c>
      <c r="B269" t="inlineStr">
        <is>
          <t>7:15</t>
        </is>
      </c>
      <c r="C269" t="inlineStr">
        <is>
          <t>directions that are not going to be all
that useful.</t>
        </is>
      </c>
      <c r="D269">
        <f>HYPERLINK("https://www.youtube.com/watch?v=Ynzgn4slglg&amp;t=435s", "Go to time")</f>
        <v/>
      </c>
    </row>
    <row r="270">
      <c r="A270">
        <f>HYPERLINK("https://www.youtube.com/watch?v=HZYuEQruesM", "Video")</f>
        <v/>
      </c>
      <c r="B270" t="inlineStr">
        <is>
          <t>9:27</t>
        </is>
      </c>
      <c r="C270" t="inlineStr">
        <is>
          <t>the indirect evidence says</t>
        </is>
      </c>
      <c r="D270">
        <f>HYPERLINK("https://www.youtube.com/watch?v=HZYuEQruesM&amp;t=567s", "Go to time")</f>
        <v/>
      </c>
    </row>
    <row r="271">
      <c r="A271">
        <f>HYPERLINK("https://www.youtube.com/watch?v=HZYuEQruesM", "Video")</f>
        <v/>
      </c>
      <c r="B271" t="inlineStr">
        <is>
          <t>22:08</t>
        </is>
      </c>
      <c r="C271" t="inlineStr">
        <is>
          <t>just to follow in the direction of your</t>
        </is>
      </c>
      <c r="D271">
        <f>HYPERLINK("https://www.youtube.com/watch?v=HZYuEQruesM&amp;t=1328s", "Go to time")</f>
        <v/>
      </c>
    </row>
    <row r="272">
      <c r="A272">
        <f>HYPERLINK("https://www.youtube.com/watch?v=OWhsVwVy9yg", "Video")</f>
        <v/>
      </c>
      <c r="B272" t="inlineStr">
        <is>
          <t>14:26</t>
        </is>
      </c>
      <c r="C272" t="inlineStr">
        <is>
          <t>To a very large extent, we moved in that direction
and this is something we should be very proud</t>
        </is>
      </c>
      <c r="D272">
        <f>HYPERLINK("https://www.youtube.com/watch?v=OWhsVwVy9yg&amp;t=866s", "Go to time")</f>
        <v/>
      </c>
    </row>
    <row r="273">
      <c r="A273">
        <f>HYPERLINK("https://www.youtube.com/watch?v=v5au1ylxd3I", "Video")</f>
        <v/>
      </c>
      <c r="B273" t="inlineStr">
        <is>
          <t>3:02</t>
        </is>
      </c>
      <c r="C273" t="inlineStr">
        <is>
          <t>far in either direction you lose your</t>
        </is>
      </c>
      <c r="D273">
        <f>HYPERLINK("https://www.youtube.com/watch?v=v5au1ylxd3I&amp;t=182s", "Go to time")</f>
        <v/>
      </c>
    </row>
    <row r="274">
      <c r="A274">
        <f>HYPERLINK("https://www.youtube.com/watch?v=7hOGfwt0ERk", "Video")</f>
        <v/>
      </c>
      <c r="B274" t="inlineStr">
        <is>
          <t>0:30</t>
        </is>
      </c>
      <c r="C274" t="inlineStr">
        <is>
          <t>anyone directly but look at it this way</t>
        </is>
      </c>
      <c r="D274">
        <f>HYPERLINK("https://www.youtube.com/watch?v=7hOGfwt0ERk&amp;t=30s", "Go to time")</f>
        <v/>
      </c>
    </row>
    <row r="275">
      <c r="A275">
        <f>HYPERLINK("https://www.youtube.com/watch?v=nSNcUosxrws", "Video")</f>
        <v/>
      </c>
      <c r="B275" t="inlineStr">
        <is>
          <t>0:43</t>
        </is>
      </c>
      <c r="C275" t="inlineStr">
        <is>
          <t>to ask questions directly
related to the secret.</t>
        </is>
      </c>
      <c r="D275">
        <f>HYPERLINK("https://www.youtube.com/watch?v=nSNcUosxrws&amp;t=43s", "Go to time")</f>
        <v/>
      </c>
    </row>
    <row r="276">
      <c r="A276">
        <f>HYPERLINK("https://www.youtube.com/watch?v=AjnNYPtNa6A", "Video")</f>
        <v/>
      </c>
      <c r="B276" t="inlineStr">
        <is>
          <t>4:04</t>
        </is>
      </c>
      <c r="C276" t="inlineStr">
        <is>
          <t>How did Spielberg become
the youngest director</t>
        </is>
      </c>
      <c r="D276">
        <f>HYPERLINK("https://www.youtube.com/watch?v=AjnNYPtNa6A&amp;t=244s", "Go to time")</f>
        <v/>
      </c>
    </row>
    <row r="277">
      <c r="A277">
        <f>HYPERLINK("https://www.youtube.com/watch?v=AjnNYPtNa6A", "Video")</f>
        <v/>
      </c>
      <c r="B277" t="inlineStr">
        <is>
          <t>5:43</t>
        </is>
      </c>
      <c r="C277" t="inlineStr">
        <is>
          <t>And that's how he became
the youngest director</t>
        </is>
      </c>
      <c r="D277">
        <f>HYPERLINK("https://www.youtube.com/watch?v=AjnNYPtNa6A&amp;t=343s", "Go to time")</f>
        <v/>
      </c>
    </row>
    <row r="278">
      <c r="A278">
        <f>HYPERLINK("https://www.youtube.com/watch?v=erSV-AfIVdM", "Video")</f>
        <v/>
      </c>
      <c r="B278" t="inlineStr">
        <is>
          <t>0:52</t>
        </is>
      </c>
      <c r="C278" t="inlineStr">
        <is>
          <t>different direction this is the greatest</t>
        </is>
      </c>
      <c r="D278">
        <f>HYPERLINK("https://www.youtube.com/watch?v=erSV-AfIVdM&amp;t=52s", "Go to time")</f>
        <v/>
      </c>
    </row>
    <row r="279">
      <c r="A279">
        <f>HYPERLINK("https://www.youtube.com/watch?v=wIRuMJj_igE", "Video")</f>
        <v/>
      </c>
      <c r="B279" t="inlineStr">
        <is>
          <t>2:02</t>
        </is>
      </c>
      <c r="C279" t="inlineStr">
        <is>
          <t>whether it's directors or athletes
or designers,</t>
        </is>
      </c>
      <c r="D279">
        <f>HYPERLINK("https://www.youtube.com/watch?v=wIRuMJj_igE&amp;t=122s", "Go to time")</f>
        <v/>
      </c>
    </row>
    <row r="280">
      <c r="A280">
        <f>HYPERLINK("https://www.youtube.com/watch?v=ubMghRYqk8o", "Video")</f>
        <v/>
      </c>
      <c r="B280" t="inlineStr">
        <is>
          <t>4:51</t>
        </is>
      </c>
      <c r="C280" t="inlineStr">
        <is>
          <t>they can impact the direction of our life, 
the path that we're taking without us even</t>
        </is>
      </c>
      <c r="D280">
        <f>HYPERLINK("https://www.youtube.com/watch?v=ubMghRYqk8o&amp;t=291s", "Go to time")</f>
        <v/>
      </c>
    </row>
    <row r="281">
      <c r="A281">
        <f>HYPERLINK("https://www.youtube.com/watch?v=ubMghRYqk8o", "Video")</f>
        <v/>
      </c>
      <c r="B281" t="inlineStr">
        <is>
          <t>17:22</t>
        </is>
      </c>
      <c r="C281" t="inlineStr">
        <is>
          <t>way to direct this curiosity towards the things 
that you actually want to do with your life.</t>
        </is>
      </c>
      <c r="D281">
        <f>HYPERLINK("https://www.youtube.com/watch?v=ubMghRYqk8o&amp;t=1042s", "Go to time")</f>
        <v/>
      </c>
    </row>
    <row r="282">
      <c r="A282">
        <f>HYPERLINK("https://www.youtube.com/watch?v=ubMghRYqk8o", "Video")</f>
        <v/>
      </c>
      <c r="B282" t="inlineStr">
        <is>
          <t>22:56</t>
        </is>
      </c>
      <c r="C282" t="inlineStr">
        <is>
          <t>change the direction of your ambitions with the 
world, as the world changes. Another problem is</t>
        </is>
      </c>
      <c r="D282">
        <f>HYPERLINK("https://www.youtube.com/watch?v=ubMghRYqk8o&amp;t=1376s", "Go to time")</f>
        <v/>
      </c>
    </row>
    <row r="283">
      <c r="A283">
        <f>HYPERLINK("https://www.youtube.com/watch?v=ubMghRYqk8o", "Video")</f>
        <v/>
      </c>
      <c r="B283" t="inlineStr">
        <is>
          <t>43:28</t>
        </is>
      </c>
      <c r="C283" t="inlineStr">
        <is>
          <t>work and direct your focus. Mindful productivity 
is really about answering three key questions.</t>
        </is>
      </c>
      <c r="D283">
        <f>HYPERLINK("https://www.youtube.com/watch?v=ubMghRYqk8o&amp;t=2608s", "Go to time")</f>
        <v/>
      </c>
    </row>
    <row r="284">
      <c r="A284">
        <f>HYPERLINK("https://www.youtube.com/watch?v=Gwhjr1LR4ck", "Video")</f>
        <v/>
      </c>
      <c r="B284" t="inlineStr">
        <is>
          <t>14:19</t>
        </is>
      </c>
      <c r="C284" t="inlineStr">
        <is>
          <t>coaching requires direct</t>
        </is>
      </c>
      <c r="D284">
        <f>HYPERLINK("https://www.youtube.com/watch?v=Gwhjr1LR4ck&amp;t=859s", "Go to time")</f>
        <v/>
      </c>
    </row>
    <row r="285">
      <c r="A285">
        <f>HYPERLINK("https://www.youtube.com/watch?v=C72wVnXhO5Y", "Video")</f>
        <v/>
      </c>
      <c r="B285" t="inlineStr">
        <is>
          <t>43:45</t>
        </is>
      </c>
      <c r="C285" t="inlineStr">
        <is>
          <t>has seen to go too far in some direction</t>
        </is>
      </c>
      <c r="D285">
        <f>HYPERLINK("https://www.youtube.com/watch?v=C72wVnXhO5Y&amp;t=2625s", "Go to time")</f>
        <v/>
      </c>
    </row>
    <row r="286">
      <c r="A286">
        <f>HYPERLINK("https://www.youtube.com/watch?v=Fcx3WEhodBw", "Video")</f>
        <v/>
      </c>
      <c r="B286" t="inlineStr">
        <is>
          <t>8:24</t>
        </is>
      </c>
      <c r="C286" t="inlineStr">
        <is>
          <t>Going over those circuits
in both directions</t>
        </is>
      </c>
      <c r="D286">
        <f>HYPERLINK("https://www.youtube.com/watch?v=Fcx3WEhodBw&amp;t=504s", "Go to time")</f>
        <v/>
      </c>
    </row>
    <row r="287">
      <c r="A287">
        <f>HYPERLINK("https://www.youtube.com/watch?v=OJjrmC2x-DY", "Video")</f>
        <v/>
      </c>
      <c r="B287" t="inlineStr">
        <is>
          <t>1:45</t>
        </is>
      </c>
      <c r="C287" t="inlineStr">
        <is>
          <t>director at the</t>
        </is>
      </c>
      <c r="D287">
        <f>HYPERLINK("https://www.youtube.com/watch?v=OJjrmC2x-DY&amp;t=105s", "Go to time")</f>
        <v/>
      </c>
    </row>
    <row r="288">
      <c r="A288">
        <f>HYPERLINK("https://www.youtube.com/watch?v=-asOA1QMGtg", "Video")</f>
        <v/>
      </c>
      <c r="B288" t="inlineStr">
        <is>
          <t>26:48</t>
        </is>
      </c>
      <c r="C288" t="inlineStr">
        <is>
          <t>where I was still kind
of finding my direction,</t>
        </is>
      </c>
      <c r="D288">
        <f>HYPERLINK("https://www.youtube.com/watch?v=-asOA1QMGtg&amp;t=1608s", "Go to time")</f>
        <v/>
      </c>
    </row>
    <row r="289">
      <c r="A289">
        <f>HYPERLINK("https://www.youtube.com/watch?v=-asOA1QMGtg", "Video")</f>
        <v/>
      </c>
      <c r="B289" t="inlineStr">
        <is>
          <t>32:46</t>
        </is>
      </c>
      <c r="C289" t="inlineStr">
        <is>
          <t>There's actually a very direct connection,</t>
        </is>
      </c>
      <c r="D289">
        <f>HYPERLINK("https://www.youtube.com/watch?v=-asOA1QMGtg&amp;t=1966s", "Go to time")</f>
        <v/>
      </c>
    </row>
    <row r="290">
      <c r="A290">
        <f>HYPERLINK("https://www.youtube.com/watch?v=-asOA1QMGtg", "Video")</f>
        <v/>
      </c>
      <c r="B290" t="inlineStr">
        <is>
          <t>34:41</t>
        </is>
      </c>
      <c r="C290" t="inlineStr">
        <is>
          <t>you should put that piece of
content directly in the folder</t>
        </is>
      </c>
      <c r="D290">
        <f>HYPERLINK("https://www.youtube.com/watch?v=-asOA1QMGtg&amp;t=2081s", "Go to time")</f>
        <v/>
      </c>
    </row>
    <row r="291">
      <c r="A291">
        <f>HYPERLINK("https://www.youtube.com/watch?v=KUsGDVOCLVQ", "Video")</f>
        <v/>
      </c>
      <c r="B291" t="inlineStr">
        <is>
          <t>4:28</t>
        </is>
      </c>
      <c r="C291" t="inlineStr">
        <is>
          <t>Directed / Produced by
Jonathan Fowler &amp; Elizabeth Rodd</t>
        </is>
      </c>
      <c r="D291">
        <f>HYPERLINK("https://www.youtube.com/watch?v=KUsGDVOCLVQ&amp;t=268s", "Go to time")</f>
        <v/>
      </c>
    </row>
    <row r="292">
      <c r="A292">
        <f>HYPERLINK("https://www.youtube.com/watch?v=zgZMyY27tfg", "Video")</f>
        <v/>
      </c>
      <c r="B292" t="inlineStr">
        <is>
          <t>5:04</t>
        </is>
      </c>
      <c r="C292" t="inlineStr">
        <is>
          <t>career I went to the direction of</t>
        </is>
      </c>
      <c r="D292">
        <f>HYPERLINK("https://www.youtube.com/watch?v=zgZMyY27tfg&amp;t=304s", "Go to time")</f>
        <v/>
      </c>
    </row>
    <row r="293">
      <c r="A293">
        <f>HYPERLINK("https://www.youtube.com/watch?v=zgZMyY27tfg", "Video")</f>
        <v/>
      </c>
      <c r="B293" t="inlineStr">
        <is>
          <t>24:27</t>
        </is>
      </c>
      <c r="C293" t="inlineStr">
        <is>
          <t>direction or that direction and then the</t>
        </is>
      </c>
      <c r="D293">
        <f>HYPERLINK("https://www.youtube.com/watch?v=zgZMyY27tfg&amp;t=1467s", "Go to time")</f>
        <v/>
      </c>
    </row>
    <row r="294">
      <c r="A294">
        <f>HYPERLINK("https://www.youtube.com/watch?v=zgZMyY27tfg", "Video")</f>
        <v/>
      </c>
      <c r="B294" t="inlineStr">
        <is>
          <t>25:23</t>
        </is>
      </c>
      <c r="C294" t="inlineStr">
        <is>
          <t>person but directly through the skull so</t>
        </is>
      </c>
      <c r="D294">
        <f>HYPERLINK("https://www.youtube.com/watch?v=zgZMyY27tfg&amp;t=1523s", "Go to time")</f>
        <v/>
      </c>
    </row>
    <row r="295">
      <c r="A295">
        <f>HYPERLINK("https://www.youtube.com/watch?v=zgZMyY27tfg", "Video")</f>
        <v/>
      </c>
      <c r="B295" t="inlineStr">
        <is>
          <t>35:41</t>
        </is>
      </c>
      <c r="C295" t="inlineStr">
        <is>
          <t>don't think direct much much policy like</t>
        </is>
      </c>
      <c r="D295">
        <f>HYPERLINK("https://www.youtube.com/watch?v=zgZMyY27tfg&amp;t=2141s", "Go to time")</f>
        <v/>
      </c>
    </row>
    <row r="296">
      <c r="A296">
        <f>HYPERLINK("https://www.youtube.com/watch?v=zgZMyY27tfg", "Video")</f>
        <v/>
      </c>
      <c r="B296" t="inlineStr">
        <is>
          <t>42:31</t>
        </is>
      </c>
      <c r="C296" t="inlineStr">
        <is>
          <t>dollars in that direction I think</t>
        </is>
      </c>
      <c r="D296">
        <f>HYPERLINK("https://www.youtube.com/watch?v=zgZMyY27tfg&amp;t=2551s", "Go to time")</f>
        <v/>
      </c>
    </row>
    <row r="297">
      <c r="A297">
        <f>HYPERLINK("https://www.youtube.com/watch?v=0vkYW7O_3nM", "Video")</f>
        <v/>
      </c>
      <c r="B297" t="inlineStr">
        <is>
          <t>9:10</t>
        </is>
      </c>
      <c r="C297" t="inlineStr">
        <is>
          <t>that without the u advice or direction</t>
        </is>
      </c>
      <c r="D297">
        <f>HYPERLINK("https://www.youtube.com/watch?v=0vkYW7O_3nM&amp;t=550s", "Go to time")</f>
        <v/>
      </c>
    </row>
    <row r="298">
      <c r="A298">
        <f>HYPERLINK("https://www.youtube.com/watch?v=H5Q_-gIZIps", "Video")</f>
        <v/>
      </c>
      <c r="B298" t="inlineStr">
        <is>
          <t>0:51</t>
        </is>
      </c>
      <c r="C298" t="inlineStr">
        <is>
          <t>I'm Adam Bryant, Senior Managing
Director of the EXCO Group,</t>
        </is>
      </c>
      <c r="D298">
        <f>HYPERLINK("https://www.youtube.com/watch?v=H5Q_-gIZIps&amp;t=51s", "Go to time")</f>
        <v/>
      </c>
    </row>
    <row r="299">
      <c r="A299">
        <f>HYPERLINK("https://www.youtube.com/watch?v=H5Q_-gIZIps", "Video")</f>
        <v/>
      </c>
      <c r="B299" t="inlineStr">
        <is>
          <t>3:08</t>
        </is>
      </c>
      <c r="C299" t="inlineStr">
        <is>
          <t>On the other hand, you
have to be very direct</t>
        </is>
      </c>
      <c r="D299">
        <f>HYPERLINK("https://www.youtube.com/watch?v=H5Q_-gIZIps&amp;t=188s", "Go to time")</f>
        <v/>
      </c>
    </row>
    <row r="300">
      <c r="A300">
        <f>HYPERLINK("https://www.youtube.com/watch?v=H5Q_-gIZIps", "Video")</f>
        <v/>
      </c>
      <c r="B300" t="inlineStr">
        <is>
          <t>4:39</t>
        </is>
      </c>
      <c r="C300" t="inlineStr">
        <is>
          <t>you might go a different
direction at the end of the day,</t>
        </is>
      </c>
      <c r="D300">
        <f>HYPERLINK("https://www.youtube.com/watch?v=H5Q_-gIZIps&amp;t=279s", "Go to time")</f>
        <v/>
      </c>
    </row>
    <row r="301">
      <c r="A301">
        <f>HYPERLINK("https://www.youtube.com/watch?v=FqM14Qeozog", "Video")</f>
        <v/>
      </c>
      <c r="B301" t="inlineStr">
        <is>
          <t>3:36</t>
        </is>
      </c>
      <c r="C301" t="inlineStr">
        <is>
          <t>should you be bending your
spine in that direction?</t>
        </is>
      </c>
      <c r="D301">
        <f>HYPERLINK("https://www.youtube.com/watch?v=FqM14Qeozog&amp;t=216s", "Go to time")</f>
        <v/>
      </c>
    </row>
    <row r="302">
      <c r="A302">
        <f>HYPERLINK("https://www.youtube.com/watch?v=FqM14Qeozog", "Video")</f>
        <v/>
      </c>
      <c r="B302" t="inlineStr">
        <is>
          <t>8:04</t>
        </is>
      </c>
      <c r="C302" t="inlineStr">
        <is>
          <t>for a lot of people to
move in the direction</t>
        </is>
      </c>
      <c r="D302">
        <f>HYPERLINK("https://www.youtube.com/watch?v=FqM14Qeozog&amp;t=484s", "Go to time")</f>
        <v/>
      </c>
    </row>
    <row r="303">
      <c r="A303">
        <f>HYPERLINK("https://www.youtube.com/watch?v=KuqSHi-yXAI", "Video")</f>
        <v/>
      </c>
      <c r="B303" t="inlineStr">
        <is>
          <t>0:27</t>
        </is>
      </c>
      <c r="C303" t="inlineStr">
        <is>
          <t>We're pulled in so many directions
between the texts alerts</t>
        </is>
      </c>
      <c r="D303">
        <f>HYPERLINK("https://www.youtube.com/watch?v=KuqSHi-yXAI&amp;t=27s", "Go to time")</f>
        <v/>
      </c>
    </row>
    <row r="304">
      <c r="A304">
        <f>HYPERLINK("https://www.youtube.com/watch?v=Yk6Os2Yd3Ok", "Video")</f>
        <v/>
      </c>
      <c r="B304" t="inlineStr">
        <is>
          <t>7:43</t>
        </is>
      </c>
      <c r="C304" t="inlineStr">
        <is>
          <t>same direction you can't just try</t>
        </is>
      </c>
      <c r="D304">
        <f>HYPERLINK("https://www.youtube.com/watch?v=Yk6Os2Yd3Ok&amp;t=463s", "Go to time")</f>
        <v/>
      </c>
    </row>
    <row r="305">
      <c r="A305">
        <f>HYPERLINK("https://www.youtube.com/watch?v=VGYMgU7d00Q", "Video")</f>
        <v/>
      </c>
      <c r="B305" t="inlineStr">
        <is>
          <t>0:48</t>
        </is>
      </c>
      <c r="C305" t="inlineStr">
        <is>
          <t>And we had satellites out
there in that other direction,</t>
        </is>
      </c>
      <c r="D305">
        <f>HYPERLINK("https://www.youtube.com/watch?v=VGYMgU7d00Q&amp;t=48s", "Go to time")</f>
        <v/>
      </c>
    </row>
    <row r="306">
      <c r="A306">
        <f>HYPERLINK("https://www.youtube.com/watch?v=fWP_6RV6nmA", "Video")</f>
        <v/>
      </c>
      <c r="B306" t="inlineStr">
        <is>
          <t>2:26</t>
        </is>
      </c>
      <c r="C306" t="inlineStr">
        <is>
          <t>self-directed education more broadly is</t>
        </is>
      </c>
      <c r="D306">
        <f>HYPERLINK("https://www.youtube.com/watch?v=fWP_6RV6nmA&amp;t=146s", "Go to time")</f>
        <v/>
      </c>
    </row>
    <row r="307">
      <c r="A307">
        <f>HYPERLINK("https://www.youtube.com/watch?v=fWP_6RV6nmA", "Video")</f>
        <v/>
      </c>
      <c r="B307" t="inlineStr">
        <is>
          <t>2:48</t>
        </is>
      </c>
      <c r="C307" t="inlineStr">
        <is>
          <t>typical day for a self-directed learner</t>
        </is>
      </c>
      <c r="D307">
        <f>HYPERLINK("https://www.youtube.com/watch?v=fWP_6RV6nmA&amp;t=168s", "Go to time")</f>
        <v/>
      </c>
    </row>
    <row r="308">
      <c r="A308">
        <f>HYPERLINK("https://www.youtube.com/watch?v=fWP_6RV6nmA", "Video")</f>
        <v/>
      </c>
      <c r="B308" t="inlineStr">
        <is>
          <t>3:06</t>
        </is>
      </c>
      <c r="C308" t="inlineStr">
        <is>
          <t>direction in which the child will be</t>
        </is>
      </c>
      <c r="D308">
        <f>HYPERLINK("https://www.youtube.com/watch?v=fWP_6RV6nmA&amp;t=186s", "Go to time")</f>
        <v/>
      </c>
    </row>
    <row r="309">
      <c r="A309">
        <f>HYPERLINK("https://www.youtube.com/watch?v=fWP_6RV6nmA", "Video")</f>
        <v/>
      </c>
      <c r="B309" t="inlineStr">
        <is>
          <t>3:22</t>
        </is>
      </c>
      <c r="C309" t="inlineStr">
        <is>
          <t>self-directed learning center or</t>
        </is>
      </c>
      <c r="D309">
        <f>HYPERLINK("https://www.youtube.com/watch?v=fWP_6RV6nmA&amp;t=202s", "Go to time")</f>
        <v/>
      </c>
    </row>
    <row r="310">
      <c r="A310">
        <f>HYPERLINK("https://www.youtube.com/watch?v=fWP_6RV6nmA", "Video")</f>
        <v/>
      </c>
      <c r="B310" t="inlineStr">
        <is>
          <t>3:24</t>
        </is>
      </c>
      <c r="C310" t="inlineStr">
        <is>
          <t>self-directed school like the Sudbury</t>
        </is>
      </c>
      <c r="D310">
        <f>HYPERLINK("https://www.youtube.com/watch?v=fWP_6RV6nmA&amp;t=204s", "Go to time")</f>
        <v/>
      </c>
    </row>
    <row r="311">
      <c r="A311">
        <f>HYPERLINK("https://www.youtube.com/watch?v=fWP_6RV6nmA", "Video")</f>
        <v/>
      </c>
      <c r="B311" t="inlineStr">
        <is>
          <t>3:58</t>
        </is>
      </c>
      <c r="C311" t="inlineStr">
        <is>
          <t>facilitate a child's self-directed</t>
        </is>
      </c>
      <c r="D311">
        <f>HYPERLINK("https://www.youtube.com/watch?v=fWP_6RV6nmA&amp;t=238s", "Go to time")</f>
        <v/>
      </c>
    </row>
    <row r="312">
      <c r="A312">
        <f>HYPERLINK("https://www.youtube.com/watch?v=fWP_6RV6nmA", "Video")</f>
        <v/>
      </c>
      <c r="B312" t="inlineStr">
        <is>
          <t>5:30</t>
        </is>
      </c>
      <c r="C312" t="inlineStr">
        <is>
          <t>to direct the actions of those young</t>
        </is>
      </c>
      <c r="D312">
        <f>HYPERLINK("https://www.youtube.com/watch?v=fWP_6RV6nmA&amp;t=330s", "Go to time")</f>
        <v/>
      </c>
    </row>
    <row r="313">
      <c r="A313">
        <f>HYPERLINK("https://www.youtube.com/watch?v=4h732OBUGTY", "Video")</f>
        <v/>
      </c>
      <c r="B313" t="inlineStr">
        <is>
          <t>3:31</t>
        </is>
      </c>
      <c r="C313" t="inlineStr">
        <is>
          <t>a willingness to move in a somewhat new direction.</t>
        </is>
      </c>
      <c r="D313">
        <f>HYPERLINK("https://www.youtube.com/watch?v=4h732OBUGTY&amp;t=211s", "Go to time")</f>
        <v/>
      </c>
    </row>
    <row r="314">
      <c r="A314">
        <f>HYPERLINK("https://www.youtube.com/watch?v=GbgU8rxU5iU", "Video")</f>
        <v/>
      </c>
      <c r="B314" t="inlineStr">
        <is>
          <t>1:05</t>
        </is>
      </c>
      <c r="C314" t="inlineStr">
        <is>
          <t>outd director but they never asked me if</t>
        </is>
      </c>
      <c r="D314">
        <f>HYPERLINK("https://www.youtube.com/watch?v=GbgU8rxU5iU&amp;t=65s", "Go to time")</f>
        <v/>
      </c>
    </row>
    <row r="315">
      <c r="A315">
        <f>HYPERLINK("https://www.youtube.com/watch?v=mW-a-zA0uJs", "Video")</f>
        <v/>
      </c>
      <c r="B315" t="inlineStr">
        <is>
          <t>0:43</t>
        </is>
      </c>
      <c r="C315" t="inlineStr">
        <is>
          <t>uh my mind goes and 10 directions with</t>
        </is>
      </c>
      <c r="D315">
        <f>HYPERLINK("https://www.youtube.com/watch?v=mW-a-zA0uJs&amp;t=43s", "Go to time")</f>
        <v/>
      </c>
    </row>
    <row r="316">
      <c r="A316">
        <f>HYPERLINK("https://www.youtube.com/watch?v=kO41iURud9c", "Video")</f>
        <v/>
      </c>
      <c r="B316" t="inlineStr">
        <is>
          <t>55:01</t>
        </is>
      </c>
      <c r="C316" t="inlineStr">
        <is>
          <t>Not directly, I'll say.</t>
        </is>
      </c>
      <c r="D316">
        <f>HYPERLINK("https://www.youtube.com/watch?v=kO41iURud9c&amp;t=3301s", "Go to time")</f>
        <v/>
      </c>
    </row>
    <row r="317">
      <c r="A317">
        <f>HYPERLINK("https://www.youtube.com/watch?v=_ZERmF6VWEU", "Video")</f>
        <v/>
      </c>
      <c r="B317" t="inlineStr">
        <is>
          <t>1:53</t>
        </is>
      </c>
      <c r="C317" t="inlineStr">
        <is>
          <t>bit of a nightmare scenario, which is are
we going to come to the point in this direction</t>
        </is>
      </c>
      <c r="D317">
        <f>HYPERLINK("https://www.youtube.com/watch?v=_ZERmF6VWEU&amp;t=113s", "Go to time")</f>
        <v/>
      </c>
    </row>
    <row r="318">
      <c r="A318">
        <f>HYPERLINK("https://www.youtube.com/watch?v=syygESm9W9g", "Video")</f>
        <v/>
      </c>
      <c r="B318" t="inlineStr">
        <is>
          <t>0:20</t>
        </is>
      </c>
      <c r="C318" t="inlineStr">
        <is>
          <t>about new directions in science</t>
        </is>
      </c>
      <c r="D318">
        <f>HYPERLINK("https://www.youtube.com/watch?v=syygESm9W9g&amp;t=20s", "Go to time")</f>
        <v/>
      </c>
    </row>
    <row r="319">
      <c r="A319">
        <f>HYPERLINK("https://www.youtube.com/watch?v=syygESm9W9g", "Video")</f>
        <v/>
      </c>
      <c r="B319" t="inlineStr">
        <is>
          <t>1:55</t>
        </is>
      </c>
      <c r="C319" t="inlineStr">
        <is>
          <t>actually directly witnessed scientists</t>
        </is>
      </c>
      <c r="D319">
        <f>HYPERLINK("https://www.youtube.com/watch?v=syygESm9W9g&amp;t=115s", "Go to time")</f>
        <v/>
      </c>
    </row>
    <row r="320">
      <c r="A320">
        <f>HYPERLINK("https://www.youtube.com/watch?v=sO_sRSg_Rb4", "Video")</f>
        <v/>
      </c>
      <c r="B320" t="inlineStr">
        <is>
          <t>16:03</t>
        </is>
      </c>
      <c r="C320" t="inlineStr">
        <is>
          <t>you know if you want to be a director,</t>
        </is>
      </c>
      <c r="D320">
        <f>HYPERLINK("https://www.youtube.com/watch?v=sO_sRSg_Rb4&amp;t=963s", "Go to time")</f>
        <v/>
      </c>
    </row>
    <row r="321">
      <c r="A321">
        <f>HYPERLINK("https://www.youtube.com/watch?v=sO_sRSg_Rb4", "Video")</f>
        <v/>
      </c>
      <c r="B321" t="inlineStr">
        <is>
          <t>16:05</t>
        </is>
      </c>
      <c r="C321" t="inlineStr">
        <is>
          <t>direct, you know, or collaborate with</t>
        </is>
      </c>
      <c r="D321">
        <f>HYPERLINK("https://www.youtube.com/watch?v=sO_sRSg_Rb4&amp;t=965s", "Go to time")</f>
        <v/>
      </c>
    </row>
    <row r="322">
      <c r="A322">
        <f>HYPERLINK("https://www.youtube.com/watch?v=z7kVc8NLgXc", "Video")</f>
        <v/>
      </c>
      <c r="B322" t="inlineStr">
        <is>
          <t>0:15</t>
        </is>
      </c>
      <c r="C322" t="inlineStr">
        <is>
          <t>opposite directions I mean for me the</t>
        </is>
      </c>
      <c r="D322">
        <f>HYPERLINK("https://www.youtube.com/watch?v=z7kVc8NLgXc&amp;t=15s", "Go to time")</f>
        <v/>
      </c>
    </row>
    <row r="323">
      <c r="A323">
        <f>HYPERLINK("https://www.youtube.com/watch?v=4eIDBV4Mpek", "Video")</f>
        <v/>
      </c>
      <c r="B323" t="inlineStr">
        <is>
          <t>2:54</t>
        </is>
      </c>
      <c r="C323" t="inlineStr">
        <is>
          <t>ask the brain directly?"</t>
        </is>
      </c>
      <c r="D323">
        <f>HYPERLINK("https://www.youtube.com/watch?v=4eIDBV4Mpek&amp;t=174s", "Go to time")</f>
        <v/>
      </c>
    </row>
    <row r="324">
      <c r="A324">
        <f>HYPERLINK("https://www.youtube.com/watch?v=yi87xlmOjP8", "Video")</f>
        <v/>
      </c>
      <c r="B324" t="inlineStr">
        <is>
          <t>3:29</t>
        </is>
      </c>
      <c r="C324" t="inlineStr">
        <is>
          <t>of our minds will have a doorway directly</t>
        </is>
      </c>
      <c r="D324">
        <f>HYPERLINK("https://www.youtube.com/watch?v=yi87xlmOjP8&amp;t=209s", "Go to time")</f>
        <v/>
      </c>
    </row>
    <row r="325">
      <c r="A325">
        <f>HYPERLINK("https://www.youtube.com/watch?v=phEpTUU3KQI", "Video")</f>
        <v/>
      </c>
      <c r="B325" t="inlineStr">
        <is>
          <t>1:01</t>
        </is>
      </c>
      <c r="C325" t="inlineStr">
        <is>
          <t>it's a direct competitor for newspapers</t>
        </is>
      </c>
      <c r="D325">
        <f>HYPERLINK("https://www.youtube.com/watch?v=phEpTUU3KQI&amp;t=61s", "Go to time")</f>
        <v/>
      </c>
    </row>
    <row r="326">
      <c r="A326">
        <f>HYPERLINK("https://www.youtube.com/watch?v=YC2qoeWYr4w", "Video")</f>
        <v/>
      </c>
      <c r="B326" t="inlineStr">
        <is>
          <t>0:06</t>
        </is>
      </c>
      <c r="C326" t="inlineStr">
        <is>
          <t>almost as though it had a
direction, almost had a purpose."</t>
        </is>
      </c>
      <c r="D326">
        <f>HYPERLINK("https://www.youtube.com/watch?v=YC2qoeWYr4w&amp;t=6s", "Go to time")</f>
        <v/>
      </c>
    </row>
    <row r="327">
      <c r="A327">
        <f>HYPERLINK("https://www.youtube.com/watch?v=J67VfNwZmgI", "Video")</f>
        <v/>
      </c>
      <c r="B327" t="inlineStr">
        <is>
          <t>3:05</t>
        </is>
      </c>
      <c r="C327" t="inlineStr">
        <is>
          <t>no one's directly studied the brain</t>
        </is>
      </c>
      <c r="D327">
        <f>HYPERLINK("https://www.youtube.com/watch?v=J67VfNwZmgI&amp;t=185s", "Go to time")</f>
        <v/>
      </c>
    </row>
    <row r="328">
      <c r="A328">
        <f>HYPERLINK("https://www.youtube.com/watch?v=I5Bvs9l6IZY", "Video")</f>
        <v/>
      </c>
      <c r="B328" t="inlineStr">
        <is>
          <t>2:28</t>
        </is>
      </c>
      <c r="C328" t="inlineStr">
        <is>
          <t>in other directions and the Democrats</t>
        </is>
      </c>
      <c r="D328">
        <f>HYPERLINK("https://www.youtube.com/watch?v=I5Bvs9l6IZY&amp;t=148s", "Go to time")</f>
        <v/>
      </c>
    </row>
    <row r="329">
      <c r="A329">
        <f>HYPERLINK("https://www.youtube.com/watch?v=0NbBjNiw4tk", "Video")</f>
        <v/>
      </c>
      <c r="B329" t="inlineStr">
        <is>
          <t>31:50</t>
        </is>
      </c>
      <c r="C329" t="inlineStr">
        <is>
          <t>A tube 17 miles in circumference with two beams of protons circulating in opposite directions</t>
        </is>
      </c>
      <c r="D329">
        <f>HYPERLINK("https://www.youtube.com/watch?v=0NbBjNiw4tk&amp;t=1910s", "Go to time")</f>
        <v/>
      </c>
    </row>
    <row r="330">
      <c r="A330">
        <f>HYPERLINK("https://www.youtube.com/watch?v=r-IWto8XTKY", "Video")</f>
        <v/>
      </c>
      <c r="B330" t="inlineStr">
        <is>
          <t>0:00</t>
        </is>
      </c>
      <c r="C330" t="inlineStr">
        <is>
          <t>I was the Digital Director for President Obama's
2012 campaign.</t>
        </is>
      </c>
      <c r="D330">
        <f>HYPERLINK("https://www.youtube.com/watch?v=r-IWto8XTKY&amp;t=0s", "Go to time")</f>
        <v/>
      </c>
    </row>
    <row r="331">
      <c r="A331">
        <f>HYPERLINK("https://www.youtube.com/watch?v=FPsjI-Pe5Wc", "Video")</f>
        <v/>
      </c>
      <c r="B331" t="inlineStr">
        <is>
          <t>8:54</t>
        </is>
      </c>
      <c r="C331" t="inlineStr">
        <is>
          <t>put directly in the amydala and we avoid</t>
        </is>
      </c>
      <c r="D331">
        <f>HYPERLINK("https://www.youtube.com/watch?v=FPsjI-Pe5Wc&amp;t=534s", "Go to time")</f>
        <v/>
      </c>
    </row>
    <row r="332">
      <c r="A332">
        <f>HYPERLINK("https://www.youtube.com/watch?v=khO__hhB3Nk", "Video")</f>
        <v/>
      </c>
      <c r="B332" t="inlineStr">
        <is>
          <t>4:07</t>
        </is>
      </c>
      <c r="C332" t="inlineStr">
        <is>
          <t>should be buying Lotto tickets. And so how 
can we redirect that spend into something</t>
        </is>
      </c>
      <c r="D332">
        <f>HYPERLINK("https://www.youtube.com/watch?v=khO__hhB3Nk&amp;t=247s", "Go to time")</f>
        <v/>
      </c>
    </row>
    <row r="333">
      <c r="A333">
        <f>HYPERLINK("https://www.youtube.com/watch?v=_PbSfFNlBhc", "Video")</f>
        <v/>
      </c>
      <c r="B333" t="inlineStr">
        <is>
          <t>0:47</t>
        </is>
      </c>
      <c r="C333" t="inlineStr">
        <is>
          <t>this direction what do you think we need</t>
        </is>
      </c>
      <c r="D333">
        <f>HYPERLINK("https://www.youtube.com/watch?v=_PbSfFNlBhc&amp;t=47s", "Go to time")</f>
        <v/>
      </c>
    </row>
    <row r="334">
      <c r="A334">
        <f>HYPERLINK("https://www.youtube.com/watch?v=_PbSfFNlBhc", "Video")</f>
        <v/>
      </c>
      <c r="B334" t="inlineStr">
        <is>
          <t>0:50</t>
        </is>
      </c>
      <c r="C334" t="inlineStr">
        <is>
          <t>direction again don't promise to always</t>
        </is>
      </c>
      <c r="D334">
        <f>HYPERLINK("https://www.youtube.com/watch?v=_PbSfFNlBhc&amp;t=50s", "Go to time")</f>
        <v/>
      </c>
    </row>
    <row r="335">
      <c r="A335">
        <f>HYPERLINK("https://www.youtube.com/watch?v=c7IydWt7Ojo", "Video")</f>
        <v/>
      </c>
      <c r="B335" t="inlineStr">
        <is>
          <t>1:57</t>
        </is>
      </c>
      <c r="C335" t="inlineStr">
        <is>
          <t>um I think growing in new directions is</t>
        </is>
      </c>
      <c r="D335">
        <f>HYPERLINK("https://www.youtube.com/watch?v=c7IydWt7Ojo&amp;t=117s", "Go to time")</f>
        <v/>
      </c>
    </row>
    <row r="336">
      <c r="A336">
        <f>HYPERLINK("https://www.youtube.com/watch?v=8DMJMRkQOVY", "Video")</f>
        <v/>
      </c>
      <c r="B336" t="inlineStr">
        <is>
          <t>9:26</t>
        </is>
      </c>
      <c r="C336" t="inlineStr">
        <is>
          <t>about the direct impact on land use</t>
        </is>
      </c>
      <c r="D336">
        <f>HYPERLINK("https://www.youtube.com/watch?v=8DMJMRkQOVY&amp;t=566s", "Go to time")</f>
        <v/>
      </c>
    </row>
    <row r="337">
      <c r="A337">
        <f>HYPERLINK("https://www.youtube.com/watch?v=8DMJMRkQOVY", "Video")</f>
        <v/>
      </c>
      <c r="B337" t="inlineStr">
        <is>
          <t>9:31</t>
        </is>
      </c>
      <c r="C337" t="inlineStr">
        <is>
          <t>Actually the direct impact</t>
        </is>
      </c>
      <c r="D337">
        <f>HYPERLINK("https://www.youtube.com/watch?v=8DMJMRkQOVY&amp;t=571s", "Go to time")</f>
        <v/>
      </c>
    </row>
    <row r="338">
      <c r="A338">
        <f>HYPERLINK("https://www.youtube.com/watch?v=8DMJMRkQOVY", "Video")</f>
        <v/>
      </c>
      <c r="B338" t="inlineStr">
        <is>
          <t>9:51</t>
        </is>
      </c>
      <c r="C338" t="inlineStr">
        <is>
          <t>So the direct impact on land use</t>
        </is>
      </c>
      <c r="D338">
        <f>HYPERLINK("https://www.youtube.com/watch?v=8DMJMRkQOVY&amp;t=591s", "Go to time")</f>
        <v/>
      </c>
    </row>
    <row r="339">
      <c r="A339">
        <f>HYPERLINK("https://www.youtube.com/watch?v=8DMJMRkQOVY", "Video")</f>
        <v/>
      </c>
      <c r="B339" t="inlineStr">
        <is>
          <t>16:58</t>
        </is>
      </c>
      <c r="C339" t="inlineStr">
        <is>
          <t>are another source of emissions,
more direct emissions.</t>
        </is>
      </c>
      <c r="D339">
        <f>HYPERLINK("https://www.youtube.com/watch?v=8DMJMRkQOVY&amp;t=1018s", "Go to time")</f>
        <v/>
      </c>
    </row>
    <row r="340">
      <c r="A340">
        <f>HYPERLINK("https://www.youtube.com/watch?v=8DMJMRkQOVY", "Video")</f>
        <v/>
      </c>
      <c r="B340" t="inlineStr">
        <is>
          <t>25:59</t>
        </is>
      </c>
      <c r="C340" t="inlineStr">
        <is>
          <t>and innovation in that direction as well.</t>
        </is>
      </c>
      <c r="D340">
        <f>HYPERLINK("https://www.youtube.com/watch?v=8DMJMRkQOVY&amp;t=1559s", "Go to time")</f>
        <v/>
      </c>
    </row>
    <row r="341">
      <c r="A341">
        <f>HYPERLINK("https://www.youtube.com/watch?v=8DMJMRkQOVY", "Video")</f>
        <v/>
      </c>
      <c r="B341" t="inlineStr">
        <is>
          <t>35:12</t>
        </is>
      </c>
      <c r="C341" t="inlineStr">
        <is>
          <t>and moving in such different directions.</t>
        </is>
      </c>
      <c r="D341">
        <f>HYPERLINK("https://www.youtube.com/watch?v=8DMJMRkQOVY&amp;t=2112s", "Go to time")</f>
        <v/>
      </c>
    </row>
    <row r="342">
      <c r="A342">
        <f>HYPERLINK("https://www.youtube.com/watch?v=8DMJMRkQOVY", "Video")</f>
        <v/>
      </c>
      <c r="B342" t="inlineStr">
        <is>
          <t>47:43</t>
        </is>
      </c>
      <c r="C342" t="inlineStr">
        <is>
          <t>which is either in the form
of direct supplementation.</t>
        </is>
      </c>
      <c r="D342">
        <f>HYPERLINK("https://www.youtube.com/watch?v=8DMJMRkQOVY&amp;t=2863s", "Go to time")</f>
        <v/>
      </c>
    </row>
    <row r="343">
      <c r="A343">
        <f>HYPERLINK("https://www.youtube.com/watch?v=8DMJMRkQOVY", "Video")</f>
        <v/>
      </c>
      <c r="B343" t="inlineStr">
        <is>
          <t>51:22</t>
        </is>
      </c>
      <c r="C343" t="inlineStr">
        <is>
          <t>and put it more directly
into human mouths.</t>
        </is>
      </c>
      <c r="D343">
        <f>HYPERLINK("https://www.youtube.com/watch?v=8DMJMRkQOVY&amp;t=3082s", "Go to time")</f>
        <v/>
      </c>
    </row>
    <row r="344">
      <c r="A344">
        <f>HYPERLINK("https://www.youtube.com/watch?v=8DMJMRkQOVY", "Video")</f>
        <v/>
      </c>
      <c r="B344" t="inlineStr">
        <is>
          <t>76:44</t>
        </is>
      </c>
      <c r="C344" t="inlineStr">
        <is>
          <t>I think it's a very dire prediction</t>
        </is>
      </c>
      <c r="D344">
        <f>HYPERLINK("https://www.youtube.com/watch?v=8DMJMRkQOVY&amp;t=4604s", "Go to time")</f>
        <v/>
      </c>
    </row>
    <row r="345">
      <c r="A345">
        <f>HYPERLINK("https://www.youtube.com/watch?v=vAUQSNN9FrA", "Video")</f>
        <v/>
      </c>
      <c r="B345" t="inlineStr">
        <is>
          <t>2:42</t>
        </is>
      </c>
      <c r="C345" t="inlineStr">
        <is>
          <t>But I change direction.</t>
        </is>
      </c>
      <c r="D345">
        <f>HYPERLINK("https://www.youtube.com/watch?v=vAUQSNN9FrA&amp;t=162s", "Go to time")</f>
        <v/>
      </c>
    </row>
    <row r="346">
      <c r="A346">
        <f>HYPERLINK("https://www.youtube.com/watch?v=rRUhWPr-nas", "Video")</f>
        <v/>
      </c>
      <c r="B346" t="inlineStr">
        <is>
          <t>1:12</t>
        </is>
      </c>
      <c r="C346" t="inlineStr">
        <is>
          <t>value here is happiness or well-being
but it's an indirect utilitarian</t>
        </is>
      </c>
      <c r="D346">
        <f>HYPERLINK("https://www.youtube.com/watch?v=rRUhWPr-nas&amp;t=72s", "Go to time")</f>
        <v/>
      </c>
    </row>
    <row r="347">
      <c r="A347">
        <f>HYPERLINK("https://www.youtube.com/watch?v=KDcNVZjaNSU", "Video")</f>
        <v/>
      </c>
      <c r="B347" t="inlineStr">
        <is>
          <t>6:58</t>
        </is>
      </c>
      <c r="C347" t="inlineStr">
        <is>
          <t>the substrate which has its different logic
and its different direction that he wants</t>
        </is>
      </c>
      <c r="D347">
        <f>HYPERLINK("https://www.youtube.com/watch?v=KDcNVZjaNSU&amp;t=418s", "Go to time")</f>
        <v/>
      </c>
    </row>
    <row r="348">
      <c r="A348">
        <f>HYPERLINK("https://www.youtube.com/watch?v=3V9OEpph28A", "Video")</f>
        <v/>
      </c>
      <c r="B348" t="inlineStr">
        <is>
          <t>0:54</t>
        </is>
      </c>
      <c r="C348" t="inlineStr">
        <is>
          <t>to in a in a teeny way the direction in</t>
        </is>
      </c>
      <c r="D348">
        <f>HYPERLINK("https://www.youtube.com/watch?v=3V9OEpph28A&amp;t=54s", "Go to time")</f>
        <v/>
      </c>
    </row>
    <row r="349">
      <c r="A349">
        <f>HYPERLINK("https://www.youtube.com/watch?v=xrbyI-Cuze4", "Video")</f>
        <v/>
      </c>
      <c r="B349" t="inlineStr">
        <is>
          <t>5:26</t>
        </is>
      </c>
      <c r="C349" t="inlineStr">
        <is>
          <t>I think it's a very dire prediction</t>
        </is>
      </c>
      <c r="D349">
        <f>HYPERLINK("https://www.youtube.com/watch?v=xrbyI-Cuze4&amp;t=326s", "Go to time")</f>
        <v/>
      </c>
    </row>
    <row r="350">
      <c r="A350">
        <f>HYPERLINK("https://www.youtube.com/watch?v=3b5ZxVo_5II", "Video")</f>
        <v/>
      </c>
      <c r="B350" t="inlineStr">
        <is>
          <t>1:20</t>
        </is>
      </c>
      <c r="C350" t="inlineStr">
        <is>
          <t>direct way um you know my life fell</t>
        </is>
      </c>
      <c r="D350">
        <f>HYPERLINK("https://www.youtube.com/watch?v=3b5ZxVo_5II&amp;t=80s", "Go to time")</f>
        <v/>
      </c>
    </row>
    <row r="351">
      <c r="A351">
        <f>HYPERLINK("https://www.youtube.com/watch?v=rlZPsodiplU", "Video")</f>
        <v/>
      </c>
      <c r="B351" t="inlineStr">
        <is>
          <t>2:28</t>
        </is>
      </c>
      <c r="C351" t="inlineStr">
        <is>
          <t>know uh so directing is much more</t>
        </is>
      </c>
      <c r="D351">
        <f>HYPERLINK("https://www.youtube.com/watch?v=rlZPsodiplU&amp;t=148s", "Go to time")</f>
        <v/>
      </c>
    </row>
    <row r="352">
      <c r="A352">
        <f>HYPERLINK("https://www.youtube.com/watch?v=6j0vR5ZH6fU", "Video")</f>
        <v/>
      </c>
      <c r="B352" t="inlineStr">
        <is>
          <t>0:53</t>
        </is>
      </c>
      <c r="C352" t="inlineStr">
        <is>
          <t>of directors they are the folks who get</t>
        </is>
      </c>
      <c r="D352">
        <f>HYPERLINK("https://www.youtube.com/watch?v=6j0vR5ZH6fU&amp;t=53s", "Go to time")</f>
        <v/>
      </c>
    </row>
    <row r="353">
      <c r="A353">
        <f>HYPERLINK("https://www.youtube.com/watch?v=p5O6l8BOmYM", "Video")</f>
        <v/>
      </c>
      <c r="B353" t="inlineStr">
        <is>
          <t>0:33</t>
        </is>
      </c>
      <c r="C353" t="inlineStr">
        <is>
          <t>Very direct title. So what have we found</t>
        </is>
      </c>
      <c r="D353">
        <f>HYPERLINK("https://www.youtube.com/watch?v=p5O6l8BOmYM&amp;t=33s", "Go to time")</f>
        <v/>
      </c>
    </row>
    <row r="354">
      <c r="A354">
        <f>HYPERLINK("https://www.youtube.com/watch?v=TF_sMrd_kWE", "Video")</f>
        <v/>
      </c>
      <c r="B354" t="inlineStr">
        <is>
          <t>1:02</t>
        </is>
      </c>
      <c r="C354" t="inlineStr">
        <is>
          <t>move him up and down so to direct the</t>
        </is>
      </c>
      <c r="D354">
        <f>HYPERLINK("https://www.youtube.com/watch?v=TF_sMrd_kWE&amp;t=62s", "Go to time")</f>
        <v/>
      </c>
    </row>
    <row r="355">
      <c r="A355">
        <f>HYPERLINK("https://www.youtube.com/watch?v=kZlFytzRpEE", "Video")</f>
        <v/>
      </c>
      <c r="B355" t="inlineStr">
        <is>
          <t>2:50</t>
        </is>
      </c>
      <c r="C355" t="inlineStr">
        <is>
          <t>told that was the company directive</t>
        </is>
      </c>
      <c r="D355">
        <f>HYPERLINK("https://www.youtube.com/watch?v=kZlFytzRpEE&amp;t=170s", "Go to time")</f>
        <v/>
      </c>
    </row>
    <row r="356">
      <c r="A356">
        <f>HYPERLINK("https://www.youtube.com/watch?v=LqSe8fENDt0", "Video")</f>
        <v/>
      </c>
      <c r="B356" t="inlineStr">
        <is>
          <t>2:01</t>
        </is>
      </c>
      <c r="C356" t="inlineStr">
        <is>
          <t>directions and offering</t>
        </is>
      </c>
      <c r="D356">
        <f>HYPERLINK("https://www.youtube.com/watch?v=LqSe8fENDt0&amp;t=121s", "Go to time")</f>
        <v/>
      </c>
    </row>
    <row r="357">
      <c r="A357">
        <f>HYPERLINK("https://www.youtube.com/watch?v=WTl_xjOyZsc", "Video")</f>
        <v/>
      </c>
      <c r="B357" t="inlineStr">
        <is>
          <t>3:04</t>
        </is>
      </c>
      <c r="C357" t="inlineStr">
        <is>
          <t>who to a casting director I cast myself</t>
        </is>
      </c>
      <c r="D357">
        <f>HYPERLINK("https://www.youtube.com/watch?v=WTl_xjOyZsc&amp;t=184s", "Go to time")</f>
        <v/>
      </c>
    </row>
    <row r="358">
      <c r="A358">
        <f>HYPERLINK("https://www.youtube.com/watch?v=WTl_xjOyZsc", "Video")</f>
        <v/>
      </c>
      <c r="B358" t="inlineStr">
        <is>
          <t>4:01</t>
        </is>
      </c>
      <c r="C358" t="inlineStr">
        <is>
          <t>director of every other character in the</t>
        </is>
      </c>
      <c r="D358">
        <f>HYPERLINK("https://www.youtube.com/watch?v=WTl_xjOyZsc&amp;t=241s", "Go to time")</f>
        <v/>
      </c>
    </row>
    <row r="359">
      <c r="A359">
        <f>HYPERLINK("https://www.youtube.com/watch?v=CqT5srVBiLA", "Video")</f>
        <v/>
      </c>
      <c r="B359" t="inlineStr">
        <is>
          <t>1:06</t>
        </is>
      </c>
      <c r="C359" t="inlineStr">
        <is>
          <t>actually pushing um a certain direction</t>
        </is>
      </c>
      <c r="D359">
        <f>HYPERLINK("https://www.youtube.com/watch?v=CqT5srVBiLA&amp;t=66s", "Go to time")</f>
        <v/>
      </c>
    </row>
    <row r="360">
      <c r="A360">
        <f>HYPERLINK("https://www.youtube.com/watch?v=wywU0K8BTME", "Video")</f>
        <v/>
      </c>
      <c r="B360" t="inlineStr">
        <is>
          <t>0:26</t>
        </is>
      </c>
      <c r="C360" t="inlineStr">
        <is>
          <t>I remember watching the
Max Fleischer-directed</t>
        </is>
      </c>
      <c r="D360">
        <f>HYPERLINK("https://www.youtube.com/watch?v=wywU0K8BTME&amp;t=26s", "Go to time")</f>
        <v/>
      </c>
    </row>
    <row r="361">
      <c r="A361">
        <f>HYPERLINK("https://www.youtube.com/watch?v=hriKvIN20Vw", "Video")</f>
        <v/>
      </c>
      <c r="B361" t="inlineStr">
        <is>
          <t>14:04</t>
        </is>
      </c>
      <c r="C361" t="inlineStr">
        <is>
          <t>nature and I was at the time director of</t>
        </is>
      </c>
      <c r="D361">
        <f>HYPERLINK("https://www.youtube.com/watch?v=hriKvIN20Vw&amp;t=844s", "Go to time")</f>
        <v/>
      </c>
    </row>
    <row r="362">
      <c r="A362">
        <f>HYPERLINK("https://www.youtube.com/watch?v=hriKvIN20Vw", "Video")</f>
        <v/>
      </c>
      <c r="B362" t="inlineStr">
        <is>
          <t>14:54</t>
        </is>
      </c>
      <c r="C362" t="inlineStr">
        <is>
          <t>I remained director of policy planning</t>
        </is>
      </c>
      <c r="D362">
        <f>HYPERLINK("https://www.youtube.com/watch?v=hriKvIN20Vw&amp;t=894s", "Go to time")</f>
        <v/>
      </c>
    </row>
    <row r="363">
      <c r="A363">
        <f>HYPERLINK("https://www.youtube.com/watch?v=UzInAWq1xd8", "Video")</f>
        <v/>
      </c>
      <c r="B363" t="inlineStr">
        <is>
          <t>33:19</t>
        </is>
      </c>
      <c r="C363" t="inlineStr">
        <is>
          <t>in any One Direction and always allowed</t>
        </is>
      </c>
      <c r="D363">
        <f>HYPERLINK("https://www.youtube.com/watch?v=UzInAWq1xd8&amp;t=1999s", "Go to time")</f>
        <v/>
      </c>
    </row>
    <row r="364">
      <c r="A364">
        <f>HYPERLINK("https://www.youtube.com/watch?v=zy4gRLr26vU", "Video")</f>
        <v/>
      </c>
      <c r="B364" t="inlineStr">
        <is>
          <t>2:00</t>
        </is>
      </c>
      <c r="C364" t="inlineStr">
        <is>
          <t>direction of progress in the issue of</t>
        </is>
      </c>
      <c r="D364">
        <f>HYPERLINK("https://www.youtube.com/watch?v=zy4gRLr26vU&amp;t=120s", "Go to time")</f>
        <v/>
      </c>
    </row>
    <row r="365">
      <c r="A365">
        <f>HYPERLINK("https://www.youtube.com/watch?v=UkA7dML785o", "Video")</f>
        <v/>
      </c>
      <c r="B365" t="inlineStr">
        <is>
          <t>8:26</t>
        </is>
      </c>
      <c r="C365" t="inlineStr">
        <is>
          <t>energy directly from
solar power, that is it.</t>
        </is>
      </c>
      <c r="D365">
        <f>HYPERLINK("https://www.youtube.com/watch?v=UkA7dML785o&amp;t=506s", "Go to time")</f>
        <v/>
      </c>
    </row>
    <row r="366">
      <c r="A366">
        <f>HYPERLINK("https://www.youtube.com/watch?v=AEF6eWiGCu4", "Video")</f>
        <v/>
      </c>
      <c r="B366" t="inlineStr">
        <is>
          <t>1:52</t>
        </is>
      </c>
      <c r="C366" t="inlineStr">
        <is>
          <t>thank Dr Doug Melton who is the director</t>
        </is>
      </c>
      <c r="D366">
        <f>HYPERLINK("https://www.youtube.com/watch?v=AEF6eWiGCu4&amp;t=112s", "Go to time")</f>
        <v/>
      </c>
    </row>
    <row r="367">
      <c r="A367">
        <f>HYPERLINK("https://www.youtube.com/watch?v=9TlAUfIdDZU", "Video")</f>
        <v/>
      </c>
      <c r="B367" t="inlineStr">
        <is>
          <t>21:11</t>
        </is>
      </c>
      <c r="C367" t="inlineStr">
        <is>
          <t>indirect kind of an editorial that ran</t>
        </is>
      </c>
      <c r="D367">
        <f>HYPERLINK("https://www.youtube.com/watch?v=9TlAUfIdDZU&amp;t=1271s", "Go to time")</f>
        <v/>
      </c>
    </row>
    <row r="368">
      <c r="A368">
        <f>HYPERLINK("https://www.youtube.com/watch?v=-kMRLbOlw9I", "Video")</f>
        <v/>
      </c>
      <c r="B368" t="inlineStr">
        <is>
          <t>1:08</t>
        </is>
      </c>
      <c r="C368" t="inlineStr">
        <is>
          <t>pulling us in opposite directions I mean</t>
        </is>
      </c>
      <c r="D368">
        <f>HYPERLINK("https://www.youtube.com/watch?v=-kMRLbOlw9I&amp;t=68s", "Go to time")</f>
        <v/>
      </c>
    </row>
    <row r="369">
      <c r="A369">
        <f>HYPERLINK("https://www.youtube.com/watch?v=Az6vVQM9Sts", "Video")</f>
        <v/>
      </c>
      <c r="B369" t="inlineStr">
        <is>
          <t>1:24</t>
        </is>
      </c>
      <c r="C369" t="inlineStr">
        <is>
          <t>of a person who claims to have direct</t>
        </is>
      </c>
      <c r="D369">
        <f>HYPERLINK("https://www.youtube.com/watch?v=Az6vVQM9Sts&amp;t=84s", "Go to time")</f>
        <v/>
      </c>
    </row>
    <row r="370">
      <c r="A370">
        <f>HYPERLINK("https://www.youtube.com/watch?v=B3xHawyKivM", "Video")</f>
        <v/>
      </c>
      <c r="B370" t="inlineStr">
        <is>
          <t>0:29</t>
        </is>
      </c>
      <c r="C370" t="inlineStr">
        <is>
          <t>their directing this weapon against Bad</t>
        </is>
      </c>
      <c r="D370">
        <f>HYPERLINK("https://www.youtube.com/watch?v=B3xHawyKivM&amp;t=29s", "Go to time")</f>
        <v/>
      </c>
    </row>
    <row r="371">
      <c r="A371">
        <f>HYPERLINK("https://www.youtube.com/watch?v=B3xHawyKivM", "Video")</f>
        <v/>
      </c>
      <c r="B371" t="inlineStr">
        <is>
          <t>0:33</t>
        </is>
      </c>
      <c r="C371" t="inlineStr">
        <is>
          <t>extremist Muslims they are directing it</t>
        </is>
      </c>
      <c r="D371">
        <f>HYPERLINK("https://www.youtube.com/watch?v=B3xHawyKivM&amp;t=33s", "Go to time")</f>
        <v/>
      </c>
    </row>
    <row r="372">
      <c r="A372">
        <f>HYPERLINK("https://www.youtube.com/watch?v=TRk6nqc981U", "Video")</f>
        <v/>
      </c>
      <c r="B372" t="inlineStr">
        <is>
          <t>1:58</t>
        </is>
      </c>
      <c r="C372" t="inlineStr">
        <is>
          <t>350,000 Jobs Direct jobs more than a</t>
        </is>
      </c>
      <c r="D372">
        <f>HYPERLINK("https://www.youtube.com/watch?v=TRk6nqc981U&amp;t=118s", "Go to time")</f>
        <v/>
      </c>
    </row>
    <row r="373">
      <c r="A373">
        <f>HYPERLINK("https://www.youtube.com/watch?v=XtQoPcscFts", "Video")</f>
        <v/>
      </c>
      <c r="B373" t="inlineStr">
        <is>
          <t>2:00</t>
        </is>
      </c>
      <c r="C373" t="inlineStr">
        <is>
          <t>It's designed to be centralized and go in
one direction.</t>
        </is>
      </c>
      <c r="D373">
        <f>HYPERLINK("https://www.youtube.com/watch?v=XtQoPcscFts&amp;t=120s", "Go to time")</f>
        <v/>
      </c>
    </row>
    <row r="374">
      <c r="A374">
        <f>HYPERLINK("https://www.youtube.com/watch?v=feAG5y1ts6U", "Video")</f>
        <v/>
      </c>
      <c r="B374" t="inlineStr">
        <is>
          <t>3:13</t>
        </is>
      </c>
      <c r="C374" t="inlineStr">
        <is>
          <t>formed a board of directors orchestrated</t>
        </is>
      </c>
      <c r="D374">
        <f>HYPERLINK("https://www.youtube.com/watch?v=feAG5y1ts6U&amp;t=193s", "Go to time")</f>
        <v/>
      </c>
    </row>
    <row r="375">
      <c r="A375">
        <f>HYPERLINK("https://www.youtube.com/watch?v=sRk6IsUUseg", "Video")</f>
        <v/>
      </c>
      <c r="B375" t="inlineStr">
        <is>
          <t>1:14</t>
        </is>
      </c>
      <c r="C375" t="inlineStr">
        <is>
          <t>directly into our brains. It turns out</t>
        </is>
      </c>
      <c r="D375">
        <f>HYPERLINK("https://www.youtube.com/watch?v=sRk6IsUUseg&amp;t=74s", "Go to time")</f>
        <v/>
      </c>
    </row>
    <row r="376">
      <c r="A376">
        <f>HYPERLINK("https://www.youtube.com/watch?v=RHazBChigpM", "Video")</f>
        <v/>
      </c>
      <c r="B376" t="inlineStr">
        <is>
          <t>0:12</t>
        </is>
      </c>
      <c r="C376" t="inlineStr">
        <is>
          <t>uh Direct in saying that I thought it</t>
        </is>
      </c>
      <c r="D376">
        <f>HYPERLINK("https://www.youtube.com/watch?v=RHazBChigpM&amp;t=12s", "Go to time")</f>
        <v/>
      </c>
    </row>
    <row r="377">
      <c r="A377">
        <f>HYPERLINK("https://www.youtube.com/watch?v=K5tcwIicICg", "Video")</f>
        <v/>
      </c>
      <c r="B377" t="inlineStr">
        <is>
          <t>17:21</t>
        </is>
      </c>
      <c r="C377" t="inlineStr">
        <is>
          <t>are moving in a very different
direction, it's, it's hard</t>
        </is>
      </c>
      <c r="D377">
        <f>HYPERLINK("https://www.youtube.com/watch?v=K5tcwIicICg&amp;t=1041s", "Go to time")</f>
        <v/>
      </c>
    </row>
    <row r="378">
      <c r="A378">
        <f>HYPERLINK("https://www.youtube.com/watch?v=K5tcwIicICg", "Video")</f>
        <v/>
      </c>
      <c r="B378" t="inlineStr">
        <is>
          <t>26:18</t>
        </is>
      </c>
      <c r="C378" t="inlineStr">
        <is>
          <t>of the region working with
them, that's a direct threat</t>
        </is>
      </c>
      <c r="D378">
        <f>HYPERLINK("https://www.youtube.com/watch?v=K5tcwIicICg&amp;t=1578s", "Go to time")</f>
        <v/>
      </c>
    </row>
    <row r="379">
      <c r="A379">
        <f>HYPERLINK("https://www.youtube.com/watch?v=K5tcwIicICg", "Video")</f>
        <v/>
      </c>
      <c r="B379" t="inlineStr">
        <is>
          <t>26:23</t>
        </is>
      </c>
      <c r="C379" t="inlineStr">
        <is>
          <t>That's a direct threat to their being able</t>
        </is>
      </c>
      <c r="D379">
        <f>HYPERLINK("https://www.youtube.com/watch?v=K5tcwIicICg&amp;t=1583s", "Go to time")</f>
        <v/>
      </c>
    </row>
    <row r="380">
      <c r="A380">
        <f>HYPERLINK("https://www.youtube.com/watch?v=K5tcwIicICg", "Video")</f>
        <v/>
      </c>
      <c r="B380" t="inlineStr">
        <is>
          <t>32:07</t>
        </is>
      </c>
      <c r="C380" t="inlineStr">
        <is>
          <t>directly through very,</t>
        </is>
      </c>
      <c r="D380">
        <f>HYPERLINK("https://www.youtube.com/watch?v=K5tcwIicICg&amp;t=1927s", "Go to time")</f>
        <v/>
      </c>
    </row>
    <row r="381">
      <c r="A381">
        <f>HYPERLINK("https://www.youtube.com/watch?v=K5tcwIicICg", "Video")</f>
        <v/>
      </c>
      <c r="B381" t="inlineStr">
        <is>
          <t>47:41</t>
        </is>
      </c>
      <c r="C381" t="inlineStr">
        <is>
          <t>They've already been
involved in direct strikes</t>
        </is>
      </c>
      <c r="D381">
        <f>HYPERLINK("https://www.youtube.com/watch?v=K5tcwIicICg&amp;t=2861s", "Go to time")</f>
        <v/>
      </c>
    </row>
    <row r="382">
      <c r="A382">
        <f>HYPERLINK("https://www.youtube.com/watch?v=K5tcwIicICg", "Video")</f>
        <v/>
      </c>
      <c r="B382" t="inlineStr">
        <is>
          <t>48:10</t>
        </is>
      </c>
      <c r="C382" t="inlineStr">
        <is>
          <t>that the United States is
directly involved in</t>
        </is>
      </c>
      <c r="D382">
        <f>HYPERLINK("https://www.youtube.com/watch?v=K5tcwIicICg&amp;t=2890s", "Go to time")</f>
        <v/>
      </c>
    </row>
    <row r="383">
      <c r="A383">
        <f>HYPERLINK("https://www.youtube.com/watch?v=K5tcwIicICg", "Video")</f>
        <v/>
      </c>
      <c r="B383" t="inlineStr">
        <is>
          <t>50:26</t>
        </is>
      </c>
      <c r="C383" t="inlineStr">
        <is>
          <t>put Iran at a distance
from direct involvement</t>
        </is>
      </c>
      <c r="D383">
        <f>HYPERLINK("https://www.youtube.com/watch?v=K5tcwIicICg&amp;t=3026s", "Go to time")</f>
        <v/>
      </c>
    </row>
    <row r="384">
      <c r="A384">
        <f>HYPERLINK("https://www.youtube.com/watch?v=TjQgUas7nPU", "Video")</f>
        <v/>
      </c>
      <c r="B384" t="inlineStr">
        <is>
          <t>1:33</t>
        </is>
      </c>
      <c r="C384" t="inlineStr">
        <is>
          <t>trying to go in One Direction and and at</t>
        </is>
      </c>
      <c r="D384">
        <f>HYPERLINK("https://www.youtube.com/watch?v=TjQgUas7nPU&amp;t=93s", "Go to time")</f>
        <v/>
      </c>
    </row>
    <row r="385">
      <c r="A385">
        <f>HYPERLINK("https://www.youtube.com/watch?v=8GTjI3XwL4M", "Video")</f>
        <v/>
      </c>
      <c r="B385" t="inlineStr">
        <is>
          <t>2:18</t>
        </is>
      </c>
      <c r="C385" t="inlineStr">
        <is>
          <t>probably a step in that direction in a</t>
        </is>
      </c>
      <c r="D385">
        <f>HYPERLINK("https://www.youtube.com/watch?v=8GTjI3XwL4M&amp;t=138s", "Go to time")</f>
        <v/>
      </c>
    </row>
    <row r="386">
      <c r="A386">
        <f>HYPERLINK("https://www.youtube.com/watch?v=U93x9AWeuOA", "Video")</f>
        <v/>
      </c>
      <c r="B386" t="inlineStr">
        <is>
          <t>4:40</t>
        </is>
      </c>
      <c r="C386" t="inlineStr">
        <is>
          <t>is some degree of goal-directedness,</t>
        </is>
      </c>
      <c r="D386">
        <f>HYPERLINK("https://www.youtube.com/watch?v=U93x9AWeuOA&amp;t=280s", "Go to time")</f>
        <v/>
      </c>
    </row>
    <row r="387">
      <c r="A387">
        <f>HYPERLINK("https://www.youtube.com/watch?v=gwKjMca1sAE", "Video")</f>
        <v/>
      </c>
      <c r="B387" t="inlineStr">
        <is>
          <t>0:21</t>
        </is>
      </c>
      <c r="C387" t="inlineStr">
        <is>
          <t>because someday we’re planning to use laser
beams and directed energy weapons in space</t>
        </is>
      </c>
      <c r="D387">
        <f>HYPERLINK("https://www.youtube.com/watch?v=gwKjMca1sAE&amp;t=21s", "Go to time")</f>
        <v/>
      </c>
    </row>
    <row r="388">
      <c r="A388">
        <f>HYPERLINK("https://www.youtube.com/watch?v=ol0ziphNX0A", "Video")</f>
        <v/>
      </c>
      <c r="B388" t="inlineStr">
        <is>
          <t>1:08</t>
        </is>
      </c>
      <c r="C388" t="inlineStr">
        <is>
          <t>of those four directions of their</t>
        </is>
      </c>
      <c r="D388">
        <f>HYPERLINK("https://www.youtube.com/watch?v=ol0ziphNX0A&amp;t=68s", "Go to time")</f>
        <v/>
      </c>
    </row>
    <row r="389">
      <c r="A389">
        <f>HYPERLINK("https://www.youtube.com/watch?v=SE8KzrO214g", "Video")</f>
        <v/>
      </c>
      <c r="B389" t="inlineStr">
        <is>
          <t>0:41</t>
        </is>
      </c>
      <c r="C389" t="inlineStr">
        <is>
          <t>and it's obviously you know directed</t>
        </is>
      </c>
      <c r="D389">
        <f>HYPERLINK("https://www.youtube.com/watch?v=SE8KzrO214g&amp;t=41s", "Go to time")</f>
        <v/>
      </c>
    </row>
    <row r="390">
      <c r="A390">
        <f>HYPERLINK("https://www.youtube.com/watch?v=V36eeyk6paI", "Video")</f>
        <v/>
      </c>
      <c r="B390" t="inlineStr">
        <is>
          <t>2:05</t>
        </is>
      </c>
      <c r="C390" t="inlineStr">
        <is>
          <t>specific and direct cause and effect</t>
        </is>
      </c>
      <c r="D390">
        <f>HYPERLINK("https://www.youtube.com/watch?v=V36eeyk6paI&amp;t=125s", "Go to time")</f>
        <v/>
      </c>
    </row>
    <row r="391">
      <c r="A391">
        <f>HYPERLINK("https://www.youtube.com/watch?v=F6tdlbqDHBw", "Video")</f>
        <v/>
      </c>
      <c r="B391" t="inlineStr">
        <is>
          <t>2:45</t>
        </is>
      </c>
      <c r="C391" t="inlineStr">
        <is>
          <t>directly to how they define success how</t>
        </is>
      </c>
      <c r="D391">
        <f>HYPERLINK("https://www.youtube.com/watch?v=F6tdlbqDHBw&amp;t=165s", "Go to time")</f>
        <v/>
      </c>
    </row>
    <row r="392">
      <c r="A392">
        <f>HYPERLINK("https://www.youtube.com/watch?v=F6tdlbqDHBw", "Video")</f>
        <v/>
      </c>
      <c r="B392" t="inlineStr">
        <is>
          <t>2:59</t>
        </is>
      </c>
      <c r="C392" t="inlineStr">
        <is>
          <t>be like the generation directly ahead of</t>
        </is>
      </c>
      <c r="D392">
        <f>HYPERLINK("https://www.youtube.com/watch?v=F6tdlbqDHBw&amp;t=179s", "Go to time")</f>
        <v/>
      </c>
    </row>
    <row r="393">
      <c r="A393">
        <f>HYPERLINK("https://www.youtube.com/watch?v=IaBitwqVXF0", "Video")</f>
        <v/>
      </c>
      <c r="B393" t="inlineStr">
        <is>
          <t>2:06</t>
        </is>
      </c>
      <c r="C393" t="inlineStr">
        <is>
          <t>the curtain it was fun to see a director</t>
        </is>
      </c>
      <c r="D393">
        <f>HYPERLINK("https://www.youtube.com/watch?v=IaBitwqVXF0&amp;t=126s", "Go to time")</f>
        <v/>
      </c>
    </row>
    <row r="394">
      <c r="A394">
        <f>HYPERLINK("https://www.youtube.com/watch?v=IaBitwqVXF0", "Video")</f>
        <v/>
      </c>
      <c r="B394" t="inlineStr">
        <is>
          <t>2:18</t>
        </is>
      </c>
      <c r="C394" t="inlineStr">
        <is>
          <t>direction is the most invisible part of</t>
        </is>
      </c>
      <c r="D394">
        <f>HYPERLINK("https://www.youtube.com/watch?v=IaBitwqVXF0&amp;t=138s", "Go to time")</f>
        <v/>
      </c>
    </row>
    <row r="395">
      <c r="A395">
        <f>HYPERLINK("https://www.youtube.com/watch?v=IaBitwqVXF0", "Video")</f>
        <v/>
      </c>
      <c r="B395" t="inlineStr">
        <is>
          <t>2:30</t>
        </is>
      </c>
      <c r="C395" t="inlineStr">
        <is>
          <t>what the director is doing unless you</t>
        </is>
      </c>
      <c r="D395">
        <f>HYPERLINK("https://www.youtube.com/watch?v=IaBitwqVXF0&amp;t=150s", "Go to time")</f>
        <v/>
      </c>
    </row>
    <row r="396">
      <c r="A396">
        <f>HYPERLINK("https://www.youtube.com/watch?v=IaBitwqVXF0", "Video")</f>
        <v/>
      </c>
      <c r="B396" t="inlineStr">
        <is>
          <t>4:03</t>
        </is>
      </c>
      <c r="C396" t="inlineStr">
        <is>
          <t>in Direction a and I wanted to go in</t>
        </is>
      </c>
      <c r="D396">
        <f>HYPERLINK("https://www.youtube.com/watch?v=IaBitwqVXF0&amp;t=243s", "Go to time")</f>
        <v/>
      </c>
    </row>
    <row r="397">
      <c r="A397">
        <f>HYPERLINK("https://www.youtube.com/watch?v=IaBitwqVXF0", "Video")</f>
        <v/>
      </c>
      <c r="B397" t="inlineStr">
        <is>
          <t>4:04</t>
        </is>
      </c>
      <c r="C397" t="inlineStr">
        <is>
          <t>Direction B we would have gone in</t>
        </is>
      </c>
      <c r="D397">
        <f>HYPERLINK("https://www.youtube.com/watch?v=IaBitwqVXF0&amp;t=244s", "Go to time")</f>
        <v/>
      </c>
    </row>
    <row r="398">
      <c r="A398">
        <f>HYPERLINK("https://www.youtube.com/watch?v=IaBitwqVXF0", "Video")</f>
        <v/>
      </c>
      <c r="B398" t="inlineStr">
        <is>
          <t>4:06</t>
        </is>
      </c>
      <c r="C398" t="inlineStr">
        <is>
          <t>Direction a that's the most important</t>
        </is>
      </c>
      <c r="D398">
        <f>HYPERLINK("https://www.youtube.com/watch?v=IaBitwqVXF0&amp;t=246s", "Go to time")</f>
        <v/>
      </c>
    </row>
    <row r="399">
      <c r="A399">
        <f>HYPERLINK("https://www.youtube.com/watch?v=8Aqjp2Nnv-k", "Video")</f>
        <v/>
      </c>
      <c r="B399" t="inlineStr">
        <is>
          <t>1:57</t>
        </is>
      </c>
      <c r="C399" t="inlineStr">
        <is>
          <t>usually affect us directly it's how it's</t>
        </is>
      </c>
      <c r="D399">
        <f>HYPERLINK("https://www.youtube.com/watch?v=8Aqjp2Nnv-k&amp;t=117s", "Go to time")</f>
        <v/>
      </c>
    </row>
    <row r="400">
      <c r="A400">
        <f>HYPERLINK("https://www.youtube.com/watch?v=8Aqjp2Nnv-k", "Video")</f>
        <v/>
      </c>
      <c r="B400" t="inlineStr">
        <is>
          <t>6:06</t>
        </is>
      </c>
      <c r="C400" t="inlineStr">
        <is>
          <t>tend to think too directly about</t>
        </is>
      </c>
      <c r="D400">
        <f>HYPERLINK("https://www.youtube.com/watch?v=8Aqjp2Nnv-k&amp;t=366s", "Go to time")</f>
        <v/>
      </c>
    </row>
    <row r="401">
      <c r="A401">
        <f>HYPERLINK("https://www.youtube.com/watch?v=8Aqjp2Nnv-k", "Video")</f>
        <v/>
      </c>
      <c r="B401" t="inlineStr">
        <is>
          <t>6:14</t>
        </is>
      </c>
      <c r="C401" t="inlineStr">
        <is>
          <t>solve problems is to think indirectly</t>
        </is>
      </c>
      <c r="D401">
        <f>HYPERLINK("https://www.youtube.com/watch?v=8Aqjp2Nnv-k&amp;t=374s", "Go to time")</f>
        <v/>
      </c>
    </row>
    <row r="402">
      <c r="A402">
        <f>HYPERLINK("https://www.youtube.com/watch?v=oKCb8xEZSm0", "Video")</f>
        <v/>
      </c>
      <c r="B402" t="inlineStr">
        <is>
          <t>2:47</t>
        </is>
      </c>
      <c r="C402" t="inlineStr">
        <is>
          <t>directors I don't</t>
        </is>
      </c>
      <c r="D402">
        <f>HYPERLINK("https://www.youtube.com/watch?v=oKCb8xEZSm0&amp;t=167s", "Go to time")</f>
        <v/>
      </c>
    </row>
    <row r="403">
      <c r="A403">
        <f>HYPERLINK("https://www.youtube.com/watch?v=oKCb8xEZSm0", "Video")</f>
        <v/>
      </c>
      <c r="B403" t="inlineStr">
        <is>
          <t>3:09</t>
        </is>
      </c>
      <c r="C403" t="inlineStr">
        <is>
          <t>we have a board of directors and it is</t>
        </is>
      </c>
      <c r="D403">
        <f>HYPERLINK("https://www.youtube.com/watch?v=oKCb8xEZSm0&amp;t=189s", "Go to time")</f>
        <v/>
      </c>
    </row>
    <row r="404">
      <c r="A404">
        <f>HYPERLINK("https://www.youtube.com/watch?v=oKCb8xEZSm0", "Video")</f>
        <v/>
      </c>
      <c r="B404" t="inlineStr">
        <is>
          <t>3:14</t>
        </is>
      </c>
      <c r="C404" t="inlineStr">
        <is>
          <t>directors has not been working or</t>
        </is>
      </c>
      <c r="D404">
        <f>HYPERLINK("https://www.youtube.com/watch?v=oKCb8xEZSm0&amp;t=194s", "Go to time")</f>
        <v/>
      </c>
    </row>
    <row r="405">
      <c r="A405">
        <f>HYPERLINK("https://www.youtube.com/watch?v=J1eTGYQJdmk", "Video")</f>
        <v/>
      </c>
      <c r="B405" t="inlineStr">
        <is>
          <t>1:32</t>
        </is>
      </c>
      <c r="C405" t="inlineStr">
        <is>
          <t>director of the museum to to present it</t>
        </is>
      </c>
      <c r="D405">
        <f>HYPERLINK("https://www.youtube.com/watch?v=J1eTGYQJdmk&amp;t=92s", "Go to time")</f>
        <v/>
      </c>
    </row>
    <row r="406">
      <c r="A406">
        <f>HYPERLINK("https://www.youtube.com/watch?v=QvHne-U4lcw", "Video")</f>
        <v/>
      </c>
      <c r="B406" t="inlineStr">
        <is>
          <t>4:41</t>
        </is>
      </c>
      <c r="C406" t="inlineStr">
        <is>
          <t>flow, I will get directions right left, do this, 
do that. And it's, it's very quick. You either do</t>
        </is>
      </c>
      <c r="D406">
        <f>HYPERLINK("https://www.youtube.com/watch?v=QvHne-U4lcw&amp;t=281s", "Go to time")</f>
        <v/>
      </c>
    </row>
    <row r="407">
      <c r="A407">
        <f>HYPERLINK("https://www.youtube.com/watch?v=QvHne-U4lcw", "Video")</f>
        <v/>
      </c>
      <c r="B407" t="inlineStr">
        <is>
          <t>17:14</t>
        </is>
      </c>
      <c r="C407" t="inlineStr">
        <is>
          <t>School. I direct the Harvard Study of Adult 
Development at Massachusetts General Hospital.</t>
        </is>
      </c>
      <c r="D407">
        <f>HYPERLINK("https://www.youtube.com/watch?v=QvHne-U4lcw&amp;t=1034s", "Go to time")</f>
        <v/>
      </c>
    </row>
    <row r="408">
      <c r="A408">
        <f>HYPERLINK("https://www.youtube.com/watch?v=QndiemeZU3M", "Video")</f>
        <v/>
      </c>
      <c r="B408" t="inlineStr">
        <is>
          <t>1:46</t>
        </is>
      </c>
      <c r="C408" t="inlineStr">
        <is>
          <t>main direction of of midp and I think</t>
        </is>
      </c>
      <c r="D408">
        <f>HYPERLINK("https://www.youtube.com/watch?v=QndiemeZU3M&amp;t=106s", "Go to time")</f>
        <v/>
      </c>
    </row>
    <row r="409">
      <c r="A409">
        <f>HYPERLINK("https://www.youtube.com/watch?v=QndiemeZU3M", "Video")</f>
        <v/>
      </c>
      <c r="B409" t="inlineStr">
        <is>
          <t>3:27</t>
        </is>
      </c>
      <c r="C409" t="inlineStr">
        <is>
          <t>appeals or appeals or or or is directly</t>
        </is>
      </c>
      <c r="D409">
        <f>HYPERLINK("https://www.youtube.com/watch?v=QndiemeZU3M&amp;t=207s", "Go to time")</f>
        <v/>
      </c>
    </row>
    <row r="410">
      <c r="A410">
        <f>HYPERLINK("https://www.youtube.com/watch?v=6bWC5pdso68", "Video")</f>
        <v/>
      </c>
      <c r="B410" t="inlineStr">
        <is>
          <t>0:31</t>
        </is>
      </c>
      <c r="C410" t="inlineStr">
        <is>
          <t>in a very direct and sort of um</t>
        </is>
      </c>
      <c r="D410">
        <f>HYPERLINK("https://www.youtube.com/watch?v=6bWC5pdso68&amp;t=31s", "Go to time")</f>
        <v/>
      </c>
    </row>
    <row r="411">
      <c r="A411">
        <f>HYPERLINK("https://www.youtube.com/watch?v=6bWC5pdso68", "Video")</f>
        <v/>
      </c>
      <c r="B411" t="inlineStr">
        <is>
          <t>0:59</t>
        </is>
      </c>
      <c r="C411" t="inlineStr">
        <is>
          <t>knowledge in direct and sometimes kind</t>
        </is>
      </c>
      <c r="D411">
        <f>HYPERLINK("https://www.youtube.com/watch?v=6bWC5pdso68&amp;t=59s", "Go to time")</f>
        <v/>
      </c>
    </row>
    <row r="412">
      <c r="A412">
        <f>HYPERLINK("https://www.youtube.com/watch?v=6bWC5pdso68", "Video")</f>
        <v/>
      </c>
      <c r="B412" t="inlineStr">
        <is>
          <t>8:10</t>
        </is>
      </c>
      <c r="C412" t="inlineStr">
        <is>
          <t>in a bit of a different direction um the</t>
        </is>
      </c>
      <c r="D412">
        <f>HYPERLINK("https://www.youtube.com/watch?v=6bWC5pdso68&amp;t=490s", "Go to time")</f>
        <v/>
      </c>
    </row>
    <row r="413">
      <c r="A413">
        <f>HYPERLINK("https://www.youtube.com/watch?v=Zr2RImVwtjg", "Video")</f>
        <v/>
      </c>
      <c r="B413" t="inlineStr">
        <is>
          <t>1:12</t>
        </is>
      </c>
      <c r="C413" t="inlineStr">
        <is>
          <t>in fact that led me directly to thinking</t>
        </is>
      </c>
      <c r="D413">
        <f>HYPERLINK("https://www.youtube.com/watch?v=Zr2RImVwtjg&amp;t=72s", "Go to time")</f>
        <v/>
      </c>
    </row>
    <row r="414">
      <c r="A414">
        <f>HYPERLINK("https://www.youtube.com/watch?v=_hUKV1kTPrA", "Video")</f>
        <v/>
      </c>
      <c r="B414" t="inlineStr">
        <is>
          <t>0:20</t>
        </is>
      </c>
      <c r="C414" t="inlineStr">
        <is>
          <t>any One Direction and always allowed me</t>
        </is>
      </c>
      <c r="D414">
        <f>HYPERLINK("https://www.youtube.com/watch?v=_hUKV1kTPrA&amp;t=20s", "Go to time")</f>
        <v/>
      </c>
    </row>
    <row r="415">
      <c r="A415">
        <f>HYPERLINK("https://www.youtube.com/watch?v=cmmtg2Ec_MI", "Video")</f>
        <v/>
      </c>
      <c r="B415" t="inlineStr">
        <is>
          <t>6:10</t>
        </is>
      </c>
      <c r="C415" t="inlineStr">
        <is>
          <t>stimulation drugs do that more directly</t>
        </is>
      </c>
      <c r="D415">
        <f>HYPERLINK("https://www.youtube.com/watch?v=cmmtg2Ec_MI&amp;t=370s", "Go to time")</f>
        <v/>
      </c>
    </row>
    <row r="416">
      <c r="A416">
        <f>HYPERLINK("https://www.youtube.com/watch?v=_SDHPb77we8", "Video")</f>
        <v/>
      </c>
      <c r="B416" t="inlineStr">
        <is>
          <t>3:40</t>
        </is>
      </c>
      <c r="C416" t="inlineStr">
        <is>
          <t>can't direct sufficient Financial</t>
        </is>
      </c>
      <c r="D416">
        <f>HYPERLINK("https://www.youtube.com/watch?v=_SDHPb77we8&amp;t=220s", "Go to time")</f>
        <v/>
      </c>
    </row>
    <row r="417">
      <c r="A417">
        <f>HYPERLINK("https://www.youtube.com/watch?v=fAuj5XwRz0I", "Video")</f>
        <v/>
      </c>
      <c r="B417" t="inlineStr">
        <is>
          <t>6:47</t>
        </is>
      </c>
      <c r="C417" t="inlineStr">
        <is>
          <t>fever of 102 and some really dire</t>
        </is>
      </c>
      <c r="D417">
        <f>HYPERLINK("https://www.youtube.com/watch?v=fAuj5XwRz0I&amp;t=407s", "Go to time")</f>
        <v/>
      </c>
    </row>
    <row r="418">
      <c r="A418">
        <f>HYPERLINK("https://www.youtube.com/watch?v=9XjS4I4oQDY", "Video")</f>
        <v/>
      </c>
      <c r="B418" t="inlineStr">
        <is>
          <t>1:14</t>
        </is>
      </c>
      <c r="C418" t="inlineStr">
        <is>
          <t>and goes around the planet earth in the opposite
direction; the earth stops and then rotates</t>
        </is>
      </c>
      <c r="D418">
        <f>HYPERLINK("https://www.youtube.com/watch?v=9XjS4I4oQDY&amp;t=74s", "Go to time")</f>
        <v/>
      </c>
    </row>
    <row r="419">
      <c r="A419">
        <f>HYPERLINK("https://www.youtube.com/watch?v=9XjS4I4oQDY", "Video")</f>
        <v/>
      </c>
      <c r="B419" t="inlineStr">
        <is>
          <t>1:21</t>
        </is>
      </c>
      <c r="C419" t="inlineStr">
        <is>
          <t>in the opposite direction and then, all of
the sudden, Lois Lane springs back to life?</t>
        </is>
      </c>
      <c r="D419">
        <f>HYPERLINK("https://www.youtube.com/watch?v=9XjS4I4oQDY&amp;t=81s", "Go to time")</f>
        <v/>
      </c>
    </row>
    <row r="420">
      <c r="A420">
        <f>HYPERLINK("https://www.youtube.com/watch?v=7XU7QtC1VDg", "Video")</f>
        <v/>
      </c>
      <c r="B420" t="inlineStr">
        <is>
          <t>14:35</t>
        </is>
      </c>
      <c r="C420" t="inlineStr">
        <is>
          <t>going to be directed to the private</t>
        </is>
      </c>
      <c r="D420">
        <f>HYPERLINK("https://www.youtube.com/watch?v=7XU7QtC1VDg&amp;t=875s", "Go to time")</f>
        <v/>
      </c>
    </row>
    <row r="421">
      <c r="A421">
        <f>HYPERLINK("https://www.youtube.com/watch?v=7XU7QtC1VDg", "Video")</f>
        <v/>
      </c>
      <c r="B421" t="inlineStr">
        <is>
          <t>18:14</t>
        </is>
      </c>
      <c r="C421" t="inlineStr">
        <is>
          <t>directly so the people will be happy</t>
        </is>
      </c>
      <c r="D421">
        <f>HYPERLINK("https://www.youtube.com/watch?v=7XU7QtC1VDg&amp;t=1094s", "Go to time")</f>
        <v/>
      </c>
    </row>
    <row r="422">
      <c r="A422">
        <f>HYPERLINK("https://www.youtube.com/watch?v=7XU7QtC1VDg", "Video")</f>
        <v/>
      </c>
      <c r="B422" t="inlineStr">
        <is>
          <t>18:29</t>
        </is>
      </c>
      <c r="C422" t="inlineStr">
        <is>
          <t>it directly to the people a the people</t>
        </is>
      </c>
      <c r="D422">
        <f>HYPERLINK("https://www.youtube.com/watch?v=7XU7QtC1VDg&amp;t=1109s", "Go to time")</f>
        <v/>
      </c>
    </row>
    <row r="423">
      <c r="A423">
        <f>HYPERLINK("https://www.youtube.com/watch?v=7XU7QtC1VDg", "Video")</f>
        <v/>
      </c>
      <c r="B423" t="inlineStr">
        <is>
          <t>28:22</t>
        </is>
      </c>
      <c r="C423" t="inlineStr">
        <is>
          <t>able to give the $100 loan directly to</t>
        </is>
      </c>
      <c r="D423">
        <f>HYPERLINK("https://www.youtube.com/watch?v=7XU7QtC1VDg&amp;t=1702s", "Go to time")</f>
        <v/>
      </c>
    </row>
    <row r="424">
      <c r="A424">
        <f>HYPERLINK("https://www.youtube.com/watch?v=7XU7QtC1VDg", "Video")</f>
        <v/>
      </c>
      <c r="B424" t="inlineStr">
        <is>
          <t>38:05</t>
        </is>
      </c>
      <c r="C424" t="inlineStr">
        <is>
          <t>those bills directly from my phone in</t>
        </is>
      </c>
      <c r="D424">
        <f>HYPERLINK("https://www.youtube.com/watch?v=7XU7QtC1VDg&amp;t=2285s", "Go to time")</f>
        <v/>
      </c>
    </row>
    <row r="425">
      <c r="A425">
        <f>HYPERLINK("https://www.youtube.com/watch?v=7XU7QtC1VDg", "Video")</f>
        <v/>
      </c>
      <c r="B425" t="inlineStr">
        <is>
          <t>38:43</t>
        </is>
      </c>
      <c r="C425" t="inlineStr">
        <is>
          <t>directly which is tied in for them</t>
        </is>
      </c>
      <c r="D425">
        <f>HYPERLINK("https://www.youtube.com/watch?v=7XU7QtC1VDg&amp;t=2323s", "Go to time")</f>
        <v/>
      </c>
    </row>
    <row r="426">
      <c r="A426">
        <f>HYPERLINK("https://www.youtube.com/watch?v=7XU7QtC1VDg", "Video")</f>
        <v/>
      </c>
      <c r="B426" t="inlineStr">
        <is>
          <t>44:58</t>
        </is>
      </c>
      <c r="C426" t="inlineStr">
        <is>
          <t>we have a healthc care service directory</t>
        </is>
      </c>
      <c r="D426">
        <f>HYPERLINK("https://www.youtube.com/watch?v=7XU7QtC1VDg&amp;t=2698s", "Go to time")</f>
        <v/>
      </c>
    </row>
    <row r="427">
      <c r="A427">
        <f>HYPERLINK("https://www.youtube.com/watch?v=TMZxex_MX8g", "Video")</f>
        <v/>
      </c>
      <c r="B427" t="inlineStr">
        <is>
          <t>15:14</t>
        </is>
      </c>
      <c r="C427" t="inlineStr">
        <is>
          <t>information um directly at their uh at</t>
        </is>
      </c>
      <c r="D427">
        <f>HYPERLINK("https://www.youtube.com/watch?v=TMZxex_MX8g&amp;t=914s", "Go to time")</f>
        <v/>
      </c>
    </row>
    <row r="428">
      <c r="A428">
        <f>HYPERLINK("https://www.youtube.com/watch?v=OjBKDaFw_2I", "Video")</f>
        <v/>
      </c>
      <c r="B428" t="inlineStr">
        <is>
          <t>10:24</t>
        </is>
      </c>
      <c r="C428" t="inlineStr">
        <is>
          <t>and this is going in a
very dystopian direction,</t>
        </is>
      </c>
      <c r="D428">
        <f>HYPERLINK("https://www.youtube.com/watch?v=OjBKDaFw_2I&amp;t=624s", "Go to time")</f>
        <v/>
      </c>
    </row>
    <row r="429">
      <c r="A429">
        <f>HYPERLINK("https://www.youtube.com/watch?v=OjBKDaFw_2I", "Video")</f>
        <v/>
      </c>
      <c r="B429" t="inlineStr">
        <is>
          <t>13:56</t>
        </is>
      </c>
      <c r="C429" t="inlineStr">
        <is>
          <t>One headline frames it
as a direct challenge</t>
        </is>
      </c>
      <c r="D429">
        <f>HYPERLINK("https://www.youtube.com/watch?v=OjBKDaFw_2I&amp;t=836s", "Go to time")</f>
        <v/>
      </c>
    </row>
    <row r="430">
      <c r="A430">
        <f>HYPERLINK("https://www.youtube.com/watch?v=DEpoJrCij9Q", "Video")</f>
        <v/>
      </c>
      <c r="B430" t="inlineStr">
        <is>
          <t>1:58</t>
        </is>
      </c>
      <c r="C430" t="inlineStr">
        <is>
          <t>this direction</t>
        </is>
      </c>
      <c r="D430">
        <f>HYPERLINK("https://www.youtube.com/watch?v=DEpoJrCij9Q&amp;t=118s", "Go to time")</f>
        <v/>
      </c>
    </row>
    <row r="431">
      <c r="A431">
        <f>HYPERLINK("https://www.youtube.com/watch?v=s05mvJWWmeM", "Video")</f>
        <v/>
      </c>
      <c r="B431" t="inlineStr">
        <is>
          <t>2:02</t>
        </is>
      </c>
      <c r="C431" t="inlineStr">
        <is>
          <t>direction as you. But of course, you</t>
        </is>
      </c>
      <c r="D431">
        <f>HYPERLINK("https://www.youtube.com/watch?v=s05mvJWWmeM&amp;t=122s", "Go to time")</f>
        <v/>
      </c>
    </row>
    <row r="432">
      <c r="A432">
        <f>HYPERLINK("https://www.youtube.com/watch?v=5LpaVYxTedE", "Video")</f>
        <v/>
      </c>
      <c r="B432" t="inlineStr">
        <is>
          <t>0:20</t>
        </is>
      </c>
      <c r="C432" t="inlineStr">
        <is>
          <t>They can tell the direction
a person has walked in</t>
        </is>
      </c>
      <c r="D432">
        <f>HYPERLINK("https://www.youtube.com/watch?v=5LpaVYxTedE&amp;t=20s", "Go to time")</f>
        <v/>
      </c>
    </row>
    <row r="433">
      <c r="A433">
        <f>HYPERLINK("https://www.youtube.com/watch?v=CqibqD4fJZs", "Video")</f>
        <v/>
      </c>
      <c r="B433" t="inlineStr">
        <is>
          <t>8:54</t>
        </is>
      </c>
      <c r="C433" t="inlineStr">
        <is>
          <t>destinies and responsibility for directing
and maintaining and creating our own ethical</t>
        </is>
      </c>
      <c r="D433">
        <f>HYPERLINK("https://www.youtube.com/watch?v=CqibqD4fJZs&amp;t=534s", "Go to time")</f>
        <v/>
      </c>
    </row>
    <row r="434">
      <c r="A434">
        <f>HYPERLINK("https://www.youtube.com/watch?v=RQBp7s94Qa4", "Video")</f>
        <v/>
      </c>
      <c r="B434" t="inlineStr">
        <is>
          <t>1:18</t>
        </is>
      </c>
      <c r="C434" t="inlineStr">
        <is>
          <t>answer that question directly maybe</t>
        </is>
      </c>
      <c r="D434">
        <f>HYPERLINK("https://www.youtube.com/watch?v=RQBp7s94Qa4&amp;t=78s", "Go to time")</f>
        <v/>
      </c>
    </row>
    <row r="435">
      <c r="A435">
        <f>HYPERLINK("https://www.youtube.com/watch?v=sxTdtkrJGeE", "Video")</f>
        <v/>
      </c>
      <c r="B435" t="inlineStr">
        <is>
          <t>3:00</t>
        </is>
      </c>
      <c r="C435" t="inlineStr">
        <is>
          <t>directly onto the dancers themselves um</t>
        </is>
      </c>
      <c r="D435">
        <f>HYPERLINK("https://www.youtube.com/watch?v=sxTdtkrJGeE&amp;t=180s", "Go to time")</f>
        <v/>
      </c>
    </row>
    <row r="436">
      <c r="A436">
        <f>HYPERLINK("https://www.youtube.com/watch?v=5ALlGU2GYbk", "Video")</f>
        <v/>
      </c>
      <c r="B436" t="inlineStr">
        <is>
          <t>3:08</t>
        </is>
      </c>
      <c r="C436" t="inlineStr">
        <is>
          <t>And that's kind of the direction we need to
move in.</t>
        </is>
      </c>
      <c r="D436">
        <f>HYPERLINK("https://www.youtube.com/watch?v=5ALlGU2GYbk&amp;t=188s", "Go to time")</f>
        <v/>
      </c>
    </row>
    <row r="437">
      <c r="A437">
        <f>HYPERLINK("https://www.youtube.com/watch?v=qFxyaWtCnoo", "Video")</f>
        <v/>
      </c>
      <c r="B437" t="inlineStr">
        <is>
          <t>2:04</t>
        </is>
      </c>
      <c r="C437" t="inlineStr">
        <is>
          <t>Kozlowski was compensated generously by the
Tyco Board of Directors over the years he</t>
        </is>
      </c>
      <c r="D437">
        <f>HYPERLINK("https://www.youtube.com/watch?v=qFxyaWtCnoo&amp;t=124s", "Go to time")</f>
        <v/>
      </c>
    </row>
    <row r="438">
      <c r="A438">
        <f>HYPERLINK("https://www.youtube.com/watch?v=mNkqWYmOYn4", "Video")</f>
        <v/>
      </c>
      <c r="B438" t="inlineStr">
        <is>
          <t>2:53</t>
        </is>
      </c>
      <c r="C438" t="inlineStr">
        <is>
          <t>direct contradiction to the last thing</t>
        </is>
      </c>
      <c r="D438">
        <f>HYPERLINK("https://www.youtube.com/watch?v=mNkqWYmOYn4&amp;t=173s", "Go to time")</f>
        <v/>
      </c>
    </row>
    <row r="439">
      <c r="A439">
        <f>HYPERLINK("https://www.youtube.com/watch?v=GzrlI6Ybxxk", "Video")</f>
        <v/>
      </c>
      <c r="B439" t="inlineStr">
        <is>
          <t>1:00</t>
        </is>
      </c>
      <c r="C439" t="inlineStr">
        <is>
          <t>can't get directly at the people who are</t>
        </is>
      </c>
      <c r="D439">
        <f>HYPERLINK("https://www.youtube.com/watch?v=GzrlI6Ybxxk&amp;t=60s", "Go to time")</f>
        <v/>
      </c>
    </row>
    <row r="440">
      <c r="A440">
        <f>HYPERLINK("https://www.youtube.com/watch?v=kX6q7S_1POI", "Video")</f>
        <v/>
      </c>
      <c r="B440" t="inlineStr">
        <is>
          <t>2:54</t>
        </is>
      </c>
      <c r="C440" t="inlineStr">
        <is>
          <t>use technology the most but they direct</t>
        </is>
      </c>
      <c r="D440">
        <f>HYPERLINK("https://www.youtube.com/watch?v=kX6q7S_1POI&amp;t=174s", "Go to time")</f>
        <v/>
      </c>
    </row>
    <row r="441">
      <c r="A441">
        <f>HYPERLINK("https://www.youtube.com/watch?v=Fs12Y2mGDHY", "Video")</f>
        <v/>
      </c>
      <c r="B441" t="inlineStr">
        <is>
          <t>1:37</t>
        </is>
      </c>
      <c r="C441" t="inlineStr">
        <is>
          <t>directions and also use that perspective</t>
        </is>
      </c>
      <c r="D441">
        <f>HYPERLINK("https://www.youtube.com/watch?v=Fs12Y2mGDHY&amp;t=97s", "Go to time")</f>
        <v/>
      </c>
    </row>
    <row r="442">
      <c r="A442">
        <f>HYPERLINK("https://www.youtube.com/watch?v=h7eYt4ZmkR8", "Video")</f>
        <v/>
      </c>
      <c r="B442" t="inlineStr">
        <is>
          <t>3:07</t>
        </is>
      </c>
      <c r="C442" t="inlineStr">
        <is>
          <t>the direction of the dream.</t>
        </is>
      </c>
      <c r="D442">
        <f>HYPERLINK("https://www.youtube.com/watch?v=h7eYt4ZmkR8&amp;t=187s", "Go to time")</f>
        <v/>
      </c>
    </row>
    <row r="443">
      <c r="A443">
        <f>HYPERLINK("https://www.youtube.com/watch?v=h7eYt4ZmkR8", "Video")</f>
        <v/>
      </c>
      <c r="B443" t="inlineStr">
        <is>
          <t>4:14</t>
        </is>
      </c>
      <c r="C443" t="inlineStr">
        <is>
          <t>You can actually direct the course of your
dream.</t>
        </is>
      </c>
      <c r="D443">
        <f>HYPERLINK("https://www.youtube.com/watch?v=h7eYt4ZmkR8&amp;t=254s", "Go to time")</f>
        <v/>
      </c>
    </row>
    <row r="444">
      <c r="A444">
        <f>HYPERLINK("https://www.youtube.com/watch?v=h7eYt4ZmkR8", "Video")</f>
        <v/>
      </c>
      <c r="B444" t="inlineStr">
        <is>
          <t>4:23</t>
        </is>
      </c>
      <c r="C444" t="inlineStr">
        <is>
          <t>In which case somebody will be able to see
you dream and know the direction of the dream</t>
        </is>
      </c>
      <c r="D444">
        <f>HYPERLINK("https://www.youtube.com/watch?v=h7eYt4ZmkR8&amp;t=263s", "Go to time")</f>
        <v/>
      </c>
    </row>
    <row r="445">
      <c r="A445">
        <f>HYPERLINK("https://www.youtube.com/watch?v=NOwtTgIBsuM", "Video")</f>
        <v/>
      </c>
      <c r="B445" t="inlineStr">
        <is>
          <t>3:12</t>
        </is>
      </c>
      <c r="C445" t="inlineStr">
        <is>
          <t>That's the direction that we're moving,</t>
        </is>
      </c>
      <c r="D445">
        <f>HYPERLINK("https://www.youtube.com/watch?v=NOwtTgIBsuM&amp;t=192s", "Go to time")</f>
        <v/>
      </c>
    </row>
    <row r="446">
      <c r="A446">
        <f>HYPERLINK("https://www.youtube.com/watch?v=BkvEpoqFx6c", "Video")</f>
        <v/>
      </c>
      <c r="B446" t="inlineStr">
        <is>
          <t>3:49</t>
        </is>
      </c>
      <c r="C446" t="inlineStr">
        <is>
          <t>Hollywood directors started coming to me</t>
        </is>
      </c>
      <c r="D446">
        <f>HYPERLINK("https://www.youtube.com/watch?v=BkvEpoqFx6c&amp;t=229s", "Go to time")</f>
        <v/>
      </c>
    </row>
    <row r="447">
      <c r="A447">
        <f>HYPERLINK("https://www.youtube.com/watch?v=r2nx4HgVbaY", "Video")</f>
        <v/>
      </c>
      <c r="B447" t="inlineStr">
        <is>
          <t>0:32</t>
        </is>
      </c>
      <c r="C447" t="inlineStr">
        <is>
          <t>directors and producers and and and and</t>
        </is>
      </c>
      <c r="D447">
        <f>HYPERLINK("https://www.youtube.com/watch?v=r2nx4HgVbaY&amp;t=32s", "Go to time")</f>
        <v/>
      </c>
    </row>
    <row r="448">
      <c r="A448">
        <f>HYPERLINK("https://www.youtube.com/watch?v=jlIVA6K9ApQ", "Video")</f>
        <v/>
      </c>
      <c r="B448" t="inlineStr">
        <is>
          <t>3:22</t>
        </is>
      </c>
      <c r="C448" t="inlineStr">
        <is>
          <t>leaders engage directly with the people</t>
        </is>
      </c>
      <c r="D448">
        <f>HYPERLINK("https://www.youtube.com/watch?v=jlIVA6K9ApQ&amp;t=202s", "Go to time")</f>
        <v/>
      </c>
    </row>
    <row r="449">
      <c r="A449">
        <f>HYPERLINK("https://www.youtube.com/watch?v=jlIVA6K9ApQ", "Video")</f>
        <v/>
      </c>
      <c r="B449" t="inlineStr">
        <is>
          <t>3:36</t>
        </is>
      </c>
      <c r="C449" t="inlineStr">
        <is>
          <t>directly uh and so for example dy's ice</t>
        </is>
      </c>
      <c r="D449">
        <f>HYPERLINK("https://www.youtube.com/watch?v=jlIVA6K9ApQ&amp;t=216s", "Go to time")</f>
        <v/>
      </c>
    </row>
    <row r="450">
      <c r="A450">
        <f>HYPERLINK("https://www.youtube.com/watch?v=vR3UWx-G9Ks", "Video")</f>
        <v/>
      </c>
      <c r="B450" t="inlineStr">
        <is>
          <t>1:50</t>
        </is>
      </c>
      <c r="C450" t="inlineStr">
        <is>
          <t>All we do is provide
that high-level directive</t>
        </is>
      </c>
      <c r="D450">
        <f>HYPERLINK("https://www.youtube.com/watch?v=vR3UWx-G9Ks&amp;t=110s", "Go to time")</f>
        <v/>
      </c>
    </row>
    <row r="451">
      <c r="A451">
        <f>HYPERLINK("https://www.youtube.com/watch?v=vR3UWx-G9Ks", "Video")</f>
        <v/>
      </c>
      <c r="B451" t="inlineStr">
        <is>
          <t>2:11</t>
        </is>
      </c>
      <c r="C451" t="inlineStr">
        <is>
          <t>and ways to change the goal-directed
behavior of these cells</t>
        </is>
      </c>
      <c r="D451">
        <f>HYPERLINK("https://www.youtube.com/watch?v=vR3UWx-G9Ks&amp;t=131s", "Go to time")</f>
        <v/>
      </c>
    </row>
    <row r="452">
      <c r="A452">
        <f>HYPERLINK("https://www.youtube.com/watch?v=vR3UWx-G9Ks", "Video")</f>
        <v/>
      </c>
      <c r="B452" t="inlineStr">
        <is>
          <t>4:21</t>
        </is>
      </c>
      <c r="C452" t="inlineStr">
        <is>
          <t>how much do you grow in what direction?</t>
        </is>
      </c>
      <c r="D452">
        <f>HYPERLINK("https://www.youtube.com/watch?v=vR3UWx-G9Ks&amp;t=261s", "Go to time")</f>
        <v/>
      </c>
    </row>
    <row r="453">
      <c r="A453">
        <f>HYPERLINK("https://www.youtube.com/watch?v=pNazQV7YxcQ", "Video")</f>
        <v/>
      </c>
      <c r="B453" t="inlineStr">
        <is>
          <t>3:53</t>
        </is>
      </c>
      <c r="C453" t="inlineStr">
        <is>
          <t>the opportunity to speak direct with you</t>
        </is>
      </c>
      <c r="D453">
        <f>HYPERLINK("https://www.youtube.com/watch?v=pNazQV7YxcQ&amp;t=233s", "Go to time")</f>
        <v/>
      </c>
    </row>
    <row r="454">
      <c r="A454">
        <f>HYPERLINK("https://www.youtube.com/watch?v=pNazQV7YxcQ", "Video")</f>
        <v/>
      </c>
      <c r="B454" t="inlineStr">
        <is>
          <t>12:17</t>
        </is>
      </c>
      <c r="C454" t="inlineStr">
        <is>
          <t>self-directed engaged learning it kind</t>
        </is>
      </c>
      <c r="D454">
        <f>HYPERLINK("https://www.youtube.com/watch?v=pNazQV7YxcQ&amp;t=737s", "Go to time")</f>
        <v/>
      </c>
    </row>
    <row r="455">
      <c r="A455">
        <f>HYPERLINK("https://www.youtube.com/watch?v=pNazQV7YxcQ", "Video")</f>
        <v/>
      </c>
      <c r="B455" t="inlineStr">
        <is>
          <t>19:52</t>
        </is>
      </c>
      <c r="C455" t="inlineStr">
        <is>
          <t>don't directly experience um and how do</t>
        </is>
      </c>
      <c r="D455">
        <f>HYPERLINK("https://www.youtube.com/watch?v=pNazQV7YxcQ&amp;t=1192s", "Go to time")</f>
        <v/>
      </c>
    </row>
    <row r="456">
      <c r="A456">
        <f>HYPERLINK("https://www.youtube.com/watch?v=pNazQV7YxcQ", "Video")</f>
        <v/>
      </c>
      <c r="B456" t="inlineStr">
        <is>
          <t>20:07</t>
        </is>
      </c>
      <c r="C456" t="inlineStr">
        <is>
          <t>direct knowledge of it I mean we can't</t>
        </is>
      </c>
      <c r="D456">
        <f>HYPERLINK("https://www.youtube.com/watch?v=pNazQV7YxcQ&amp;t=1207s", "Go to time")</f>
        <v/>
      </c>
    </row>
    <row r="457">
      <c r="A457">
        <f>HYPERLINK("https://www.youtube.com/watch?v=pNazQV7YxcQ", "Video")</f>
        <v/>
      </c>
      <c r="B457" t="inlineStr">
        <is>
          <t>20:14</t>
        </is>
      </c>
      <c r="C457" t="inlineStr">
        <is>
          <t>could have direct experience with</t>
        </is>
      </c>
      <c r="D457">
        <f>HYPERLINK("https://www.youtube.com/watch?v=pNazQV7YxcQ&amp;t=1214s", "Go to time")</f>
        <v/>
      </c>
    </row>
    <row r="458">
      <c r="A458">
        <f>HYPERLINK("https://www.youtube.com/watch?v=pNazQV7YxcQ", "Video")</f>
        <v/>
      </c>
      <c r="B458" t="inlineStr">
        <is>
          <t>23:31</t>
        </is>
      </c>
      <c r="C458" t="inlineStr">
        <is>
          <t>directly with our audience uh in spite</t>
        </is>
      </c>
      <c r="D458">
        <f>HYPERLINK("https://www.youtube.com/watch?v=pNazQV7YxcQ&amp;t=1411s", "Go to time")</f>
        <v/>
      </c>
    </row>
    <row r="459">
      <c r="A459">
        <f>HYPERLINK("https://www.youtube.com/watch?v=81vaStxwmD8", "Video")</f>
        <v/>
      </c>
      <c r="B459" t="inlineStr">
        <is>
          <t>2:25</t>
        </is>
      </c>
      <c r="C459" t="inlineStr">
        <is>
          <t>understand have direct occurrences in</t>
        </is>
      </c>
      <c r="D459">
        <f>HYPERLINK("https://www.youtube.com/watch?v=81vaStxwmD8&amp;t=145s", "Go to time")</f>
        <v/>
      </c>
    </row>
    <row r="460">
      <c r="A460">
        <f>HYPERLINK("https://www.youtube.com/watch?v=81vaStxwmD8", "Video")</f>
        <v/>
      </c>
      <c r="B460" t="inlineStr">
        <is>
          <t>5:26</t>
        </is>
      </c>
      <c r="C460" t="inlineStr">
        <is>
          <t>moving in the direction of AI and</t>
        </is>
      </c>
      <c r="D460">
        <f>HYPERLINK("https://www.youtube.com/watch?v=81vaStxwmD8&amp;t=326s", "Go to time")</f>
        <v/>
      </c>
    </row>
    <row r="461">
      <c r="A461">
        <f>HYPERLINK("https://www.youtube.com/watch?v=UFqxm-HL_Vk", "Video")</f>
        <v/>
      </c>
      <c r="B461" t="inlineStr">
        <is>
          <t>1:59</t>
        </is>
      </c>
      <c r="C461" t="inlineStr">
        <is>
          <t>everything we do in that direction</t>
        </is>
      </c>
      <c r="D461">
        <f>HYPERLINK("https://www.youtube.com/watch?v=UFqxm-HL_Vk&amp;t=119s", "Go to time")</f>
        <v/>
      </c>
    </row>
    <row r="462">
      <c r="A462">
        <f>HYPERLINK("https://www.youtube.com/watch?v=jH-0jJT8nl8", "Video")</f>
        <v/>
      </c>
      <c r="B462" t="inlineStr">
        <is>
          <t>1:48</t>
        </is>
      </c>
      <c r="C462" t="inlineStr">
        <is>
          <t>There’s, you know, direct mail.</t>
        </is>
      </c>
      <c r="D462">
        <f>HYPERLINK("https://www.youtube.com/watch?v=jH-0jJT8nl8&amp;t=108s", "Go to time")</f>
        <v/>
      </c>
    </row>
    <row r="463">
      <c r="A463">
        <f>HYPERLINK("https://www.youtube.com/watch?v=KmZXUDEocxA", "Video")</f>
        <v/>
      </c>
      <c r="B463" t="inlineStr">
        <is>
          <t>2:15</t>
        </is>
      </c>
      <c r="C463" t="inlineStr">
        <is>
          <t>And these religions took three main directions.</t>
        </is>
      </c>
      <c r="D463">
        <f>HYPERLINK("https://www.youtube.com/watch?v=KmZXUDEocxA&amp;t=135s", "Go to time")</f>
        <v/>
      </c>
    </row>
    <row r="464">
      <c r="A464">
        <f>HYPERLINK("https://www.youtube.com/watch?v=KmZXUDEocxA", "Video")</f>
        <v/>
      </c>
      <c r="B464" t="inlineStr">
        <is>
          <t>2:21</t>
        </is>
      </c>
      <c r="C464" t="inlineStr">
        <is>
          <t>One direction one might call overcoming the
world and an example is Buddhism and the philosophies</t>
        </is>
      </c>
      <c r="D464">
        <f>HYPERLINK("https://www.youtube.com/watch?v=KmZXUDEocxA&amp;t=141s", "Go to time")</f>
        <v/>
      </c>
    </row>
    <row r="465">
      <c r="A465">
        <f>HYPERLINK("https://www.youtube.com/watch?v=KmZXUDEocxA", "Video")</f>
        <v/>
      </c>
      <c r="B465" t="inlineStr">
        <is>
          <t>3:50</t>
        </is>
      </c>
      <c r="C465" t="inlineStr">
        <is>
          <t>The third direction is the direction that
I call in this book, The Religion of the Future,</t>
        </is>
      </c>
      <c r="D465">
        <f>HYPERLINK("https://www.youtube.com/watch?v=KmZXUDEocxA&amp;t=230s", "Go to time")</f>
        <v/>
      </c>
    </row>
    <row r="466">
      <c r="A466">
        <f>HYPERLINK("https://www.youtube.com/watch?v=KmZXUDEocxA", "Video")</f>
        <v/>
      </c>
      <c r="B466" t="inlineStr">
        <is>
          <t>4:28</t>
        </is>
      </c>
      <c r="C466" t="inlineStr">
        <is>
          <t>Now this third direction has had two main
faces in history.</t>
        </is>
      </c>
      <c r="D466">
        <f>HYPERLINK("https://www.youtube.com/watch?v=KmZXUDEocxA&amp;t=268s", "Go to time")</f>
        <v/>
      </c>
    </row>
    <row r="467">
      <c r="A467">
        <f>HYPERLINK("https://www.youtube.com/watch?v=KmZXUDEocxA", "Video")</f>
        <v/>
      </c>
      <c r="B467" t="inlineStr">
        <is>
          <t>5:07</t>
        </is>
      </c>
      <c r="C467" t="inlineStr">
        <is>
          <t>The third direction teaches us that each of
us is bigger than he seems to be.</t>
        </is>
      </c>
      <c r="D467">
        <f>HYPERLINK("https://www.youtube.com/watch?v=KmZXUDEocxA&amp;t=307s", "Go to time")</f>
        <v/>
      </c>
    </row>
    <row r="468">
      <c r="A468">
        <f>HYPERLINK("https://www.youtube.com/watch?v=KmZXUDEocxA", "Video")</f>
        <v/>
      </c>
      <c r="B468" t="inlineStr">
        <is>
          <t>5:31</t>
        </is>
      </c>
      <c r="C468" t="inlineStr">
        <is>
          <t>It is this third direction that has exerted
the greatest influence on humanity over the</t>
        </is>
      </c>
      <c r="D468">
        <f>HYPERLINK("https://www.youtube.com/watch?v=KmZXUDEocxA&amp;t=331s", "Go to time")</f>
        <v/>
      </c>
    </row>
    <row r="469">
      <c r="A469">
        <f>HYPERLINK("https://www.youtube.com/watch?v=KmZXUDEocxA", "Video")</f>
        <v/>
      </c>
      <c r="B469" t="inlineStr">
        <is>
          <t>5:49</t>
        </is>
      </c>
      <c r="C469" t="inlineStr">
        <is>
          <t>But all of these religions in each of these
three directions that I have just described</t>
        </is>
      </c>
      <c r="D469">
        <f>HYPERLINK("https://www.youtube.com/watch?v=KmZXUDEocxA&amp;t=349s", "Go to time")</f>
        <v/>
      </c>
    </row>
    <row r="470">
      <c r="A470">
        <f>HYPERLINK("https://www.youtube.com/watch?v=KmZXUDEocxA", "Video")</f>
        <v/>
      </c>
      <c r="B470" t="inlineStr">
        <is>
          <t>8:19</t>
        </is>
      </c>
      <c r="C470" t="inlineStr">
        <is>
          <t>Given the enormous impact of the third direction
that I described, the struggle with the world</t>
        </is>
      </c>
      <c r="D470">
        <f>HYPERLINK("https://www.youtube.com/watch?v=KmZXUDEocxA&amp;t=499s", "Go to time")</f>
        <v/>
      </c>
    </row>
    <row r="471">
      <c r="A471">
        <f>HYPERLINK("https://www.youtube.com/watch?v=cVLpdzhcU0g", "Video")</f>
        <v/>
      </c>
      <c r="B471" t="inlineStr">
        <is>
          <t>5:24</t>
        </is>
      </c>
      <c r="C471" t="inlineStr">
        <is>
          <t>and almost by accident to a special freshman
year program called Directed Studies.  So</t>
        </is>
      </c>
      <c r="D471">
        <f>HYPERLINK("https://www.youtube.com/watch?v=cVLpdzhcU0g&amp;t=324s", "Go to time")</f>
        <v/>
      </c>
    </row>
    <row r="472">
      <c r="A472">
        <f>HYPERLINK("https://www.youtube.com/watch?v=cVLpdzhcU0g", "Video")</f>
        <v/>
      </c>
      <c r="B472" t="inlineStr">
        <is>
          <t>5:30</t>
        </is>
      </c>
      <c r="C472" t="inlineStr">
        <is>
          <t>what is Directed Studies?  In Directed Studies
you take three four-year courses in the history</t>
        </is>
      </c>
      <c r="D472">
        <f>HYPERLINK("https://www.youtube.com/watch?v=cVLpdzhcU0g&amp;t=330s", "Go to time")</f>
        <v/>
      </c>
    </row>
    <row r="473">
      <c r="A473">
        <f>HYPERLINK("https://www.youtube.com/watch?v=cVLpdzhcU0g", "Video")</f>
        <v/>
      </c>
      <c r="B473" t="inlineStr">
        <is>
          <t>10:23</t>
        </is>
      </c>
      <c r="C473" t="inlineStr">
        <is>
          <t>works, whether directly or indirectly.  Mark
number four is that many generations of the</t>
        </is>
      </c>
      <c r="D473">
        <f>HYPERLINK("https://www.youtube.com/watch?v=cVLpdzhcU0g&amp;t=623s", "Go to time")</f>
        <v/>
      </c>
    </row>
    <row r="474">
      <c r="A474">
        <f>HYPERLINK("https://www.youtube.com/watch?v=cVLpdzhcU0g", "Video")</f>
        <v/>
      </c>
      <c r="B474" t="inlineStr">
        <is>
          <t>30:46</t>
        </is>
      </c>
      <c r="C474" t="inlineStr">
        <is>
          <t>familiar directly with Plato’s works and
he sets the course of Christian thinking for</t>
        </is>
      </c>
      <c r="D474">
        <f>HYPERLINK("https://www.youtube.com/watch?v=cVLpdzhcU0g&amp;t=1846s", "Go to time")</f>
        <v/>
      </c>
    </row>
    <row r="475">
      <c r="A475">
        <f>HYPERLINK("https://www.youtube.com/watch?v=cVLpdzhcU0g", "Video")</f>
        <v/>
      </c>
      <c r="B475" t="inlineStr">
        <is>
          <t>33:00</t>
        </is>
      </c>
      <c r="C475" t="inlineStr">
        <is>
          <t>Protestant and you believe that all of your
own views come directly from a plain, straightforward</t>
        </is>
      </c>
      <c r="D475">
        <f>HYPERLINK("https://www.youtube.com/watch?v=cVLpdzhcU0g&amp;t=1980s", "Go to time")</f>
        <v/>
      </c>
    </row>
    <row r="476">
      <c r="A476">
        <f>HYPERLINK("https://www.youtube.com/watch?v=cVLpdzhcU0g", "Video")</f>
        <v/>
      </c>
      <c r="B476" t="inlineStr">
        <is>
          <t>38:59</t>
        </is>
      </c>
      <c r="C476" t="inlineStr">
        <is>
          <t>directly or indirectly many other important
works.  Four, many of the most expert readers</t>
        </is>
      </c>
      <c r="D476">
        <f>HYPERLINK("https://www.youtube.com/watch?v=cVLpdzhcU0g&amp;t=2339s", "Go to time")</f>
        <v/>
      </c>
    </row>
    <row r="477">
      <c r="A477">
        <f>HYPERLINK("https://www.youtube.com/watch?v=cVLpdzhcU0g", "Video")</f>
        <v/>
      </c>
      <c r="B477" t="inlineStr">
        <is>
          <t>55:15</t>
        </is>
      </c>
      <c r="C477" t="inlineStr">
        <is>
          <t>something to contribute and from a different
direction than most psychologists look.  However,</t>
        </is>
      </c>
      <c r="D477">
        <f>HYPERLINK("https://www.youtube.com/watch?v=cVLpdzhcU0g&amp;t=3315s", "Go to time")</f>
        <v/>
      </c>
    </row>
    <row r="478">
      <c r="A478">
        <f>HYPERLINK("https://www.youtube.com/watch?v=Zq9gL2DJJUg", "Video")</f>
        <v/>
      </c>
      <c r="B478" t="inlineStr">
        <is>
          <t>0:32</t>
        </is>
      </c>
      <c r="C478" t="inlineStr">
        <is>
          <t>ship, and they have some say in the direction
the ship takes, so I'm looking really at a</t>
        </is>
      </c>
      <c r="D478">
        <f>HYPERLINK("https://www.youtube.com/watch?v=Zq9gL2DJJUg&amp;t=32s", "Go to time")</f>
        <v/>
      </c>
    </row>
    <row r="479">
      <c r="A479">
        <f>HYPERLINK("https://www.youtube.com/watch?v=ieBEEYsrNSQ", "Video")</f>
        <v/>
      </c>
      <c r="B479" t="inlineStr">
        <is>
          <t>2:21</t>
        </is>
      </c>
      <c r="C479" t="inlineStr">
        <is>
          <t>our deepest direction and purpose in life,</t>
        </is>
      </c>
      <c r="D479">
        <f>HYPERLINK("https://www.youtube.com/watch?v=ieBEEYsrNSQ&amp;t=141s", "Go to time")</f>
        <v/>
      </c>
    </row>
    <row r="480">
      <c r="A480">
        <f>HYPERLINK("https://www.youtube.com/watch?v=ieBEEYsrNSQ", "Video")</f>
        <v/>
      </c>
      <c r="B480" t="inlineStr">
        <is>
          <t>2:39</t>
        </is>
      </c>
      <c r="C480" t="inlineStr">
        <is>
          <t>Where am I finding guidance, direction?"</t>
        </is>
      </c>
      <c r="D480">
        <f>HYPERLINK("https://www.youtube.com/watch?v=ieBEEYsrNSQ&amp;t=159s", "Go to time")</f>
        <v/>
      </c>
    </row>
    <row r="481">
      <c r="A481">
        <f>HYPERLINK("https://www.youtube.com/watch?v=ieBEEYsrNSQ", "Video")</f>
        <v/>
      </c>
      <c r="B481" t="inlineStr">
        <is>
          <t>2:49</t>
        </is>
      </c>
      <c r="C481" t="inlineStr">
        <is>
          <t>and pointing us in a direction</t>
        </is>
      </c>
      <c r="D481">
        <f>HYPERLINK("https://www.youtube.com/watch?v=ieBEEYsrNSQ&amp;t=169s", "Go to time")</f>
        <v/>
      </c>
    </row>
    <row r="482">
      <c r="A482">
        <f>HYPERLINK("https://www.youtube.com/watch?v=ieBEEYsrNSQ", "Video")</f>
        <v/>
      </c>
      <c r="B482" t="inlineStr">
        <is>
          <t>4:22</t>
        </is>
      </c>
      <c r="C482" t="inlineStr">
        <is>
          <t>and many people say a new direction pops;</t>
        </is>
      </c>
      <c r="D482">
        <f>HYPERLINK("https://www.youtube.com/watch?v=ieBEEYsrNSQ&amp;t=262s", "Go to time")</f>
        <v/>
      </c>
    </row>
    <row r="483">
      <c r="A483">
        <f>HYPERLINK("https://www.youtube.com/watch?v=cgo93Khb7vM", "Video")</f>
        <v/>
      </c>
      <c r="B483" t="inlineStr">
        <is>
          <t>1:46</t>
        </is>
      </c>
      <c r="C483" t="inlineStr">
        <is>
          <t>She's the director of San Diego Zoo's</t>
        </is>
      </c>
      <c r="D483">
        <f>HYPERLINK("https://www.youtube.com/watch?v=cgo93Khb7vM&amp;t=106s", "Go to time")</f>
        <v/>
      </c>
    </row>
    <row r="484">
      <c r="A484">
        <f>HYPERLINK("https://www.youtube.com/watch?v=czd_kSIOiuQ", "Video")</f>
        <v/>
      </c>
      <c r="B484" t="inlineStr">
        <is>
          <t>6:02</t>
        </is>
      </c>
      <c r="C484" t="inlineStr">
        <is>
          <t>pervasive pattern of
behavior that's directed</t>
        </is>
      </c>
      <c r="D484">
        <f>HYPERLINK("https://www.youtube.com/watch?v=czd_kSIOiuQ&amp;t=362s", "Go to time")</f>
        <v/>
      </c>
    </row>
    <row r="485">
      <c r="A485">
        <f>HYPERLINK("https://www.youtube.com/watch?v=n_ogF5SetV0", "Video")</f>
        <v/>
      </c>
      <c r="B485" t="inlineStr">
        <is>
          <t>1:20</t>
        </is>
      </c>
      <c r="C485" t="inlineStr">
        <is>
          <t>established for how to direct, how to</t>
        </is>
      </c>
      <c r="D485">
        <f>HYPERLINK("https://www.youtube.com/watch?v=n_ogF5SetV0&amp;t=80s", "Go to time")</f>
        <v/>
      </c>
    </row>
    <row r="486">
      <c r="A486">
        <f>HYPERLINK("https://www.youtube.com/watch?v=n_ogF5SetV0", "Video")</f>
        <v/>
      </c>
      <c r="B486" t="inlineStr">
        <is>
          <t>1:22</t>
        </is>
      </c>
      <c r="C486" t="inlineStr">
        <is>
          <t>connectly direct with your audience</t>
        </is>
      </c>
      <c r="D486">
        <f>HYPERLINK("https://www.youtube.com/watch?v=n_ogF5SetV0&amp;t=82s", "Go to time")</f>
        <v/>
      </c>
    </row>
    <row r="487">
      <c r="A487">
        <f>HYPERLINK("https://www.youtube.com/watch?v=bBTvD8Shwog", "Video")</f>
        <v/>
      </c>
      <c r="B487" t="inlineStr">
        <is>
          <t>1:45</t>
        </is>
      </c>
      <c r="C487" t="inlineStr">
        <is>
          <t>music um now I don't have direct</t>
        </is>
      </c>
      <c r="D487">
        <f>HYPERLINK("https://www.youtube.com/watch?v=bBTvD8Shwog&amp;t=105s", "Go to time")</f>
        <v/>
      </c>
    </row>
    <row r="488">
      <c r="A488">
        <f>HYPERLINK("https://www.youtube.com/watch?v=vi-Qu5OwKK4", "Video")</f>
        <v/>
      </c>
      <c r="B488" t="inlineStr">
        <is>
          <t>1:37</t>
        </is>
      </c>
      <c r="C488" t="inlineStr">
        <is>
          <t>directions and also use that perspective</t>
        </is>
      </c>
      <c r="D488">
        <f>HYPERLINK("https://www.youtube.com/watch?v=vi-Qu5OwKK4&amp;t=97s", "Go to time")</f>
        <v/>
      </c>
    </row>
    <row r="489">
      <c r="A489">
        <f>HYPERLINK("https://www.youtube.com/watch?v=7w9oYNplS9g", "Video")</f>
        <v/>
      </c>
      <c r="B489" t="inlineStr">
        <is>
          <t>0:28</t>
        </is>
      </c>
      <c r="C489" t="inlineStr">
        <is>
          <t>directs the raising of the children</t>
        </is>
      </c>
      <c r="D489">
        <f>HYPERLINK("https://www.youtube.com/watch?v=7w9oYNplS9g&amp;t=28s", "Go to time")</f>
        <v/>
      </c>
    </row>
    <row r="490">
      <c r="A490">
        <f>HYPERLINK("https://www.youtube.com/watch?v=tyDQFmA1SpU", "Video")</f>
        <v/>
      </c>
      <c r="B490" t="inlineStr">
        <is>
          <t>0:51</t>
        </is>
      </c>
      <c r="C490" t="inlineStr">
        <is>
          <t>opposite directions so one</t>
        </is>
      </c>
      <c r="D490">
        <f>HYPERLINK("https://www.youtube.com/watch?v=tyDQFmA1SpU&amp;t=51s", "Go to time")</f>
        <v/>
      </c>
    </row>
    <row r="491">
      <c r="A491">
        <f>HYPERLINK("https://www.youtube.com/watch?v=tyDQFmA1SpU", "Video")</f>
        <v/>
      </c>
      <c r="B491" t="inlineStr">
        <is>
          <t>1:56</t>
        </is>
      </c>
      <c r="C491" t="inlineStr">
        <is>
          <t>opposite directions you have to</t>
        </is>
      </c>
      <c r="D491">
        <f>HYPERLINK("https://www.youtube.com/watch?v=tyDQFmA1SpU&amp;t=116s", "Go to time")</f>
        <v/>
      </c>
    </row>
    <row r="492">
      <c r="A492">
        <f>HYPERLINK("https://www.youtube.com/watch?v=8tMPtlMwZz4", "Video")</f>
        <v/>
      </c>
      <c r="B492" t="inlineStr">
        <is>
          <t>6:03</t>
        </is>
      </c>
      <c r="C492" t="inlineStr">
        <is>
          <t>Direct Corporate</t>
        </is>
      </c>
      <c r="D492">
        <f>HYPERLINK("https://www.youtube.com/watch?v=8tMPtlMwZz4&amp;t=363s", "Go to time")</f>
        <v/>
      </c>
    </row>
    <row r="493">
      <c r="A493">
        <f>HYPERLINK("https://www.youtube.com/watch?v=8tMPtlMwZz4", "Video")</f>
        <v/>
      </c>
      <c r="B493" t="inlineStr">
        <is>
          <t>20:13</t>
        </is>
      </c>
      <c r="C493" t="inlineStr">
        <is>
          <t>torture them into a specific Direction a</t>
        </is>
      </c>
      <c r="D493">
        <f>HYPERLINK("https://www.youtube.com/watch?v=8tMPtlMwZz4&amp;t=1213s", "Go to time")</f>
        <v/>
      </c>
    </row>
    <row r="494">
      <c r="A494">
        <f>HYPERLINK("https://www.youtube.com/watch?v=8tMPtlMwZz4", "Video")</f>
        <v/>
      </c>
      <c r="B494" t="inlineStr">
        <is>
          <t>20:15</t>
        </is>
      </c>
      <c r="C494" t="inlineStr">
        <is>
          <t>very specific Direction so that they can</t>
        </is>
      </c>
      <c r="D494">
        <f>HYPERLINK("https://www.youtube.com/watch?v=8tMPtlMwZz4&amp;t=1215s", "Go to time")</f>
        <v/>
      </c>
    </row>
    <row r="495">
      <c r="A495">
        <f>HYPERLINK("https://www.youtube.com/watch?v=8tMPtlMwZz4", "Video")</f>
        <v/>
      </c>
      <c r="B495" t="inlineStr">
        <is>
          <t>22:25</t>
        </is>
      </c>
      <c r="C495" t="inlineStr">
        <is>
          <t>a uh has put in charge a a director that</t>
        </is>
      </c>
      <c r="D495">
        <f>HYPERLINK("https://www.youtube.com/watch?v=8tMPtlMwZz4&amp;t=1345s", "Go to time")</f>
        <v/>
      </c>
    </row>
    <row r="496">
      <c r="A496">
        <f>HYPERLINK("https://www.youtube.com/watch?v=8tMPtlMwZz4", "Video")</f>
        <v/>
      </c>
      <c r="B496" t="inlineStr">
        <is>
          <t>22:47</t>
        </is>
      </c>
      <c r="C496" t="inlineStr">
        <is>
          <t>really familiar uh directly with this</t>
        </is>
      </c>
      <c r="D496">
        <f>HYPERLINK("https://www.youtube.com/watch?v=8tMPtlMwZz4&amp;t=1367s", "Go to time")</f>
        <v/>
      </c>
    </row>
    <row r="497">
      <c r="A497">
        <f>HYPERLINK("https://www.youtube.com/watch?v=8tMPtlMwZz4", "Video")</f>
        <v/>
      </c>
      <c r="B497" t="inlineStr">
        <is>
          <t>27:22</t>
        </is>
      </c>
      <c r="C497" t="inlineStr">
        <is>
          <t>direction</t>
        </is>
      </c>
      <c r="D497">
        <f>HYPERLINK("https://www.youtube.com/watch?v=8tMPtlMwZz4&amp;t=1642s", "Go to time")</f>
        <v/>
      </c>
    </row>
    <row r="498">
      <c r="A498">
        <f>HYPERLINK("https://www.youtube.com/watch?v=HrZqtJH0dhc", "Video")</f>
        <v/>
      </c>
      <c r="B498" t="inlineStr">
        <is>
          <t>4:18</t>
        </is>
      </c>
      <c r="C498" t="inlineStr">
        <is>
          <t>of discerning our direction,
and the head has tactics</t>
        </is>
      </c>
      <c r="D498">
        <f>HYPERLINK("https://www.youtube.com/watch?v=HrZqtJH0dhc&amp;t=258s", "Go to time")</f>
        <v/>
      </c>
    </row>
    <row r="499">
      <c r="A499">
        <f>HYPERLINK("https://www.youtube.com/watch?v=HrZqtJH0dhc", "Video")</f>
        <v/>
      </c>
      <c r="B499" t="inlineStr">
        <is>
          <t>4:46</t>
        </is>
      </c>
      <c r="C499" t="inlineStr">
        <is>
          <t>"What direction should I go?</t>
        </is>
      </c>
      <c r="D499">
        <f>HYPERLINK("https://www.youtube.com/watch?v=HrZqtJH0dhc&amp;t=286s", "Go to time")</f>
        <v/>
      </c>
    </row>
    <row r="500">
      <c r="A500">
        <f>HYPERLINK("https://www.youtube.com/watch?v=OjcgT_oj3jQ", "Video")</f>
        <v/>
      </c>
      <c r="B500" t="inlineStr">
        <is>
          <t>1:07</t>
        </is>
      </c>
      <c r="C500" t="inlineStr">
        <is>
          <t>You can do better by putting a chip directly
on top of the brain.</t>
        </is>
      </c>
      <c r="D500">
        <f>HYPERLINK("https://www.youtube.com/watch?v=OjcgT_oj3jQ&amp;t=67s", "Go to time")</f>
        <v/>
      </c>
    </row>
    <row r="501">
      <c r="A501">
        <f>HYPERLINK("https://www.youtube.com/watch?v=OjcgT_oj3jQ", "Video")</f>
        <v/>
      </c>
      <c r="B501" t="inlineStr">
        <is>
          <t>2:23</t>
        </is>
      </c>
      <c r="C501" t="inlineStr">
        <is>
          <t>In addition to putting a chip on top of the
brain you can actually put sensors directly</t>
        </is>
      </c>
      <c r="D501">
        <f>HYPERLINK("https://www.youtube.com/watch?v=OjcgT_oj3jQ&amp;t=143s", "Go to time")</f>
        <v/>
      </c>
    </row>
    <row r="502">
      <c r="A502">
        <f>HYPERLINK("https://www.youtube.com/watch?v=OjcgT_oj3jQ", "Video")</f>
        <v/>
      </c>
      <c r="B502" t="inlineStr">
        <is>
          <t>3:35</t>
        </is>
      </c>
      <c r="C502" t="inlineStr">
        <is>
          <t>You put a bunch of electrodes directly on
the brain itself.</t>
        </is>
      </c>
      <c r="D502">
        <f>HYPERLINK("https://www.youtube.com/watch?v=OjcgT_oj3jQ&amp;t=215s", "Go to time")</f>
        <v/>
      </c>
    </row>
    <row r="503">
      <c r="A503">
        <f>HYPERLINK("https://www.youtube.com/watch?v=OjcgT_oj3jQ", "Video")</f>
        <v/>
      </c>
      <c r="B503" t="inlineStr">
        <is>
          <t>5:09</t>
        </is>
      </c>
      <c r="C503" t="inlineStr">
        <is>
          <t>It turns out that the first steps in this
direction have been taken already in Kyoto</t>
        </is>
      </c>
      <c r="D503">
        <f>HYPERLINK("https://www.youtube.com/watch?v=OjcgT_oj3jQ&amp;t=309s", "Go to time")</f>
        <v/>
      </c>
    </row>
    <row r="504">
      <c r="A504">
        <f>HYPERLINK("https://www.youtube.com/watch?v=SXaQmzHb6DE", "Video")</f>
        <v/>
      </c>
      <c r="B504" t="inlineStr">
        <is>
          <t>0:32</t>
        </is>
      </c>
      <c r="C504" t="inlineStr">
        <is>
          <t>nature and I was at that time director</t>
        </is>
      </c>
      <c r="D504">
        <f>HYPERLINK("https://www.youtube.com/watch?v=SXaQmzHb6DE&amp;t=32s", "Go to time")</f>
        <v/>
      </c>
    </row>
    <row r="505">
      <c r="A505">
        <f>HYPERLINK("https://www.youtube.com/watch?v=SXaQmzHb6DE", "Video")</f>
        <v/>
      </c>
      <c r="B505" t="inlineStr">
        <is>
          <t>1:22</t>
        </is>
      </c>
      <c r="C505" t="inlineStr">
        <is>
          <t>remained director of policy planning</t>
        </is>
      </c>
      <c r="D505">
        <f>HYPERLINK("https://www.youtube.com/watch?v=SXaQmzHb6DE&amp;t=82s", "Go to time")</f>
        <v/>
      </c>
    </row>
    <row r="506">
      <c r="A506">
        <f>HYPERLINK("https://www.youtube.com/watch?v=O03VMQyMFUs", "Video")</f>
        <v/>
      </c>
      <c r="B506" t="inlineStr">
        <is>
          <t>2:42</t>
        </is>
      </c>
      <c r="C506" t="inlineStr">
        <is>
          <t>director of the International Monetary
Fund I would never walk into an office</t>
        </is>
      </c>
      <c r="D506">
        <f>HYPERLINK("https://www.youtube.com/watch?v=O03VMQyMFUs&amp;t=162s", "Go to time")</f>
        <v/>
      </c>
    </row>
    <row r="507">
      <c r="A507">
        <f>HYPERLINK("https://www.youtube.com/watch?v=3YN3BhLlBQM", "Video")</f>
        <v/>
      </c>
      <c r="B507" t="inlineStr">
        <is>
          <t>0:07</t>
        </is>
      </c>
      <c r="C507" t="inlineStr">
        <is>
          <t>Dean Baker co-director at the center for</t>
        </is>
      </c>
      <c r="D507">
        <f>HYPERLINK("https://www.youtube.com/watch?v=3YN3BhLlBQM&amp;t=7s", "Go to time")</f>
        <v/>
      </c>
    </row>
    <row r="508">
      <c r="A508">
        <f>HYPERLINK("https://www.youtube.com/watch?v=3YN3BhLlBQM", "Video")</f>
        <v/>
      </c>
      <c r="B508" t="inlineStr">
        <is>
          <t>2:47</t>
        </is>
      </c>
      <c r="C508" t="inlineStr">
        <is>
          <t>right direction the economy growing</t>
        </is>
      </c>
      <c r="D508">
        <f>HYPERLINK("https://www.youtube.com/watch?v=3YN3BhLlBQM&amp;t=167s", "Go to time")</f>
        <v/>
      </c>
    </row>
    <row r="509">
      <c r="A509">
        <f>HYPERLINK("https://www.youtube.com/watch?v=3YN3BhLlBQM", "Video")</f>
        <v/>
      </c>
      <c r="B509" t="inlineStr">
        <is>
          <t>20:10</t>
        </is>
      </c>
      <c r="C509" t="inlineStr">
        <is>
          <t>do is on the one hand it would directly</t>
        </is>
      </c>
      <c r="D509">
        <f>HYPERLINK("https://www.youtube.com/watch?v=3YN3BhLlBQM&amp;t=1210s", "Go to time")</f>
        <v/>
      </c>
    </row>
    <row r="510">
      <c r="A510">
        <f>HYPERLINK("https://www.youtube.com/watch?v=7N_NNVeKat8", "Video")</f>
        <v/>
      </c>
      <c r="B510" t="inlineStr">
        <is>
          <t>3:11</t>
        </is>
      </c>
      <c r="C510" t="inlineStr">
        <is>
          <t>in directions of greater rationality.</t>
        </is>
      </c>
      <c r="D510">
        <f>HYPERLINK("https://www.youtube.com/watch?v=7N_NNVeKat8&amp;t=191s", "Go to time")</f>
        <v/>
      </c>
    </row>
    <row r="511">
      <c r="A511">
        <f>HYPERLINK("https://www.youtube.com/watch?v=Z_RVvxO-Ifo", "Video")</f>
        <v/>
      </c>
      <c r="B511" t="inlineStr">
        <is>
          <t>53:47</t>
        </is>
      </c>
      <c r="C511" t="inlineStr">
        <is>
          <t>information but to get direct access to</t>
        </is>
      </c>
      <c r="D511">
        <f>HYPERLINK("https://www.youtube.com/watch?v=Z_RVvxO-Ifo&amp;t=3227s", "Go to time")</f>
        <v/>
      </c>
    </row>
    <row r="512">
      <c r="A512">
        <f>HYPERLINK("https://www.youtube.com/watch?v=550q8rkh7ns", "Video")</f>
        <v/>
      </c>
      <c r="B512" t="inlineStr">
        <is>
          <t>2:57</t>
        </is>
      </c>
      <c r="C512" t="inlineStr">
        <is>
          <t>That meant the sun was directly overhead;
you could look down a well and see the sun</t>
        </is>
      </c>
      <c r="D512">
        <f>HYPERLINK("https://www.youtube.com/watch?v=550q8rkh7ns&amp;t=177s", "Go to time")</f>
        <v/>
      </c>
    </row>
    <row r="513">
      <c r="A513">
        <f>HYPERLINK("https://www.youtube.com/watch?v=550q8rkh7ns", "Video")</f>
        <v/>
      </c>
      <c r="B513" t="inlineStr">
        <is>
          <t>3:08</t>
        </is>
      </c>
      <c r="C513" t="inlineStr">
        <is>
          <t>The sun was not directly overhead, it was
a slight angle, and all that Eratosthenes</t>
        </is>
      </c>
      <c r="D513">
        <f>HYPERLINK("https://www.youtube.com/watch?v=550q8rkh7ns&amp;t=188s", "Go to time")</f>
        <v/>
      </c>
    </row>
    <row r="514">
      <c r="A514">
        <f>HYPERLINK("https://www.youtube.com/watch?v=550q8rkh7ns", "Video")</f>
        <v/>
      </c>
      <c r="B514" t="inlineStr">
        <is>
          <t>5:17</t>
        </is>
      </c>
      <c r="C514" t="inlineStr">
        <is>
          <t>The only shape that can cast a shadow that's
curved from any direction you put the light</t>
        </is>
      </c>
      <c r="D514">
        <f>HYPERLINK("https://www.youtube.com/watch?v=550q8rkh7ns&amp;t=317s", "Go to time")</f>
        <v/>
      </c>
    </row>
    <row r="515">
      <c r="A515">
        <f>HYPERLINK("https://www.youtube.com/watch?v=RZdfE_7cde0", "Video")</f>
        <v/>
      </c>
      <c r="B515" t="inlineStr">
        <is>
          <t>0:11</t>
        </is>
      </c>
      <c r="C515" t="inlineStr">
        <is>
          <t>And the reason is because
we have no direct access</t>
        </is>
      </c>
      <c r="D515">
        <f>HYPERLINK("https://www.youtube.com/watch?v=RZdfE_7cde0&amp;t=11s", "Go to time")</f>
        <v/>
      </c>
    </row>
    <row r="516">
      <c r="A516">
        <f>HYPERLINK("https://www.youtube.com/watch?v=iolIgufroLo", "Video")</f>
        <v/>
      </c>
      <c r="B516" t="inlineStr">
        <is>
          <t>0:06</t>
        </is>
      </c>
      <c r="C516" t="inlineStr">
        <is>
          <t>I'm Anthony Romero the national director</t>
        </is>
      </c>
      <c r="D516">
        <f>HYPERLINK("https://www.youtube.com/watch?v=iolIgufroLo&amp;t=6s", "Go to time")</f>
        <v/>
      </c>
    </row>
    <row r="517">
      <c r="A517">
        <f>HYPERLINK("https://www.youtube.com/watch?v=iolIgufroLo", "Video")</f>
        <v/>
      </c>
      <c r="B517" t="inlineStr">
        <is>
          <t>6:49</t>
        </is>
      </c>
      <c r="C517" t="inlineStr">
        <is>
          <t>hear those arguments directly from the</t>
        </is>
      </c>
      <c r="D517">
        <f>HYPERLINK("https://www.youtube.com/watch?v=iolIgufroLo&amp;t=409s", "Go to time")</f>
        <v/>
      </c>
    </row>
    <row r="518">
      <c r="A518">
        <f>HYPERLINK("https://www.youtube.com/watch?v=NoIQlliMC-Q", "Video")</f>
        <v/>
      </c>
      <c r="B518" t="inlineStr">
        <is>
          <t>24:09</t>
        </is>
      </c>
      <c r="C518" t="inlineStr">
        <is>
          <t>that's been future-directed-</t>
        </is>
      </c>
      <c r="D518">
        <f>HYPERLINK("https://www.youtube.com/watch?v=NoIQlliMC-Q&amp;t=1449s", "Go to time")</f>
        <v/>
      </c>
    </row>
    <row r="519">
      <c r="A519">
        <f>HYPERLINK("https://www.youtube.com/watch?v=NoIQlliMC-Q", "Video")</f>
        <v/>
      </c>
      <c r="B519" t="inlineStr">
        <is>
          <t>26:24</t>
        </is>
      </c>
      <c r="C519" t="inlineStr">
        <is>
          <t>when the wind blows in
your direction, they stink.</t>
        </is>
      </c>
      <c r="D519">
        <f>HYPERLINK("https://www.youtube.com/watch?v=NoIQlliMC-Q&amp;t=1584s", "Go to time")</f>
        <v/>
      </c>
    </row>
    <row r="520">
      <c r="A520">
        <f>HYPERLINK("https://www.youtube.com/watch?v=NoIQlliMC-Q", "Video")</f>
        <v/>
      </c>
      <c r="B520" t="inlineStr">
        <is>
          <t>48:00</t>
        </is>
      </c>
      <c r="C520" t="inlineStr">
        <is>
          <t>I used it to give me transport directions</t>
        </is>
      </c>
      <c r="D520">
        <f>HYPERLINK("https://www.youtube.com/watch?v=NoIQlliMC-Q&amp;t=2880s", "Go to time")</f>
        <v/>
      </c>
    </row>
    <row r="521">
      <c r="A521">
        <f>HYPERLINK("https://www.youtube.com/watch?v=NoIQlliMC-Q", "Video")</f>
        <v/>
      </c>
      <c r="B521" t="inlineStr">
        <is>
          <t>99:40</t>
        </is>
      </c>
      <c r="C521" t="inlineStr">
        <is>
          <t>but it was directed against a young woman</t>
        </is>
      </c>
      <c r="D521">
        <f>HYPERLINK("https://www.youtube.com/watch?v=NoIQlliMC-Q&amp;t=5980s", "Go to time")</f>
        <v/>
      </c>
    </row>
    <row r="522">
      <c r="A522">
        <f>HYPERLINK("https://www.youtube.com/watch?v=7bquxJYC9DA", "Video")</f>
        <v/>
      </c>
      <c r="B522" t="inlineStr">
        <is>
          <t>16:22</t>
        </is>
      </c>
      <c r="C522" t="inlineStr">
        <is>
          <t>direction uh that really they're except</t>
        </is>
      </c>
      <c r="D522">
        <f>HYPERLINK("https://www.youtube.com/watch?v=7bquxJYC9DA&amp;t=982s", "Go to time")</f>
        <v/>
      </c>
    </row>
    <row r="523">
      <c r="A523">
        <f>HYPERLINK("https://www.youtube.com/watch?v=7bquxJYC9DA", "Video")</f>
        <v/>
      </c>
      <c r="B523" t="inlineStr">
        <is>
          <t>20:47</t>
        </is>
      </c>
      <c r="C523" t="inlineStr">
        <is>
          <t>that's that's one of the directions it's</t>
        </is>
      </c>
      <c r="D523">
        <f>HYPERLINK("https://www.youtube.com/watch?v=7bquxJYC9DA&amp;t=1247s", "Go to time")</f>
        <v/>
      </c>
    </row>
    <row r="524">
      <c r="A524">
        <f>HYPERLINK("https://www.youtube.com/watch?v=9vyFPuetK_4", "Video")</f>
        <v/>
      </c>
      <c r="B524" t="inlineStr">
        <is>
          <t>0:01</t>
        </is>
      </c>
      <c r="C524" t="inlineStr">
        <is>
          <t>- How do you find your direction in space</t>
        </is>
      </c>
      <c r="D524">
        <f>HYPERLINK("https://www.youtube.com/watch?v=9vyFPuetK_4&amp;t=1s", "Go to time")</f>
        <v/>
      </c>
    </row>
    <row r="525">
      <c r="A525">
        <f>HYPERLINK("https://www.youtube.com/watch?v=9vyFPuetK_4", "Video")</f>
        <v/>
      </c>
      <c r="B525" t="inlineStr">
        <is>
          <t>1:33</t>
        </is>
      </c>
      <c r="C525" t="inlineStr">
        <is>
          <t>So, a magnetic field directs compasses.</t>
        </is>
      </c>
      <c r="D525">
        <f>HYPERLINK("https://www.youtube.com/watch?v=9vyFPuetK_4&amp;t=93s", "Go to time")</f>
        <v/>
      </c>
    </row>
    <row r="526">
      <c r="A526">
        <f>HYPERLINK("https://www.youtube.com/watch?v=al8JdCF_3-s", "Video")</f>
        <v/>
      </c>
      <c r="B526" t="inlineStr">
        <is>
          <t>3:48</t>
        </is>
      </c>
      <c r="C526" t="inlineStr">
        <is>
          <t>if you look at who the next direct the</t>
        </is>
      </c>
      <c r="D526">
        <f>HYPERLINK("https://www.youtube.com/watch?v=al8JdCF_3-s&amp;t=228s", "Go to time")</f>
        <v/>
      </c>
    </row>
    <row r="527">
      <c r="A527">
        <f>HYPERLINK("https://www.youtube.com/watch?v=al8JdCF_3-s", "Video")</f>
        <v/>
      </c>
      <c r="B527" t="inlineStr">
        <is>
          <t>3:50</t>
        </is>
      </c>
      <c r="C527" t="inlineStr">
        <is>
          <t>the new director of the NIH is the</t>
        </is>
      </c>
      <c r="D527">
        <f>HYPERLINK("https://www.youtube.com/watch?v=al8JdCF_3-s&amp;t=230s", "Go to time")</f>
        <v/>
      </c>
    </row>
    <row r="528">
      <c r="A528">
        <f>HYPERLINK("https://www.youtube.com/watch?v=mJLROKV2SzU", "Video")</f>
        <v/>
      </c>
      <c r="B528" t="inlineStr">
        <is>
          <t>2:41</t>
        </is>
      </c>
      <c r="C528" t="inlineStr">
        <is>
          <t>- [Director] So, how would you define</t>
        </is>
      </c>
      <c r="D528">
        <f>HYPERLINK("https://www.youtube.com/watch?v=mJLROKV2SzU&amp;t=161s", "Go to time")</f>
        <v/>
      </c>
    </row>
    <row r="529">
      <c r="A529">
        <f>HYPERLINK("https://www.youtube.com/watch?v=mJLROKV2SzU", "Video")</f>
        <v/>
      </c>
      <c r="B529" t="inlineStr">
        <is>
          <t>3:30</t>
        </is>
      </c>
      <c r="C529" t="inlineStr">
        <is>
          <t>- [Director] So, is that
an instance of emotion?</t>
        </is>
      </c>
      <c r="D529">
        <f>HYPERLINK("https://www.youtube.com/watch?v=mJLROKV2SzU&amp;t=210s", "Go to time")</f>
        <v/>
      </c>
    </row>
    <row r="530">
      <c r="A530">
        <f>HYPERLINK("https://www.youtube.com/watch?v=R_Yx1Fahjm8", "Video")</f>
        <v/>
      </c>
      <c r="B530" t="inlineStr">
        <is>
          <t>3:15</t>
        </is>
      </c>
      <c r="C530" t="inlineStr">
        <is>
          <t>'cause that direction
is not good for humans;</t>
        </is>
      </c>
      <c r="D530">
        <f>HYPERLINK("https://www.youtube.com/watch?v=R_Yx1Fahjm8&amp;t=195s", "Go to time")</f>
        <v/>
      </c>
    </row>
    <row r="531">
      <c r="A531">
        <f>HYPERLINK("https://www.youtube.com/watch?v=GPgxUh8Mob4", "Video")</f>
        <v/>
      </c>
      <c r="B531" t="inlineStr">
        <is>
          <t>0:31</t>
        </is>
      </c>
      <c r="C531" t="inlineStr">
        <is>
          <t>I am Julie Plec. I'm a
writer, producer, director,</t>
        </is>
      </c>
      <c r="D531">
        <f>HYPERLINK("https://www.youtube.com/watch?v=GPgxUh8Mob4&amp;t=31s", "Go to time")</f>
        <v/>
      </c>
    </row>
    <row r="532">
      <c r="A532">
        <f>HYPERLINK("https://www.youtube.com/watch?v=PrpuBFkzBO4", "Video")</f>
        <v/>
      </c>
      <c r="B532" t="inlineStr">
        <is>
          <t>4:11</t>
        </is>
      </c>
      <c r="C532" t="inlineStr">
        <is>
          <t>And yet it was discovered
by something as direct</t>
        </is>
      </c>
      <c r="D532">
        <f>HYPERLINK("https://www.youtube.com/watch?v=PrpuBFkzBO4&amp;t=251s", "Go to time")</f>
        <v/>
      </c>
    </row>
    <row r="533">
      <c r="A533">
        <f>HYPERLINK("https://www.youtube.com/watch?v=PrpuBFkzBO4", "Video")</f>
        <v/>
      </c>
      <c r="B533" t="inlineStr">
        <is>
          <t>5:03</t>
        </is>
      </c>
      <c r="C533" t="inlineStr">
        <is>
          <t>to keep us going and to
rule out certain directions.</t>
        </is>
      </c>
      <c r="D533">
        <f>HYPERLINK("https://www.youtube.com/watch?v=PrpuBFkzBO4&amp;t=303s", "Go to time")</f>
        <v/>
      </c>
    </row>
    <row r="534">
      <c r="A534">
        <f>HYPERLINK("https://www.youtube.com/watch?v=mCo7F9h743o", "Video")</f>
        <v/>
      </c>
      <c r="B534" t="inlineStr">
        <is>
          <t>9:16</t>
        </is>
      </c>
      <c r="C534" t="inlineStr">
        <is>
          <t>I wanna create, I wanna direct,</t>
        </is>
      </c>
      <c r="D534">
        <f>HYPERLINK("https://www.youtube.com/watch?v=mCo7F9h743o&amp;t=556s", "Go to time")</f>
        <v/>
      </c>
    </row>
    <row r="535">
      <c r="A535">
        <f>HYPERLINK("https://www.youtube.com/watch?v=znwUCNrjpD4", "Video")</f>
        <v/>
      </c>
      <c r="B535" t="inlineStr">
        <is>
          <t>2:03</t>
        </is>
      </c>
      <c r="C535" t="inlineStr">
        <is>
          <t>Often, when I'm skiing in
flow, I will get directions-</t>
        </is>
      </c>
      <c r="D535">
        <f>HYPERLINK("https://www.youtube.com/watch?v=znwUCNrjpD4&amp;t=123s", "Go to time")</f>
        <v/>
      </c>
    </row>
    <row r="536">
      <c r="A536">
        <f>HYPERLINK("https://www.youtube.com/watch?v=LTmjrgC6ejQ", "Video")</f>
        <v/>
      </c>
      <c r="B536" t="inlineStr">
        <is>
          <t>8:56</t>
        </is>
      </c>
      <c r="C536" t="inlineStr">
        <is>
          <t>the board of directors and executives</t>
        </is>
      </c>
      <c r="D536">
        <f>HYPERLINK("https://www.youtube.com/watch?v=LTmjrgC6ejQ&amp;t=536s", "Go to time")</f>
        <v/>
      </c>
    </row>
    <row r="537">
      <c r="A537">
        <f>HYPERLINK("https://www.youtube.com/watch?v=2-8w6j3W9jU", "Video")</f>
        <v/>
      </c>
      <c r="B537" t="inlineStr">
        <is>
          <t>19:55</t>
        </is>
      </c>
      <c r="C537" t="inlineStr">
        <is>
          <t>communicating wirelessly directly with</t>
        </is>
      </c>
      <c r="D537">
        <f>HYPERLINK("https://www.youtube.com/watch?v=2-8w6j3W9jU&amp;t=1195s", "Go to time")</f>
        <v/>
      </c>
    </row>
    <row r="538">
      <c r="A538">
        <f>HYPERLINK("https://www.youtube.com/watch?v=2-8w6j3W9jU", "Video")</f>
        <v/>
      </c>
      <c r="B538" t="inlineStr">
        <is>
          <t>20:04</t>
        </is>
      </c>
      <c r="C538" t="inlineStr">
        <is>
          <t>communicate directly with cells in the</t>
        </is>
      </c>
      <c r="D538">
        <f>HYPERLINK("https://www.youtube.com/watch?v=2-8w6j3W9jU&amp;t=1204s", "Go to time")</f>
        <v/>
      </c>
    </row>
    <row r="539">
      <c r="A539">
        <f>HYPERLINK("https://www.youtube.com/watch?v=2-8w6j3W9jU", "Video")</f>
        <v/>
      </c>
      <c r="B539" t="inlineStr">
        <is>
          <t>23:01</t>
        </is>
      </c>
      <c r="C539" t="inlineStr">
        <is>
          <t>paid directly versus</t>
        </is>
      </c>
      <c r="D539">
        <f>HYPERLINK("https://www.youtube.com/watch?v=2-8w6j3W9jU&amp;t=1381s", "Go to time")</f>
        <v/>
      </c>
    </row>
    <row r="540">
      <c r="A540">
        <f>HYPERLINK("https://www.youtube.com/watch?v=2-8w6j3W9jU", "Video")</f>
        <v/>
      </c>
      <c r="B540" t="inlineStr">
        <is>
          <t>23:04</t>
        </is>
      </c>
      <c r="C540" t="inlineStr">
        <is>
          <t>indirectly um I grew up with free</t>
        </is>
      </c>
      <c r="D540">
        <f>HYPERLINK("https://www.youtube.com/watch?v=2-8w6j3W9jU&amp;t=1384s", "Go to time")</f>
        <v/>
      </c>
    </row>
    <row r="541">
      <c r="A541">
        <f>HYPERLINK("https://www.youtube.com/watch?v=2-8w6j3W9jU", "Video")</f>
        <v/>
      </c>
      <c r="B541" t="inlineStr">
        <is>
          <t>23:38</t>
        </is>
      </c>
      <c r="C541" t="inlineStr">
        <is>
          <t>one charge more directly now whether</t>
        </is>
      </c>
      <c r="D541">
        <f>HYPERLINK("https://www.youtube.com/watch?v=2-8w6j3W9jU&amp;t=1418s", "Go to time")</f>
        <v/>
      </c>
    </row>
    <row r="542">
      <c r="A542">
        <f>HYPERLINK("https://www.youtube.com/watch?v=2-8w6j3W9jU", "Video")</f>
        <v/>
      </c>
      <c r="B542" t="inlineStr">
        <is>
          <t>23:44</t>
        </is>
      </c>
      <c r="C542" t="inlineStr">
        <is>
          <t>there's a a much more direct in the</t>
        </is>
      </c>
      <c r="D542">
        <f>HYPERLINK("https://www.youtube.com/watch?v=2-8w6j3W9jU&amp;t=1424s", "Go to time")</f>
        <v/>
      </c>
    </row>
    <row r="543">
      <c r="A543">
        <f>HYPERLINK("https://www.youtube.com/watch?v=8mAIf5Poz14", "Video")</f>
        <v/>
      </c>
      <c r="B543" t="inlineStr">
        <is>
          <t>1:48</t>
        </is>
      </c>
      <c r="C543" t="inlineStr">
        <is>
          <t>go in that direction so is it a reality</t>
        </is>
      </c>
      <c r="D543">
        <f>HYPERLINK("https://www.youtube.com/watch?v=8mAIf5Poz14&amp;t=108s", "Go to time")</f>
        <v/>
      </c>
    </row>
    <row r="544">
      <c r="A544">
        <f>HYPERLINK("https://www.youtube.com/watch?v=dt8jaBgDgOY", "Video")</f>
        <v/>
      </c>
      <c r="B544" t="inlineStr">
        <is>
          <t>6:16</t>
        </is>
      </c>
      <c r="C544" t="inlineStr">
        <is>
          <t>look these problems directly on then the</t>
        </is>
      </c>
      <c r="D544">
        <f>HYPERLINK("https://www.youtube.com/watch?v=dt8jaBgDgOY&amp;t=376s", "Go to time")</f>
        <v/>
      </c>
    </row>
    <row r="545">
      <c r="A545">
        <f>HYPERLINK("https://www.youtube.com/watch?v=dt8jaBgDgOY", "Video")</f>
        <v/>
      </c>
      <c r="B545" t="inlineStr">
        <is>
          <t>18:15</t>
        </is>
      </c>
      <c r="C545" t="inlineStr">
        <is>
          <t>the direction in which the president is</t>
        </is>
      </c>
      <c r="D545">
        <f>HYPERLINK("https://www.youtube.com/watch?v=dt8jaBgDgOY&amp;t=1095s", "Go to time")</f>
        <v/>
      </c>
    </row>
    <row r="546">
      <c r="A546">
        <f>HYPERLINK("https://www.youtube.com/watch?v=dt8jaBgDgOY", "Video")</f>
        <v/>
      </c>
      <c r="B546" t="inlineStr">
        <is>
          <t>23:51</t>
        </is>
      </c>
      <c r="C546" t="inlineStr">
        <is>
          <t>direction um there's a lot to pick over</t>
        </is>
      </c>
      <c r="D546">
        <f>HYPERLINK("https://www.youtube.com/watch?v=dt8jaBgDgOY&amp;t=1431s", "Go to time")</f>
        <v/>
      </c>
    </row>
    <row r="547">
      <c r="A547">
        <f>HYPERLINK("https://www.youtube.com/watch?v=dt8jaBgDgOY", "Video")</f>
        <v/>
      </c>
      <c r="B547" t="inlineStr">
        <is>
          <t>25:41</t>
        </is>
      </c>
      <c r="C547" t="inlineStr">
        <is>
          <t>enough to drive the direction of the</t>
        </is>
      </c>
      <c r="D547">
        <f>HYPERLINK("https://www.youtube.com/watch?v=dt8jaBgDgOY&amp;t=1541s", "Go to time")</f>
        <v/>
      </c>
    </row>
    <row r="548">
      <c r="A548">
        <f>HYPERLINK("https://www.youtube.com/watch?v=dt8jaBgDgOY", "Video")</f>
        <v/>
      </c>
      <c r="B548" t="inlineStr">
        <is>
          <t>25:56</t>
        </is>
      </c>
      <c r="C548" t="inlineStr">
        <is>
          <t>the capacity to go directly at the</t>
        </is>
      </c>
      <c r="D548">
        <f>HYPERLINK("https://www.youtube.com/watch?v=dt8jaBgDgOY&amp;t=1556s", "Go to time")</f>
        <v/>
      </c>
    </row>
    <row r="549">
      <c r="A549">
        <f>HYPERLINK("https://www.youtube.com/watch?v=YEnxt1cf3MI", "Video")</f>
        <v/>
      </c>
      <c r="B549" t="inlineStr">
        <is>
          <t>5:48</t>
        </is>
      </c>
      <c r="C549" t="inlineStr">
        <is>
          <t>doing direct lending
to affected businesses,</t>
        </is>
      </c>
      <c r="D549">
        <f>HYPERLINK("https://www.youtube.com/watch?v=YEnxt1cf3MI&amp;t=348s", "Go to time")</f>
        <v/>
      </c>
    </row>
    <row r="550">
      <c r="A550">
        <f>HYPERLINK("https://www.youtube.com/watch?v=YEnxt1cf3MI", "Video")</f>
        <v/>
      </c>
      <c r="B550" t="inlineStr">
        <is>
          <t>8:25</t>
        </is>
      </c>
      <c r="C550" t="inlineStr">
        <is>
          <t>was a direct result of this
supply-constrained environment</t>
        </is>
      </c>
      <c r="D550">
        <f>HYPERLINK("https://www.youtube.com/watch?v=YEnxt1cf3MI&amp;t=505s", "Go to time")</f>
        <v/>
      </c>
    </row>
    <row r="551">
      <c r="A551">
        <f>HYPERLINK("https://www.youtube.com/watch?v=dE5RoxwJ_o4", "Video")</f>
        <v/>
      </c>
      <c r="B551" t="inlineStr">
        <is>
          <t>3:41</t>
        </is>
      </c>
      <c r="C551" t="inlineStr">
        <is>
          <t>she said in the directions there was</t>
        </is>
      </c>
      <c r="D551">
        <f>HYPERLINK("https://www.youtube.com/watch?v=dE5RoxwJ_o4&amp;t=221s", "Go to time")</f>
        <v/>
      </c>
    </row>
    <row r="552">
      <c r="A552">
        <f>HYPERLINK("https://www.youtube.com/watch?v=tmszO1NoxmQ", "Video")</f>
        <v/>
      </c>
      <c r="B552" t="inlineStr">
        <is>
          <t>2:36</t>
        </is>
      </c>
      <c r="C552" t="inlineStr">
        <is>
          <t>looking for a clear steer, a clear direction
out of that towards information that makes</t>
        </is>
      </c>
      <c r="D552">
        <f>HYPERLINK("https://www.youtube.com/watch?v=tmszO1NoxmQ&amp;t=156s", "Go to time")</f>
        <v/>
      </c>
    </row>
    <row r="553">
      <c r="A553">
        <f>HYPERLINK("https://www.youtube.com/watch?v=tmszO1NoxmQ", "Video")</f>
        <v/>
      </c>
      <c r="B553" t="inlineStr">
        <is>
          <t>3:10</t>
        </is>
      </c>
      <c r="C553" t="inlineStr">
        <is>
          <t>dark and it’s odd and they’re suddenly
looking to me for directions.</t>
        </is>
      </c>
      <c r="D553">
        <f>HYPERLINK("https://www.youtube.com/watch?v=tmszO1NoxmQ&amp;t=190s", "Go to time")</f>
        <v/>
      </c>
    </row>
    <row r="554">
      <c r="A554">
        <f>HYPERLINK("https://www.youtube.com/watch?v=4eES-2A3jeI", "Video")</f>
        <v/>
      </c>
      <c r="B554" t="inlineStr">
        <is>
          <t>3:03</t>
        </is>
      </c>
      <c r="C554" t="inlineStr">
        <is>
          <t>bounce in the wrong direction sometimes</t>
        </is>
      </c>
      <c r="D554">
        <f>HYPERLINK("https://www.youtube.com/watch?v=4eES-2A3jeI&amp;t=183s", "Go to time")</f>
        <v/>
      </c>
    </row>
    <row r="555">
      <c r="A555">
        <f>HYPERLINK("https://www.youtube.com/watch?v=A0oCB5aTaBo", "Video")</f>
        <v/>
      </c>
      <c r="B555" t="inlineStr">
        <is>
          <t>2:01</t>
        </is>
      </c>
      <c r="C555" t="inlineStr">
        <is>
          <t>the EEG signal thereby indirectly</t>
        </is>
      </c>
      <c r="D555">
        <f>HYPERLINK("https://www.youtube.com/watch?v=A0oCB5aTaBo&amp;t=121s", "Go to time")</f>
        <v/>
      </c>
    </row>
    <row r="556">
      <c r="A556">
        <f>HYPERLINK("https://www.youtube.com/watch?v=SCsztDMGP7o", "Video")</f>
        <v/>
      </c>
      <c r="B556" t="inlineStr">
        <is>
          <t>0:47</t>
        </is>
      </c>
      <c r="C556" t="inlineStr">
        <is>
          <t>This bi-directional highway
of information in the memory</t>
        </is>
      </c>
      <c r="D556">
        <f>HYPERLINK("https://www.youtube.com/watch?v=SCsztDMGP7o&amp;t=47s", "Go to time")</f>
        <v/>
      </c>
    </row>
    <row r="557">
      <c r="A557">
        <f>HYPERLINK("https://www.youtube.com/watch?v=6zxzda3zYxA", "Video")</f>
        <v/>
      </c>
      <c r="B557" t="inlineStr">
        <is>
          <t>1:37</t>
        </is>
      </c>
      <c r="C557" t="inlineStr">
        <is>
          <t>a direct hit with a satellite going at</t>
        </is>
      </c>
      <c r="D557">
        <f>HYPERLINK("https://www.youtube.com/watch?v=6zxzda3zYxA&amp;t=97s", "Go to time")</f>
        <v/>
      </c>
    </row>
    <row r="558">
      <c r="A558">
        <f>HYPERLINK("https://www.youtube.com/watch?v=Fhea15bbBtE", "Video")</f>
        <v/>
      </c>
      <c r="B558" t="inlineStr">
        <is>
          <t>5:35</t>
        </is>
      </c>
      <c r="C558" t="inlineStr">
        <is>
          <t>steered you in that direction and he had</t>
        </is>
      </c>
      <c r="D558">
        <f>HYPERLINK("https://www.youtube.com/watch?v=Fhea15bbBtE&amp;t=335s", "Go to time")</f>
        <v/>
      </c>
    </row>
    <row r="559">
      <c r="A559">
        <f>HYPERLINK("https://www.youtube.com/watch?v=JBjjnqG0BP8", "Video")</f>
        <v/>
      </c>
      <c r="B559" t="inlineStr">
        <is>
          <t>0:05</t>
        </is>
      </c>
      <c r="C559" t="inlineStr">
        <is>
          <t>In the really old days, people had to write
their code directly to work on the hardware.</t>
        </is>
      </c>
      <c r="D559">
        <f>HYPERLINK("https://www.youtube.com/watch?v=JBjjnqG0BP8&amp;t=5s", "Go to time")</f>
        <v/>
      </c>
    </row>
    <row r="560">
      <c r="A560">
        <f>HYPERLINK("https://www.youtube.com/watch?v=JBjjnqG0BP8", "Video")</f>
        <v/>
      </c>
      <c r="B560" t="inlineStr">
        <is>
          <t>2:52</t>
        </is>
      </c>
      <c r="C560" t="inlineStr">
        <is>
          <t>And you can access hardware directly as you
often have to do with operating systems with</t>
        </is>
      </c>
      <c r="D560">
        <f>HYPERLINK("https://www.youtube.com/watch?v=JBjjnqG0BP8&amp;t=172s", "Go to time")</f>
        <v/>
      </c>
    </row>
    <row r="561">
      <c r="A561">
        <f>HYPERLINK("https://www.youtube.com/watch?v=HjJYvLH_FGw", "Video")</f>
        <v/>
      </c>
      <c r="B561" t="inlineStr">
        <is>
          <t>5:11</t>
        </is>
      </c>
      <c r="C561" t="inlineStr">
        <is>
          <t>pushing us all in direct all in the</t>
        </is>
      </c>
      <c r="D561">
        <f>HYPERLINK("https://www.youtube.com/watch?v=HjJYvLH_FGw&amp;t=311s", "Go to time")</f>
        <v/>
      </c>
    </row>
    <row r="562">
      <c r="A562">
        <f>HYPERLINK("https://www.youtube.com/watch?v=HjJYvLH_FGw", "Video")</f>
        <v/>
      </c>
      <c r="B562" t="inlineStr">
        <is>
          <t>5:13</t>
        </is>
      </c>
      <c r="C562" t="inlineStr">
        <is>
          <t>direction of skimming and scanning and</t>
        </is>
      </c>
      <c r="D562">
        <f>HYPERLINK("https://www.youtube.com/watch?v=HjJYvLH_FGw&amp;t=313s", "Go to time")</f>
        <v/>
      </c>
    </row>
    <row r="563">
      <c r="A563">
        <f>HYPERLINK("https://www.youtube.com/watch?v=iV_4YLMIleg", "Video")</f>
        <v/>
      </c>
      <c r="B563" t="inlineStr">
        <is>
          <t>0:25</t>
        </is>
      </c>
      <c r="C563" t="inlineStr">
        <is>
          <t>senior director for near East and South</t>
        </is>
      </c>
      <c r="D563">
        <f>HYPERLINK("https://www.youtube.com/watch?v=iV_4YLMIleg&amp;t=25s", "Go to time")</f>
        <v/>
      </c>
    </row>
    <row r="564">
      <c r="A564">
        <f>HYPERLINK("https://www.youtube.com/watch?v=iV_4YLMIleg", "Video")</f>
        <v/>
      </c>
      <c r="B564" t="inlineStr">
        <is>
          <t>1:04</t>
        </is>
      </c>
      <c r="C564" t="inlineStr">
        <is>
          <t>director of the policy planning staff</t>
        </is>
      </c>
      <c r="D564">
        <f>HYPERLINK("https://www.youtube.com/watch?v=iV_4YLMIleg&amp;t=64s", "Go to time")</f>
        <v/>
      </c>
    </row>
    <row r="565">
      <c r="A565">
        <f>HYPERLINK("https://www.youtube.com/watch?v=keMF4mmFTUY", "Video")</f>
        <v/>
      </c>
      <c r="B565" t="inlineStr">
        <is>
          <t>0:19</t>
        </is>
      </c>
      <c r="C565" t="inlineStr">
        <is>
          <t>look in the direction of Sagittarius</t>
        </is>
      </c>
      <c r="D565">
        <f>HYPERLINK("https://www.youtube.com/watch?v=keMF4mmFTUY&amp;t=19s", "Go to time")</f>
        <v/>
      </c>
    </row>
    <row r="566">
      <c r="A566">
        <f>HYPERLINK("https://www.youtube.com/watch?v=98T49cAq4W4", "Video")</f>
        <v/>
      </c>
      <c r="B566" t="inlineStr">
        <is>
          <t>1:43</t>
        </is>
      </c>
      <c r="C566" t="inlineStr">
        <is>
          <t>it in the direction of a therapeutic but</t>
        </is>
      </c>
      <c r="D566">
        <f>HYPERLINK("https://www.youtube.com/watch?v=98T49cAq4W4&amp;t=103s", "Go to time")</f>
        <v/>
      </c>
    </row>
    <row r="567">
      <c r="A567">
        <f>HYPERLINK("https://www.youtube.com/watch?v=98T49cAq4W4", "Video")</f>
        <v/>
      </c>
      <c r="B567" t="inlineStr">
        <is>
          <t>3:57</t>
        </is>
      </c>
      <c r="C567" t="inlineStr">
        <is>
          <t>director</t>
        </is>
      </c>
      <c r="D567">
        <f>HYPERLINK("https://www.youtube.com/watch?v=98T49cAq4W4&amp;t=237s", "Go to time")</f>
        <v/>
      </c>
    </row>
    <row r="568">
      <c r="A568">
        <f>HYPERLINK("https://www.youtube.com/watch?v=zvJfBdC9y0g", "Video")</f>
        <v/>
      </c>
      <c r="B568" t="inlineStr">
        <is>
          <t>0:36</t>
        </is>
      </c>
      <c r="C568" t="inlineStr">
        <is>
          <t>different direction with varietal or</t>
        </is>
      </c>
      <c r="D568">
        <f>HYPERLINK("https://www.youtube.com/watch?v=zvJfBdC9y0g&amp;t=36s", "Go to time")</f>
        <v/>
      </c>
    </row>
    <row r="569">
      <c r="A569">
        <f>HYPERLINK("https://www.youtube.com/watch?v=zSHld8GLw7I", "Video")</f>
        <v/>
      </c>
      <c r="B569" t="inlineStr">
        <is>
          <t>0:15</t>
        </is>
      </c>
      <c r="C569" t="inlineStr">
        <is>
          <t>directly out of college</t>
        </is>
      </c>
      <c r="D569">
        <f>HYPERLINK("https://www.youtube.com/watch?v=zSHld8GLw7I&amp;t=15s", "Go to time")</f>
        <v/>
      </c>
    </row>
    <row r="570">
      <c r="A570">
        <f>HYPERLINK("https://www.youtube.com/watch?v=wCVGY_xy_HA", "Video")</f>
        <v/>
      </c>
      <c r="B570" t="inlineStr">
        <is>
          <t>0:29</t>
        </is>
      </c>
      <c r="C570" t="inlineStr">
        <is>
          <t>in direction that isn't really</t>
        </is>
      </c>
      <c r="D570">
        <f>HYPERLINK("https://www.youtube.com/watch?v=wCVGY_xy_HA&amp;t=29s", "Go to time")</f>
        <v/>
      </c>
    </row>
    <row r="571">
      <c r="A571">
        <f>HYPERLINK("https://www.youtube.com/watch?v=nP2swgDVl5M", "Video")</f>
        <v/>
      </c>
      <c r="B571" t="inlineStr">
        <is>
          <t>5:58</t>
        </is>
      </c>
      <c r="C571" t="inlineStr">
        <is>
          <t>in a more direct way than
some of the language does.</t>
        </is>
      </c>
      <c r="D571">
        <f>HYPERLINK("https://www.youtube.com/watch?v=nP2swgDVl5M&amp;t=358s", "Go to time")</f>
        <v/>
      </c>
    </row>
    <row r="572">
      <c r="A572">
        <f>HYPERLINK("https://www.youtube.com/watch?v=nP2swgDVl5M", "Video")</f>
        <v/>
      </c>
      <c r="B572" t="inlineStr">
        <is>
          <t>7:48</t>
        </is>
      </c>
      <c r="C572" t="inlineStr">
        <is>
          <t>which direction to grow,</t>
        </is>
      </c>
      <c r="D572">
        <f>HYPERLINK("https://www.youtube.com/watch?v=nP2swgDVl5M&amp;t=468s", "Go to time")</f>
        <v/>
      </c>
    </row>
    <row r="573">
      <c r="A573">
        <f>HYPERLINK("https://www.youtube.com/watch?v=nP2swgDVl5M", "Video")</f>
        <v/>
      </c>
      <c r="B573" t="inlineStr">
        <is>
          <t>9:45</t>
        </is>
      </c>
      <c r="C573" t="inlineStr">
        <is>
          <t>and grow in that direction in
order to get to that plant.</t>
        </is>
      </c>
      <c r="D573">
        <f>HYPERLINK("https://www.youtube.com/watch?v=nP2swgDVl5M&amp;t=585s", "Go to time")</f>
        <v/>
      </c>
    </row>
    <row r="574">
      <c r="A574">
        <f>HYPERLINK("https://www.youtube.com/watch?v=2QnRpinVmo4", "Video")</f>
        <v/>
      </c>
      <c r="B574" t="inlineStr">
        <is>
          <t>2:01</t>
        </is>
      </c>
      <c r="C574" t="inlineStr">
        <is>
          <t>for why the direction forward
in time looks different</t>
        </is>
      </c>
      <c r="D574">
        <f>HYPERLINK("https://www.youtube.com/watch?v=2QnRpinVmo4&amp;t=121s", "Go to time")</f>
        <v/>
      </c>
    </row>
    <row r="575">
      <c r="A575">
        <f>HYPERLINK("https://www.youtube.com/watch?v=2QnRpinVmo4", "Video")</f>
        <v/>
      </c>
      <c r="B575" t="inlineStr">
        <is>
          <t>2:05</t>
        </is>
      </c>
      <c r="C575" t="inlineStr">
        <is>
          <t>than the direction backward in time</t>
        </is>
      </c>
      <c r="D575">
        <f>HYPERLINK("https://www.youtube.com/watch?v=2QnRpinVmo4&amp;t=125s", "Go to time")</f>
        <v/>
      </c>
    </row>
    <row r="576">
      <c r="A576">
        <f>HYPERLINK("https://www.youtube.com/watch?v=2QnRpinVmo4", "Video")</f>
        <v/>
      </c>
      <c r="B576" t="inlineStr">
        <is>
          <t>2:07</t>
        </is>
      </c>
      <c r="C576" t="inlineStr">
        <is>
          <t>because entropy only increases
in one direction of time.</t>
        </is>
      </c>
      <c r="D576">
        <f>HYPERLINK("https://www.youtube.com/watch?v=2QnRpinVmo4&amp;t=127s", "Go to time")</f>
        <v/>
      </c>
    </row>
    <row r="577">
      <c r="A577">
        <f>HYPERLINK("https://www.youtube.com/watch?v=IsFShIWlSkE", "Video")</f>
        <v/>
      </c>
      <c r="B577" t="inlineStr">
        <is>
          <t>0:51</t>
        </is>
      </c>
      <c r="C577" t="inlineStr">
        <is>
          <t>Direction my father was a brilliant</t>
        </is>
      </c>
      <c r="D577">
        <f>HYPERLINK("https://www.youtube.com/watch?v=IsFShIWlSkE&amp;t=51s", "Go to time")</f>
        <v/>
      </c>
    </row>
    <row r="578">
      <c r="A578">
        <f>HYPERLINK("https://www.youtube.com/watch?v=AJnKG9GkZ-8", "Video")</f>
        <v/>
      </c>
      <c r="B578" t="inlineStr">
        <is>
          <t>1:12</t>
        </is>
      </c>
      <c r="C578" t="inlineStr">
        <is>
          <t>directly everything that we know to say</t>
        </is>
      </c>
      <c r="D578">
        <f>HYPERLINK("https://www.youtube.com/watch?v=AJnKG9GkZ-8&amp;t=72s", "Go to time")</f>
        <v/>
      </c>
    </row>
    <row r="579">
      <c r="A579">
        <f>HYPERLINK("https://www.youtube.com/watch?v=PDVvYzEdp_s", "Video")</f>
        <v/>
      </c>
      <c r="B579" t="inlineStr">
        <is>
          <t>1:06</t>
        </is>
      </c>
      <c r="C579" t="inlineStr">
        <is>
          <t>And it turns out, hypothetically, that he
is a direct match for all five, okay.</t>
        </is>
      </c>
      <c r="D579">
        <f>HYPERLINK("https://www.youtube.com/watch?v=PDVvYzEdp_s&amp;t=66s", "Go to time")</f>
        <v/>
      </c>
    </row>
    <row r="580">
      <c r="A580">
        <f>HYPERLINK("https://www.youtube.com/watch?v=BJVcjQmUuAs", "Video")</f>
        <v/>
      </c>
      <c r="B580" t="inlineStr">
        <is>
          <t>2:46</t>
        </is>
      </c>
      <c r="C580" t="inlineStr">
        <is>
          <t>book very directly as a letter to one</t>
        </is>
      </c>
      <c r="D580">
        <f>HYPERLINK("https://www.youtube.com/watch?v=BJVcjQmUuAs&amp;t=166s", "Go to time")</f>
        <v/>
      </c>
    </row>
    <row r="581">
      <c r="A581">
        <f>HYPERLINK("https://www.youtube.com/watch?v=BJVcjQmUuAs", "Video")</f>
        <v/>
      </c>
      <c r="B581" t="inlineStr">
        <is>
          <t>3:34</t>
        </is>
      </c>
      <c r="C581" t="inlineStr">
        <is>
          <t>though you were talking directly to me</t>
        </is>
      </c>
      <c r="D581">
        <f>HYPERLINK("https://www.youtube.com/watch?v=BJVcjQmUuAs&amp;t=214s", "Go to time")</f>
        <v/>
      </c>
    </row>
    <row r="582">
      <c r="A582">
        <f>HYPERLINK("https://www.youtube.com/watch?v=BJVcjQmUuAs", "Video")</f>
        <v/>
      </c>
      <c r="B582" t="inlineStr">
        <is>
          <t>3:39</t>
        </is>
      </c>
      <c r="C582" t="inlineStr">
        <is>
          <t>talking directly to one person who is</t>
        </is>
      </c>
      <c r="D582">
        <f>HYPERLINK("https://www.youtube.com/watch?v=BJVcjQmUuAs&amp;t=219s", "Go to time")</f>
        <v/>
      </c>
    </row>
    <row r="583">
      <c r="A583">
        <f>HYPERLINK("https://www.youtube.com/watch?v=543MY0zvDv8", "Video")</f>
        <v/>
      </c>
      <c r="B583" t="inlineStr">
        <is>
          <t>5:04</t>
        </is>
      </c>
      <c r="C583" t="inlineStr">
        <is>
          <t>in the other direction but an example</t>
        </is>
      </c>
      <c r="D583">
        <f>HYPERLINK("https://www.youtube.com/watch?v=543MY0zvDv8&amp;t=304s", "Go to time")</f>
        <v/>
      </c>
    </row>
    <row r="584">
      <c r="A584">
        <f>HYPERLINK("https://www.youtube.com/watch?v=laqVpplmRWo", "Video")</f>
        <v/>
      </c>
      <c r="B584" t="inlineStr">
        <is>
          <t>2:42</t>
        </is>
      </c>
      <c r="C584" t="inlineStr">
        <is>
          <t>made, we would notice when politicians were
misdirecting us by playing on our emotions,</t>
        </is>
      </c>
      <c r="D584">
        <f>HYPERLINK("https://www.youtube.com/watch?v=laqVpplmRWo&amp;t=162s", "Go to time")</f>
        <v/>
      </c>
    </row>
    <row r="585">
      <c r="A585">
        <f>HYPERLINK("https://www.youtube.com/watch?v=AAw_ZfGV9T4", "Video")</f>
        <v/>
      </c>
      <c r="B585" t="inlineStr">
        <is>
          <t>3:41</t>
        </is>
      </c>
      <c r="C585" t="inlineStr">
        <is>
          <t>direct decisive</t>
        </is>
      </c>
      <c r="D585">
        <f>HYPERLINK("https://www.youtube.com/watch?v=AAw_ZfGV9T4&amp;t=221s", "Go to time")</f>
        <v/>
      </c>
    </row>
    <row r="586">
      <c r="A586">
        <f>HYPERLINK("https://www.youtube.com/watch?v=AAw_ZfGV9T4", "Video")</f>
        <v/>
      </c>
      <c r="B586" t="inlineStr">
        <is>
          <t>4:32</t>
        </is>
      </c>
      <c r="C586" t="inlineStr">
        <is>
          <t>director uh needs the compassion and the</t>
        </is>
      </c>
      <c r="D586">
        <f>HYPERLINK("https://www.youtube.com/watch?v=AAw_ZfGV9T4&amp;t=272s", "Go to time")</f>
        <v/>
      </c>
    </row>
    <row r="587">
      <c r="A587">
        <f>HYPERLINK("https://www.youtube.com/watch?v=AAw_ZfGV9T4", "Video")</f>
        <v/>
      </c>
      <c r="B587" t="inlineStr">
        <is>
          <t>4:44</t>
        </is>
      </c>
      <c r="C587" t="inlineStr">
        <is>
          <t>uh directness the ambitiousness of the</t>
        </is>
      </c>
      <c r="D587">
        <f>HYPERLINK("https://www.youtube.com/watch?v=AAw_ZfGV9T4&amp;t=284s", "Go to time")</f>
        <v/>
      </c>
    </row>
    <row r="588">
      <c r="A588">
        <f>HYPERLINK("https://www.youtube.com/watch?v=2bZi3Xm9tJE", "Video")</f>
        <v/>
      </c>
      <c r="B588" t="inlineStr">
        <is>
          <t>6:58</t>
        </is>
      </c>
      <c r="C588" t="inlineStr">
        <is>
          <t>and the multiverse is sort
of a nudge in that direction,</t>
        </is>
      </c>
      <c r="D588">
        <f>HYPERLINK("https://www.youtube.com/watch?v=2bZi3Xm9tJE&amp;t=418s", "Go to time")</f>
        <v/>
      </c>
    </row>
    <row r="589">
      <c r="A589">
        <f>HYPERLINK("https://www.youtube.com/watch?v=diz_thqAO0c", "Video")</f>
        <v/>
      </c>
      <c r="B589" t="inlineStr">
        <is>
          <t>1:18</t>
        </is>
      </c>
      <c r="C589" t="inlineStr">
        <is>
          <t>a direction that isn't</t>
        </is>
      </c>
      <c r="D589">
        <f>HYPERLINK("https://www.youtube.com/watch?v=diz_thqAO0c&amp;t=78s", "Go to time")</f>
        <v/>
      </c>
    </row>
    <row r="590">
      <c r="A590">
        <f>HYPERLINK("https://www.youtube.com/watch?v=diz_thqAO0c", "Video")</f>
        <v/>
      </c>
      <c r="B590" t="inlineStr">
        <is>
          <t>2:11</t>
        </is>
      </c>
      <c r="C590" t="inlineStr">
        <is>
          <t>paths and a lot of different directions</t>
        </is>
      </c>
      <c r="D590">
        <f>HYPERLINK("https://www.youtube.com/watch?v=diz_thqAO0c&amp;t=131s", "Go to time")</f>
        <v/>
      </c>
    </row>
    <row r="591">
      <c r="A591">
        <f>HYPERLINK("https://www.youtube.com/watch?v=iBHN9WTuqDk", "Video")</f>
        <v/>
      </c>
      <c r="B591" t="inlineStr">
        <is>
          <t>2:50</t>
        </is>
      </c>
      <c r="C591" t="inlineStr">
        <is>
          <t>so that kind of hand food directly out</t>
        </is>
      </c>
      <c r="D591">
        <f>HYPERLINK("https://www.youtube.com/watch?v=iBHN9WTuqDk&amp;t=170s", "Go to time")</f>
        <v/>
      </c>
    </row>
    <row r="592">
      <c r="A592">
        <f>HYPERLINK("https://www.youtube.com/watch?v=sSMhtjCuEv8", "Video")</f>
        <v/>
      </c>
      <c r="B592" t="inlineStr">
        <is>
          <t>4:36</t>
        </is>
      </c>
      <c r="C592" t="inlineStr">
        <is>
          <t>almost directly adjacent to this uh</t>
        </is>
      </c>
      <c r="D592">
        <f>HYPERLINK("https://www.youtube.com/watch?v=sSMhtjCuEv8&amp;t=276s", "Go to time")</f>
        <v/>
      </c>
    </row>
    <row r="593">
      <c r="A593">
        <f>HYPERLINK("https://www.youtube.com/watch?v=BkmOPUOb9RM", "Video")</f>
        <v/>
      </c>
      <c r="B593" t="inlineStr">
        <is>
          <t>0:28</t>
        </is>
      </c>
      <c r="C593" t="inlineStr">
        <is>
          <t>should be not Direct ly to patients but</t>
        </is>
      </c>
      <c r="D593">
        <f>HYPERLINK("https://www.youtube.com/watch?v=BkmOPUOb9RM&amp;t=28s", "Go to time")</f>
        <v/>
      </c>
    </row>
    <row r="594">
      <c r="A594">
        <f>HYPERLINK("https://www.youtube.com/watch?v=t8efcxvKPAQ", "Video")</f>
        <v/>
      </c>
      <c r="B594" t="inlineStr">
        <is>
          <t>4:12</t>
        </is>
      </c>
      <c r="C594" t="inlineStr">
        <is>
          <t>But it's not a direct motivation.</t>
        </is>
      </c>
      <c r="D594">
        <f>HYPERLINK("https://www.youtube.com/watch?v=t8efcxvKPAQ&amp;t=252s", "Go to time")</f>
        <v/>
      </c>
    </row>
    <row r="595">
      <c r="A595">
        <f>HYPERLINK("https://www.youtube.com/watch?v=i57ktcP4FaE", "Video")</f>
        <v/>
      </c>
      <c r="B595" t="inlineStr">
        <is>
          <t>1:28</t>
        </is>
      </c>
      <c r="C595" t="inlineStr">
        <is>
          <t>sunlight directly into the middle if you</t>
        </is>
      </c>
      <c r="D595">
        <f>HYPERLINK("https://www.youtube.com/watch?v=i57ktcP4FaE&amp;t=88s", "Go to time")</f>
        <v/>
      </c>
    </row>
    <row r="596">
      <c r="A596">
        <f>HYPERLINK("https://www.youtube.com/watch?v=i57ktcP4FaE", "Video")</f>
        <v/>
      </c>
      <c r="B596" t="inlineStr">
        <is>
          <t>1:56</t>
        </is>
      </c>
      <c r="C596" t="inlineStr">
        <is>
          <t>any direction it's got geothermal energy</t>
        </is>
      </c>
      <c r="D596">
        <f>HYPERLINK("https://www.youtube.com/watch?v=i57ktcP4FaE&amp;t=116s", "Go to time")</f>
        <v/>
      </c>
    </row>
    <row r="597">
      <c r="A597">
        <f>HYPERLINK("https://www.youtube.com/watch?v=lxklC5zaK00", "Video")</f>
        <v/>
      </c>
      <c r="B597" t="inlineStr">
        <is>
          <t>3:30</t>
        </is>
      </c>
      <c r="C597" t="inlineStr">
        <is>
          <t>promising directors and producers and</t>
        </is>
      </c>
      <c r="D597">
        <f>HYPERLINK("https://www.youtube.com/watch?v=lxklC5zaK00&amp;t=210s", "Go to time")</f>
        <v/>
      </c>
    </row>
    <row r="598">
      <c r="A598">
        <f>HYPERLINK("https://www.youtube.com/watch?v=YeYL5QV1zRc", "Video")</f>
        <v/>
      </c>
      <c r="B598" t="inlineStr">
        <is>
          <t>3:09</t>
        </is>
      </c>
      <c r="C598" t="inlineStr">
        <is>
          <t>argument it's like a director in a play</t>
        </is>
      </c>
      <c r="D598">
        <f>HYPERLINK("https://www.youtube.com/watch?v=YeYL5QV1zRc&amp;t=189s", "Go to time")</f>
        <v/>
      </c>
    </row>
    <row r="599">
      <c r="A599">
        <f>HYPERLINK("https://www.youtube.com/watch?v=YeYL5QV1zRc", "Video")</f>
        <v/>
      </c>
      <c r="B599" t="inlineStr">
        <is>
          <t>3:19</t>
        </is>
      </c>
      <c r="C599" t="inlineStr">
        <is>
          <t>literate uh what do they need a director</t>
        </is>
      </c>
      <c r="D599">
        <f>HYPERLINK("https://www.youtube.com/watch?v=YeYL5QV1zRc&amp;t=199s", "Go to time")</f>
        <v/>
      </c>
    </row>
    <row r="600">
      <c r="A600">
        <f>HYPERLINK("https://www.youtube.com/watch?v=YeYL5QV1zRc", "Video")</f>
        <v/>
      </c>
      <c r="B600" t="inlineStr">
        <is>
          <t>3:20</t>
        </is>
      </c>
      <c r="C600" t="inlineStr">
        <is>
          <t>for but we think they need a director</t>
        </is>
      </c>
      <c r="D600">
        <f>HYPERLINK("https://www.youtube.com/watch?v=YeYL5QV1zRc&amp;t=200s", "Go to time")</f>
        <v/>
      </c>
    </row>
    <row r="601">
      <c r="A601">
        <f>HYPERLINK("https://www.youtube.com/watch?v=YeYL5QV1zRc", "Video")</f>
        <v/>
      </c>
      <c r="B601" t="inlineStr">
        <is>
          <t>3:22</t>
        </is>
      </c>
      <c r="C601" t="inlineStr">
        <is>
          <t>even though the director is invisible in</t>
        </is>
      </c>
      <c r="D601">
        <f>HYPERLINK("https://www.youtube.com/watch?v=YeYL5QV1zRc&amp;t=202s", "Go to time")</f>
        <v/>
      </c>
    </row>
    <row r="602">
      <c r="A602">
        <f>HYPERLINK("https://www.youtube.com/watch?v=YeYL5QV1zRc", "Video")</f>
        <v/>
      </c>
      <c r="B602" t="inlineStr">
        <is>
          <t>3:27</t>
        </is>
      </c>
      <c r="C602" t="inlineStr">
        <is>
          <t>kind of art form the director is visible</t>
        </is>
      </c>
      <c r="D602">
        <f>HYPERLINK("https://www.youtube.com/watch?v=YeYL5QV1zRc&amp;t=207s", "Go to time")</f>
        <v/>
      </c>
    </row>
    <row r="603">
      <c r="A603">
        <f>HYPERLINK("https://www.youtube.com/watch?v=4VUcyqQIomU", "Video")</f>
        <v/>
      </c>
      <c r="B603" t="inlineStr">
        <is>
          <t>2:06</t>
        </is>
      </c>
      <c r="C603" t="inlineStr">
        <is>
          <t>laboratory director corporate board</t>
        </is>
      </c>
      <c r="D603">
        <f>HYPERLINK("https://www.youtube.com/watch?v=4VUcyqQIomU&amp;t=126s", "Go to time")</f>
        <v/>
      </c>
    </row>
    <row r="604">
      <c r="A604">
        <f>HYPERLINK("https://www.youtube.com/watch?v=4VUcyqQIomU", "Video")</f>
        <v/>
      </c>
      <c r="B604" t="inlineStr">
        <is>
          <t>2:09</t>
        </is>
      </c>
      <c r="C604" t="inlineStr">
        <is>
          <t>director advisor and entrepreneur he</t>
        </is>
      </c>
      <c r="D604">
        <f>HYPERLINK("https://www.youtube.com/watch?v=4VUcyqQIomU&amp;t=129s", "Go to time")</f>
        <v/>
      </c>
    </row>
    <row r="605">
      <c r="A605">
        <f>HYPERLINK("https://www.youtube.com/watch?v=4VUcyqQIomU", "Video")</f>
        <v/>
      </c>
      <c r="B605" t="inlineStr">
        <is>
          <t>2:23</t>
        </is>
      </c>
      <c r="C605" t="inlineStr">
        <is>
          <t>Director of the highly acclaimed Xerox</t>
        </is>
      </c>
      <c r="D605">
        <f>HYPERLINK("https://www.youtube.com/watch?v=4VUcyqQIomU&amp;t=143s", "Go to time")</f>
        <v/>
      </c>
    </row>
    <row r="606">
      <c r="A606">
        <f>HYPERLINK("https://www.youtube.com/watch?v=4VUcyqQIomU", "Video")</f>
        <v/>
      </c>
      <c r="B606" t="inlineStr">
        <is>
          <t>3:41</t>
        </is>
      </c>
      <c r="C606" t="inlineStr">
        <is>
          <t>of directors he has published over a 100</t>
        </is>
      </c>
      <c r="D606">
        <f>HYPERLINK("https://www.youtube.com/watch?v=4VUcyqQIomU&amp;t=221s", "Go to time")</f>
        <v/>
      </c>
    </row>
    <row r="607">
      <c r="A607">
        <f>HYPERLINK("https://www.youtube.com/watch?v=gjIC7BA0wRg", "Video")</f>
        <v/>
      </c>
      <c r="B607" t="inlineStr">
        <is>
          <t>3:01</t>
        </is>
      </c>
      <c r="C607" t="inlineStr">
        <is>
          <t>a lot of information U directly at their</t>
        </is>
      </c>
      <c r="D607">
        <f>HYPERLINK("https://www.youtube.com/watch?v=gjIC7BA0wRg&amp;t=181s", "Go to time")</f>
        <v/>
      </c>
    </row>
    <row r="608">
      <c r="A608">
        <f>HYPERLINK("https://www.youtube.com/watch?v=4jyo6-3Zr5w", "Video")</f>
        <v/>
      </c>
      <c r="B608" t="inlineStr">
        <is>
          <t>1:53</t>
        </is>
      </c>
      <c r="C608" t="inlineStr">
        <is>
          <t>direct investment uh recipient from</t>
        </is>
      </c>
      <c r="D608">
        <f>HYPERLINK("https://www.youtube.com/watch?v=4jyo6-3Zr5w&amp;t=113s", "Go to time")</f>
        <v/>
      </c>
    </row>
    <row r="609">
      <c r="A609">
        <f>HYPERLINK("https://www.youtube.com/watch?v=hjDcuWTu5qs", "Video")</f>
        <v/>
      </c>
      <c r="B609" t="inlineStr">
        <is>
          <t>3:52</t>
        </is>
      </c>
      <c r="C609" t="inlineStr">
        <is>
          <t>Our methods are indirect.</t>
        </is>
      </c>
      <c r="D609">
        <f>HYPERLINK("https://www.youtube.com/watch?v=hjDcuWTu5qs&amp;t=232s", "Go to time")</f>
        <v/>
      </c>
    </row>
    <row r="610">
      <c r="A610">
        <f>HYPERLINK("https://www.youtube.com/watch?v=Vfkcg05_uUg", "Video")</f>
        <v/>
      </c>
      <c r="B610" t="inlineStr">
        <is>
          <t>0:18</t>
        </is>
      </c>
      <c r="C610" t="inlineStr">
        <is>
          <t>directly aim at pleasure that's where</t>
        </is>
      </c>
      <c r="D610">
        <f>HYPERLINK("https://www.youtube.com/watch?v=Vfkcg05_uUg&amp;t=18s", "Go to time")</f>
        <v/>
      </c>
    </row>
    <row r="611">
      <c r="A611">
        <f>HYPERLINK("https://www.youtube.com/watch?v=Vfkcg05_uUg", "Video")</f>
        <v/>
      </c>
      <c r="B611" t="inlineStr">
        <is>
          <t>0:22</t>
        </is>
      </c>
      <c r="C611" t="inlineStr">
        <is>
          <t>directly aim at pleasure seldom get it</t>
        </is>
      </c>
      <c r="D611">
        <f>HYPERLINK("https://www.youtube.com/watch?v=Vfkcg05_uUg&amp;t=22s", "Go to time")</f>
        <v/>
      </c>
    </row>
    <row r="612">
      <c r="A612">
        <f>HYPERLINK("https://www.youtube.com/watch?v=r4d6kI_b88o", "Video")</f>
        <v/>
      </c>
      <c r="B612" t="inlineStr">
        <is>
          <t>1:18</t>
        </is>
      </c>
      <c r="C612" t="inlineStr">
        <is>
          <t>My title is Emeritus
Director of SETI Research.</t>
        </is>
      </c>
      <c r="D612">
        <f>HYPERLINK("https://www.youtube.com/watch?v=r4d6kI_b88o&amp;t=78s", "Go to time")</f>
        <v/>
      </c>
    </row>
    <row r="613">
      <c r="A613">
        <f>HYPERLINK("https://www.youtube.com/watch?v=UNEhoKKa3f4", "Video")</f>
        <v/>
      </c>
      <c r="B613" t="inlineStr">
        <is>
          <t>1:28</t>
        </is>
      </c>
      <c r="C613" t="inlineStr">
        <is>
          <t>object throw it in that dire Direction</t>
        </is>
      </c>
      <c r="D613">
        <f>HYPERLINK("https://www.youtube.com/watch?v=UNEhoKKa3f4&amp;t=88s", "Go to time")</f>
        <v/>
      </c>
    </row>
    <row r="614">
      <c r="A614">
        <f>HYPERLINK("https://www.youtube.com/watch?v=bcQJIQmasdo", "Video")</f>
        <v/>
      </c>
      <c r="B614" t="inlineStr">
        <is>
          <t>6:44</t>
        </is>
      </c>
      <c r="C614" t="inlineStr">
        <is>
          <t>directly to vice presidency but he never</t>
        </is>
      </c>
      <c r="D614">
        <f>HYPERLINK("https://www.youtube.com/watch?v=bcQJIQmasdo&amp;t=404s", "Go to time")</f>
        <v/>
      </c>
    </row>
    <row r="615">
      <c r="A615">
        <f>HYPERLINK("https://www.youtube.com/watch?v=4VORyiW4qmo", "Video")</f>
        <v/>
      </c>
      <c r="B615" t="inlineStr">
        <is>
          <t>2:40</t>
        </is>
      </c>
      <c r="C615" t="inlineStr">
        <is>
          <t>subject the object the indirect object</t>
        </is>
      </c>
      <c r="D615">
        <f>HYPERLINK("https://www.youtube.com/watch?v=4VORyiW4qmo&amp;t=160s", "Go to time")</f>
        <v/>
      </c>
    </row>
    <row r="616">
      <c r="A616">
        <f>HYPERLINK("https://www.youtube.com/watch?v=4VORyiW4qmo", "Video")</f>
        <v/>
      </c>
      <c r="B616" t="inlineStr">
        <is>
          <t>7:35</t>
        </is>
      </c>
      <c r="C616" t="inlineStr">
        <is>
          <t>indirectly um the ideas that people may</t>
        </is>
      </c>
      <c r="D616">
        <f>HYPERLINK("https://www.youtube.com/watch?v=4VORyiW4qmo&amp;t=455s", "Go to time")</f>
        <v/>
      </c>
    </row>
    <row r="617">
      <c r="A617">
        <f>HYPERLINK("https://www.youtube.com/watch?v=iUfcHTNDsTQ", "Video")</f>
        <v/>
      </c>
      <c r="B617" t="inlineStr">
        <is>
          <t>1:46</t>
        </is>
      </c>
      <c r="C617" t="inlineStr">
        <is>
          <t>director of Iva had a kind of a really</t>
        </is>
      </c>
      <c r="D617">
        <f>HYPERLINK("https://www.youtube.com/watch?v=iUfcHTNDsTQ&amp;t=106s", "Go to time")</f>
        <v/>
      </c>
    </row>
    <row r="618">
      <c r="A618">
        <f>HYPERLINK("https://www.youtube.com/watch?v=8zfGSbybB10", "Video")</f>
        <v/>
      </c>
      <c r="B618" t="inlineStr">
        <is>
          <t>3:51</t>
        </is>
      </c>
      <c r="C618" t="inlineStr">
        <is>
          <t>Scandal so in a way indirectly he had</t>
        </is>
      </c>
      <c r="D618">
        <f>HYPERLINK("https://www.youtube.com/watch?v=8zfGSbybB10&amp;t=231s", "Go to time")</f>
        <v/>
      </c>
    </row>
    <row r="619">
      <c r="A619">
        <f>HYPERLINK("https://www.youtube.com/watch?v=GHKyDYtKGEg", "Video")</f>
        <v/>
      </c>
      <c r="B619" t="inlineStr">
        <is>
          <t>3:02</t>
        </is>
      </c>
      <c r="C619" t="inlineStr">
        <is>
          <t>Andrew Johnson was a director</t>
        </is>
      </c>
      <c r="D619">
        <f>HYPERLINK("https://www.youtube.com/watch?v=GHKyDYtKGEg&amp;t=182s", "Go to time")</f>
        <v/>
      </c>
    </row>
    <row r="620">
      <c r="A620">
        <f>HYPERLINK("https://www.youtube.com/watch?v=O-Ith3X1x9k", "Video")</f>
        <v/>
      </c>
      <c r="B620" t="inlineStr">
        <is>
          <t>1:27</t>
        </is>
      </c>
      <c r="C620" t="inlineStr">
        <is>
          <t>in mindfulness and acceptance methods that
were directly of benefit to me than in the</t>
        </is>
      </c>
      <c r="D620">
        <f>HYPERLINK("https://www.youtube.com/watch?v=O-Ith3X1x9k&amp;t=87s", "Go to time")</f>
        <v/>
      </c>
    </row>
    <row r="621">
      <c r="A621">
        <f>HYPERLINK("https://www.youtube.com/watch?v=O-Ith3X1x9k", "Video")</f>
        <v/>
      </c>
      <c r="B621" t="inlineStr">
        <is>
          <t>3:02</t>
        </is>
      </c>
      <c r="C621" t="inlineStr">
        <is>
          <t>on they were trying to apply behavioral principles
mostly developed with animal models directly</t>
        </is>
      </c>
      <c r="D621">
        <f>HYPERLINK("https://www.youtube.com/watch?v=O-Ith3X1x9k&amp;t=182s", "Go to time")</f>
        <v/>
      </c>
    </row>
    <row r="622">
      <c r="A622">
        <f>HYPERLINK("https://www.youtube.com/watch?v=O-Ith3X1x9k", "Video")</f>
        <v/>
      </c>
      <c r="B622" t="inlineStr">
        <is>
          <t>5:20</t>
        </is>
      </c>
      <c r="C622" t="inlineStr">
        <is>
          <t>And it turns out that that's, we think, a
quicker and more direct way, a more certain</t>
        </is>
      </c>
      <c r="D622">
        <f>HYPERLINK("https://www.youtube.com/watch?v=O-Ith3X1x9k&amp;t=320s", "Go to time")</f>
        <v/>
      </c>
    </row>
    <row r="623">
      <c r="A623">
        <f>HYPERLINK("https://www.youtube.com/watch?v=O-Ith3X1x9k", "Video")</f>
        <v/>
      </c>
      <c r="B623" t="inlineStr">
        <is>
          <t>5:56</t>
        </is>
      </c>
      <c r="C623" t="inlineStr">
        <is>
          <t>it, see what's there, learn from it, and move
ahead directly towards the kind of lives that</t>
        </is>
      </c>
      <c r="D623">
        <f>HYPERLINK("https://www.youtube.com/watch?v=O-Ith3X1x9k&amp;t=356s", "Go to time")</f>
        <v/>
      </c>
    </row>
    <row r="624">
      <c r="A624">
        <f>HYPERLINK("https://www.youtube.com/watch?v=O-Ith3X1x9k", "Video")</f>
        <v/>
      </c>
      <c r="B624" t="inlineStr">
        <is>
          <t>9:39</t>
        </is>
      </c>
      <c r="C624" t="inlineStr">
        <is>
          <t>can direct you when the cacophony gets very
noisy and you get confused and lost, that</t>
        </is>
      </c>
      <c r="D624">
        <f>HYPERLINK("https://www.youtube.com/watch?v=O-Ith3X1x9k&amp;t=579s", "Go to time")</f>
        <v/>
      </c>
    </row>
    <row r="625">
      <c r="A625">
        <f>HYPERLINK("https://www.youtube.com/watch?v=O-Ith3X1x9k", "Video")</f>
        <v/>
      </c>
      <c r="B625" t="inlineStr">
        <is>
          <t>9:45</t>
        </is>
      </c>
      <c r="C625" t="inlineStr">
        <is>
          <t>can direct you towards what you care about.</t>
        </is>
      </c>
      <c r="D625">
        <f>HYPERLINK("https://www.youtube.com/watch?v=O-Ith3X1x9k&amp;t=585s", "Go to time")</f>
        <v/>
      </c>
    </row>
    <row r="626">
      <c r="A626">
        <f>HYPERLINK("https://www.youtube.com/watch?v=O-Ith3X1x9k", "Video")</f>
        <v/>
      </c>
      <c r="B626" t="inlineStr">
        <is>
          <t>24:17</t>
        </is>
      </c>
      <c r="C626" t="inlineStr">
        <is>
          <t>planet that allow pharmaceutical companies
to market directly to people, New Zealand</t>
        </is>
      </c>
      <c r="D626">
        <f>HYPERLINK("https://www.youtube.com/watch?v=O-Ith3X1x9k&amp;t=1457s", "Go to time")</f>
        <v/>
      </c>
    </row>
    <row r="627">
      <c r="A627">
        <f>HYPERLINK("https://www.youtube.com/watch?v=O-Ith3X1x9k", "Video")</f>
        <v/>
      </c>
      <c r="B627" t="inlineStr">
        <is>
          <t>26:01</t>
        </is>
      </c>
      <c r="C627" t="inlineStr">
        <is>
          <t>Now can we go in there and learn some of these
methods directly to do that?</t>
        </is>
      </c>
      <c r="D627">
        <f>HYPERLINK("https://www.youtube.com/watch?v=O-Ith3X1x9k&amp;t=1561s", "Go to time")</f>
        <v/>
      </c>
    </row>
    <row r="628">
      <c r="A628">
        <f>HYPERLINK("https://www.youtube.com/watch?v=8ybA6SScQ8A", "Video")</f>
        <v/>
      </c>
      <c r="B628" t="inlineStr">
        <is>
          <t>1:04</t>
        </is>
      </c>
      <c r="C628" t="inlineStr">
        <is>
          <t>directly into these receptors and don't</t>
        </is>
      </c>
      <c r="D628">
        <f>HYPERLINK("https://www.youtube.com/watch?v=8ybA6SScQ8A&amp;t=64s", "Go to time")</f>
        <v/>
      </c>
    </row>
    <row r="629">
      <c r="A629">
        <f>HYPERLINK("https://www.youtube.com/watch?v=hhoTJ-hBfOo", "Video")</f>
        <v/>
      </c>
      <c r="B629" t="inlineStr">
        <is>
          <t>0:13</t>
        </is>
      </c>
      <c r="C629" t="inlineStr">
        <is>
          <t>the most direct route to the structure</t>
        </is>
      </c>
      <c r="D629">
        <f>HYPERLINK("https://www.youtube.com/watch?v=hhoTJ-hBfOo&amp;t=13s", "Go to time")</f>
        <v/>
      </c>
    </row>
    <row r="630">
      <c r="A630">
        <f>HYPERLINK("https://www.youtube.com/watch?v=S0xvS0Nsj6s", "Video")</f>
        <v/>
      </c>
      <c r="B630" t="inlineStr">
        <is>
          <t>0:24</t>
        </is>
      </c>
      <c r="C630" t="inlineStr">
        <is>
          <t>go around in the same direction.</t>
        </is>
      </c>
      <c r="D630">
        <f>HYPERLINK("https://www.youtube.com/watch?v=S0xvS0Nsj6s&amp;t=24s", "Go to time")</f>
        <v/>
      </c>
    </row>
    <row r="631">
      <c r="A631">
        <f>HYPERLINK("https://www.youtube.com/watch?v=S0xvS0Nsj6s", "Video")</f>
        <v/>
      </c>
      <c r="B631" t="inlineStr">
        <is>
          <t>0:32</t>
        </is>
      </c>
      <c r="C631" t="inlineStr">
        <is>
          <t>and they all go around
in the same direction.</t>
        </is>
      </c>
      <c r="D631">
        <f>HYPERLINK("https://www.youtube.com/watch?v=S0xvS0Nsj6s&amp;t=32s", "Go to time")</f>
        <v/>
      </c>
    </row>
    <row r="632">
      <c r="A632">
        <f>HYPERLINK("https://www.youtube.com/watch?v=S0xvS0Nsj6s", "Video")</f>
        <v/>
      </c>
      <c r="B632" t="inlineStr">
        <is>
          <t>2:31</t>
        </is>
      </c>
      <c r="C632" t="inlineStr">
        <is>
          <t>it's ?] kind of all
moving in one direction.</t>
        </is>
      </c>
      <c r="D632">
        <f>HYPERLINK("https://www.youtube.com/watch?v=S0xvS0Nsj6s&amp;t=151s", "Go to time")</f>
        <v/>
      </c>
    </row>
    <row r="633">
      <c r="A633">
        <f>HYPERLINK("https://www.youtube.com/watch?v=S0xvS0Nsj6s", "Video")</f>
        <v/>
      </c>
      <c r="B633" t="inlineStr">
        <is>
          <t>2:50</t>
        </is>
      </c>
      <c r="C633" t="inlineStr">
        <is>
          <t>And so as the cloud collapses,
any little directional drift</t>
        </is>
      </c>
      <c r="D633">
        <f>HYPERLINK("https://www.youtube.com/watch?v=S0xvS0Nsj6s&amp;t=170s", "Go to time")</f>
        <v/>
      </c>
    </row>
    <row r="634">
      <c r="A634">
        <f>HYPERLINK("https://www.youtube.com/watch?v=S0xvS0Nsj6s", "Video")</f>
        <v/>
      </c>
      <c r="B634" t="inlineStr">
        <is>
          <t>3:10</t>
        </is>
      </c>
      <c r="C634" t="inlineStr">
        <is>
          <t>it might not even be that
things are colliding directly,</t>
        </is>
      </c>
      <c r="D634">
        <f>HYPERLINK("https://www.youtube.com/watch?v=S0xvS0Nsj6s&amp;t=190s", "Go to time")</f>
        <v/>
      </c>
    </row>
    <row r="635">
      <c r="A635">
        <f>HYPERLINK("https://www.youtube.com/watch?v=S0xvS0Nsj6s", "Video")</f>
        <v/>
      </c>
      <c r="B635" t="inlineStr">
        <is>
          <t>3:27</t>
        </is>
      </c>
      <c r="C635" t="inlineStr">
        <is>
          <t>The particles have motion
in every direction.</t>
        </is>
      </c>
      <c r="D635">
        <f>HYPERLINK("https://www.youtube.com/watch?v=S0xvS0Nsj6s&amp;t=207s", "Go to time")</f>
        <v/>
      </c>
    </row>
    <row r="636">
      <c r="A636">
        <f>HYPERLINK("https://www.youtube.com/watch?v=S0xvS0Nsj6s", "Video")</f>
        <v/>
      </c>
      <c r="B636" t="inlineStr">
        <is>
          <t>4:10</t>
        </is>
      </c>
      <c r="C636" t="inlineStr">
        <is>
          <t>So it makes sense that they're
all going in the same direction.</t>
        </is>
      </c>
      <c r="D636">
        <f>HYPERLINK("https://www.youtube.com/watch?v=S0xvS0Nsj6s&amp;t=250s", "Go to time")</f>
        <v/>
      </c>
    </row>
    <row r="637">
      <c r="A637">
        <f>HYPERLINK("https://www.youtube.com/watch?v=qdzNKQwkp-Y", "Video")</f>
        <v/>
      </c>
      <c r="B637" t="inlineStr">
        <is>
          <t>7:03</t>
        </is>
      </c>
      <c r="C637" t="inlineStr">
        <is>
          <t>in the direction of greater rationality.</t>
        </is>
      </c>
      <c r="D637">
        <f>HYPERLINK("https://www.youtube.com/watch?v=qdzNKQwkp-Y&amp;t=423s", "Go to time")</f>
        <v/>
      </c>
    </row>
    <row r="638">
      <c r="A638">
        <f>HYPERLINK("https://www.youtube.com/watch?v=5U4S4ki4YZs", "Video")</f>
        <v/>
      </c>
      <c r="B638" t="inlineStr">
        <is>
          <t>0:52</t>
        </is>
      </c>
      <c r="C638" t="inlineStr">
        <is>
          <t>to social worker to
critically acclaimed director.</t>
        </is>
      </c>
      <c r="D638">
        <f>HYPERLINK("https://www.youtube.com/watch?v=5U4S4ki4YZs&amp;t=52s", "Go to time")</f>
        <v/>
      </c>
    </row>
    <row r="639">
      <c r="A639">
        <f>HYPERLINK("https://www.youtube.com/watch?v=5U4S4ki4YZs", "Video")</f>
        <v/>
      </c>
      <c r="B639" t="inlineStr">
        <is>
          <t>11:40</t>
        </is>
      </c>
      <c r="C639" t="inlineStr">
        <is>
          <t>in the direction of saleability.</t>
        </is>
      </c>
      <c r="D639">
        <f>HYPERLINK("https://www.youtube.com/watch?v=5U4S4ki4YZs&amp;t=700s", "Go to time")</f>
        <v/>
      </c>
    </row>
    <row r="640">
      <c r="A640">
        <f>HYPERLINK("https://www.youtube.com/watch?v=5U4S4ki4YZs", "Video")</f>
        <v/>
      </c>
      <c r="B640" t="inlineStr">
        <is>
          <t>20:43</t>
        </is>
      </c>
      <c r="C640" t="inlineStr">
        <is>
          <t>that indirectly led to
his career in Hollywood.</t>
        </is>
      </c>
      <c r="D640">
        <f>HYPERLINK("https://www.youtube.com/watch?v=5U4S4ki4YZs&amp;t=1243s", "Go to time")</f>
        <v/>
      </c>
    </row>
    <row r="641">
      <c r="A641">
        <f>HYPERLINK("https://www.youtube.com/watch?v=95y6SB8SnG8", "Video")</f>
        <v/>
      </c>
      <c r="B641" t="inlineStr">
        <is>
          <t>0:44</t>
        </is>
      </c>
      <c r="C641" t="inlineStr">
        <is>
          <t>in that uh Direction the other direction</t>
        </is>
      </c>
      <c r="D641">
        <f>HYPERLINK("https://www.youtube.com/watch?v=95y6SB8SnG8&amp;t=44s", "Go to time")</f>
        <v/>
      </c>
    </row>
    <row r="642">
      <c r="A642">
        <f>HYPERLINK("https://www.youtube.com/watch?v=icuRP74BPd4", "Video")</f>
        <v/>
      </c>
      <c r="B642" t="inlineStr">
        <is>
          <t>10:07</t>
        </is>
      </c>
      <c r="C642" t="inlineStr">
        <is>
          <t>in terms of the the the direction that</t>
        </is>
      </c>
      <c r="D642">
        <f>HYPERLINK("https://www.youtube.com/watch?v=icuRP74BPd4&amp;t=607s", "Go to time")</f>
        <v/>
      </c>
    </row>
    <row r="643">
      <c r="A643">
        <f>HYPERLINK("https://www.youtube.com/watch?v=eUlXmWWPNy4", "Video")</f>
        <v/>
      </c>
      <c r="B643" t="inlineStr">
        <is>
          <t>18:18</t>
        </is>
      </c>
      <c r="C643" t="inlineStr">
        <is>
          <t>"Fear of missing out," and that's 
the direction we all need to move in.</t>
        </is>
      </c>
      <c r="D643">
        <f>HYPERLINK("https://www.youtube.com/watch?v=eUlXmWWPNy4&amp;t=1098s", "Go to time")</f>
        <v/>
      </c>
    </row>
    <row r="644">
      <c r="A644">
        <f>HYPERLINK("https://www.youtube.com/watch?v=7u8A0AoDRdw", "Video")</f>
        <v/>
      </c>
      <c r="B644" t="inlineStr">
        <is>
          <t>3:43</t>
        </is>
      </c>
      <c r="C644" t="inlineStr">
        <is>
          <t>And purpose is "What's the direction</t>
        </is>
      </c>
      <c r="D644">
        <f>HYPERLINK("https://www.youtube.com/watch?v=7u8A0AoDRdw&amp;t=223s", "Go to time")</f>
        <v/>
      </c>
    </row>
    <row r="645">
      <c r="A645">
        <f>HYPERLINK("https://www.youtube.com/watch?v=7u8A0AoDRdw", "Video")</f>
        <v/>
      </c>
      <c r="B645" t="inlineStr">
        <is>
          <t>6:44</t>
        </is>
      </c>
      <c r="C645" t="inlineStr">
        <is>
          <t>Happiness is a direction.</t>
        </is>
      </c>
      <c r="D645">
        <f>HYPERLINK("https://www.youtube.com/watch?v=7u8A0AoDRdw&amp;t=404s", "Go to time")</f>
        <v/>
      </c>
    </row>
    <row r="646">
      <c r="A646">
        <f>HYPERLINK("https://www.youtube.com/watch?v=8T4dr_YQxrQ", "Video")</f>
        <v/>
      </c>
      <c r="B646" t="inlineStr">
        <is>
          <t>6:29</t>
        </is>
      </c>
      <c r="C646" t="inlineStr">
        <is>
          <t>to aim us all in the, in
the opposite direction.</t>
        </is>
      </c>
      <c r="D646">
        <f>HYPERLINK("https://www.youtube.com/watch?v=8T4dr_YQxrQ&amp;t=389s", "Go to time")</f>
        <v/>
      </c>
    </row>
    <row r="647">
      <c r="A647">
        <f>HYPERLINK("https://www.youtube.com/watch?v=8T4dr_YQxrQ", "Video")</f>
        <v/>
      </c>
      <c r="B647" t="inlineStr">
        <is>
          <t>10:08</t>
        </is>
      </c>
      <c r="C647" t="inlineStr">
        <is>
          <t>Just what we can locate
in our experience directly</t>
        </is>
      </c>
      <c r="D647">
        <f>HYPERLINK("https://www.youtube.com/watch?v=8T4dr_YQxrQ&amp;t=608s", "Go to time")</f>
        <v/>
      </c>
    </row>
    <row r="648">
      <c r="A648">
        <f>HYPERLINK("https://www.youtube.com/watch?v=8T4dr_YQxrQ", "Video")</f>
        <v/>
      </c>
      <c r="B648" t="inlineStr">
        <is>
          <t>13:08</t>
        </is>
      </c>
      <c r="C648" t="inlineStr">
        <is>
          <t>And the way to
address that directly has</t>
        </is>
      </c>
      <c r="D648">
        <f>HYPERLINK("https://www.youtube.com/watch?v=8T4dr_YQxrQ&amp;t=788s", "Go to time")</f>
        <v/>
      </c>
    </row>
    <row r="649">
      <c r="A649">
        <f>HYPERLINK("https://www.youtube.com/watch?v=8T4dr_YQxrQ", "Video")</f>
        <v/>
      </c>
      <c r="B649" t="inlineStr">
        <is>
          <t>14:34</t>
        </is>
      </c>
      <c r="C649" t="inlineStr">
        <is>
          <t>to it directly.</t>
        </is>
      </c>
      <c r="D649">
        <f>HYPERLINK("https://www.youtube.com/watch?v=8T4dr_YQxrQ&amp;t=874s", "Go to time")</f>
        <v/>
      </c>
    </row>
    <row r="650">
      <c r="A650">
        <f>HYPERLINK("https://www.youtube.com/watch?v=8T4dr_YQxrQ", "Video")</f>
        <v/>
      </c>
      <c r="B650" t="inlineStr">
        <is>
          <t>83:39</t>
        </is>
      </c>
      <c r="C650" t="inlineStr">
        <is>
          <t>and this is going in a
very dystopian direction,</t>
        </is>
      </c>
      <c r="D650">
        <f>HYPERLINK("https://www.youtube.com/watch?v=8T4dr_YQxrQ&amp;t=5019s", "Go to time")</f>
        <v/>
      </c>
    </row>
    <row r="651">
      <c r="A651">
        <f>HYPERLINK("https://www.youtube.com/watch?v=reMDjVM5ZiE", "Video")</f>
        <v/>
      </c>
      <c r="B651" t="inlineStr">
        <is>
          <t>0:20</t>
        </is>
      </c>
      <c r="C651" t="inlineStr">
        <is>
          <t>uh some of the directions are less</t>
        </is>
      </c>
      <c r="D651">
        <f>HYPERLINK("https://www.youtube.com/watch?v=reMDjVM5ZiE&amp;t=20s", "Go to time")</f>
        <v/>
      </c>
    </row>
    <row r="652">
      <c r="A652">
        <f>HYPERLINK("https://www.youtube.com/watch?v=Vvp1WrhXlCU", "Video")</f>
        <v/>
      </c>
      <c r="B652" t="inlineStr">
        <is>
          <t>1:23</t>
        </is>
      </c>
      <c r="C652" t="inlineStr">
        <is>
          <t>involve directly medicine so I've not</t>
        </is>
      </c>
      <c r="D652">
        <f>HYPERLINK("https://www.youtube.com/watch?v=Vvp1WrhXlCU&amp;t=83s", "Go to time")</f>
        <v/>
      </c>
    </row>
    <row r="653">
      <c r="A653">
        <f>HYPERLINK("https://www.youtube.com/watch?v=qhGL4APNou4", "Video")</f>
        <v/>
      </c>
      <c r="B653" t="inlineStr">
        <is>
          <t>1:31</t>
        </is>
      </c>
      <c r="C653" t="inlineStr">
        <is>
          <t>consumer-directed research initiatives</t>
        </is>
      </c>
      <c r="D653">
        <f>HYPERLINK("https://www.youtube.com/watch?v=qhGL4APNou4&amp;t=91s", "Go to time")</f>
        <v/>
      </c>
    </row>
    <row r="654">
      <c r="A654">
        <f>HYPERLINK("https://www.youtube.com/watch?v=VMPKN5iEuKk", "Video")</f>
        <v/>
      </c>
      <c r="B654" t="inlineStr">
        <is>
          <t>5:19</t>
        </is>
      </c>
      <c r="C654" t="inlineStr">
        <is>
          <t>If you're a leader and really
want to set a new direction</t>
        </is>
      </c>
      <c r="D654">
        <f>HYPERLINK("https://www.youtube.com/watch?v=VMPKN5iEuKk&amp;t=319s", "Go to time")</f>
        <v/>
      </c>
    </row>
    <row r="655">
      <c r="A655">
        <f>HYPERLINK("https://www.youtube.com/watch?v=6czDc73RPp4", "Video")</f>
        <v/>
      </c>
      <c r="B655" t="inlineStr">
        <is>
          <t>3:19</t>
        </is>
      </c>
      <c r="C655" t="inlineStr">
        <is>
          <t>Direction and I think that that</t>
        </is>
      </c>
      <c r="D655">
        <f>HYPERLINK("https://www.youtube.com/watch?v=6czDc73RPp4&amp;t=199s", "Go to time")</f>
        <v/>
      </c>
    </row>
    <row r="656">
      <c r="A656">
        <f>HYPERLINK("https://www.youtube.com/watch?v=Vjp_VOCsd7A", "Video")</f>
        <v/>
      </c>
      <c r="B656" t="inlineStr">
        <is>
          <t>9:30</t>
        </is>
      </c>
      <c r="C656" t="inlineStr">
        <is>
          <t>stories directly into the news feed so</t>
        </is>
      </c>
      <c r="D656">
        <f>HYPERLINK("https://www.youtube.com/watch?v=Vjp_VOCsd7A&amp;t=570s", "Go to time")</f>
        <v/>
      </c>
    </row>
    <row r="657">
      <c r="A657">
        <f>HYPERLINK("https://www.youtube.com/watch?v=XMYaM-PSQN0", "Video")</f>
        <v/>
      </c>
      <c r="B657" t="inlineStr">
        <is>
          <t>1:16</t>
        </is>
      </c>
      <c r="C657" t="inlineStr">
        <is>
          <t>might uh want to turn is directly to</t>
        </is>
      </c>
      <c r="D657">
        <f>HYPERLINK("https://www.youtube.com/watch?v=XMYaM-PSQN0&amp;t=76s", "Go to time")</f>
        <v/>
      </c>
    </row>
    <row r="658">
      <c r="A658">
        <f>HYPERLINK("https://www.youtube.com/watch?v=U3qHaiqwkLY", "Video")</f>
        <v/>
      </c>
      <c r="B658" t="inlineStr">
        <is>
          <t>0:28</t>
        </is>
      </c>
      <c r="C658" t="inlineStr">
        <is>
          <t>as something to directly select for,</t>
        </is>
      </c>
      <c r="D658">
        <f>HYPERLINK("https://www.youtube.com/watch?v=U3qHaiqwkLY&amp;t=28s", "Go to time")</f>
        <v/>
      </c>
    </row>
    <row r="659">
      <c r="A659">
        <f>HYPERLINK("https://www.youtube.com/watch?v=U3qHaiqwkLY", "Video")</f>
        <v/>
      </c>
      <c r="B659" t="inlineStr">
        <is>
          <t>10:26</t>
        </is>
      </c>
      <c r="C659" t="inlineStr">
        <is>
          <t>and doesn't directly track
anything in the natural world,</t>
        </is>
      </c>
      <c r="D659">
        <f>HYPERLINK("https://www.youtube.com/watch?v=U3qHaiqwkLY&amp;t=626s", "Go to time")</f>
        <v/>
      </c>
    </row>
    <row r="660">
      <c r="A660">
        <f>HYPERLINK("https://www.youtube.com/watch?v=U3qHaiqwkLY", "Video")</f>
        <v/>
      </c>
      <c r="B660" t="inlineStr">
        <is>
          <t>18:18</t>
        </is>
      </c>
      <c r="C660" t="inlineStr">
        <is>
          <t>as something to directly select for</t>
        </is>
      </c>
      <c r="D660">
        <f>HYPERLINK("https://www.youtube.com/watch?v=U3qHaiqwkLY&amp;t=1098s", "Go to time")</f>
        <v/>
      </c>
    </row>
    <row r="661">
      <c r="A661">
        <f>HYPERLINK("https://www.youtube.com/watch?v=U3qHaiqwkLY", "Video")</f>
        <v/>
      </c>
      <c r="B661" t="inlineStr">
        <is>
          <t>24:40</t>
        </is>
      </c>
      <c r="C661" t="inlineStr">
        <is>
          <t>in the direction of colorblindness,</t>
        </is>
      </c>
      <c r="D661">
        <f>HYPERLINK("https://www.youtube.com/watch?v=U3qHaiqwkLY&amp;t=1480s", "Go to time")</f>
        <v/>
      </c>
    </row>
    <row r="662">
      <c r="A662">
        <f>HYPERLINK("https://www.youtube.com/watch?v=U3qHaiqwkLY", "Video")</f>
        <v/>
      </c>
      <c r="B662" t="inlineStr">
        <is>
          <t>32:45</t>
        </is>
      </c>
      <c r="C662" t="inlineStr">
        <is>
          <t>that directly matched the
racial breakdown of the census.</t>
        </is>
      </c>
      <c r="D662">
        <f>HYPERLINK("https://www.youtube.com/watch?v=U3qHaiqwkLY&amp;t=1965s", "Go to time")</f>
        <v/>
      </c>
    </row>
    <row r="663">
      <c r="A663">
        <f>HYPERLINK("https://www.youtube.com/watch?v=V3OjpC2LR4k", "Video")</f>
        <v/>
      </c>
      <c r="B663" t="inlineStr">
        <is>
          <t>3:04</t>
        </is>
      </c>
      <c r="C663" t="inlineStr">
        <is>
          <t>in a more direct way.</t>
        </is>
      </c>
      <c r="D663">
        <f>HYPERLINK("https://www.youtube.com/watch?v=V3OjpC2LR4k&amp;t=184s", "Go to time")</f>
        <v/>
      </c>
    </row>
    <row r="664">
      <c r="A664">
        <f>HYPERLINK("https://www.youtube.com/watch?v=D6XAkVA7RmY", "Video")</f>
        <v/>
      </c>
      <c r="B664" t="inlineStr">
        <is>
          <t>0:44</t>
        </is>
      </c>
      <c r="C664" t="inlineStr">
        <is>
          <t>through the rock underneath my feet and go
all the way to China.  It would reverse direction</t>
        </is>
      </c>
      <c r="D664">
        <f>HYPERLINK("https://www.youtube.com/watch?v=D6XAkVA7RmY&amp;t=44s", "Go to time")</f>
        <v/>
      </c>
    </row>
    <row r="665">
      <c r="A665">
        <f>HYPERLINK("https://www.youtube.com/watch?v=D6XAkVA7RmY", "Video")</f>
        <v/>
      </c>
      <c r="B665" t="inlineStr">
        <is>
          <t>5:00</t>
        </is>
      </c>
      <c r="C665" t="inlineStr">
        <is>
          <t>about spin?  Galaxies spin, right?  But
they spin in all directions.  If you add</t>
        </is>
      </c>
      <c r="D665">
        <f>HYPERLINK("https://www.youtube.com/watch?v=D6XAkVA7RmY&amp;t=300s", "Go to time")</f>
        <v/>
      </c>
    </row>
    <row r="666">
      <c r="A666">
        <f>HYPERLINK("https://www.youtube.com/watch?v=HuB1ghITZ9U", "Video")</f>
        <v/>
      </c>
      <c r="B666" t="inlineStr">
        <is>
          <t>0:16</t>
        </is>
      </c>
      <c r="C666" t="inlineStr">
        <is>
          <t>they've directed resources towards</t>
        </is>
      </c>
      <c r="D666">
        <f>HYPERLINK("https://www.youtube.com/watch?v=HuB1ghITZ9U&amp;t=16s", "Go to time")</f>
        <v/>
      </c>
    </row>
    <row r="667">
      <c r="A667">
        <f>HYPERLINK("https://www.youtube.com/watch?v=POVmNsNf0-4", "Video")</f>
        <v/>
      </c>
      <c r="B667" t="inlineStr">
        <is>
          <t>0:47</t>
        </is>
      </c>
      <c r="C667" t="inlineStr">
        <is>
          <t>14 years uh worked directly for Bill</t>
        </is>
      </c>
      <c r="D667">
        <f>HYPERLINK("https://www.youtube.com/watch?v=POVmNsNf0-4&amp;t=47s", "Go to time")</f>
        <v/>
      </c>
    </row>
    <row r="668">
      <c r="A668">
        <f>HYPERLINK("https://www.youtube.com/watch?v=5vzymaIabWI", "Video")</f>
        <v/>
      </c>
      <c r="B668" t="inlineStr">
        <is>
          <t>9:20</t>
        </is>
      </c>
      <c r="C668" t="inlineStr">
        <is>
          <t>We can move through space, but time always
seems to go just in one rate and in one direction.</t>
        </is>
      </c>
      <c r="D668">
        <f>HYPERLINK("https://www.youtube.com/watch?v=5vzymaIabWI&amp;t=560s", "Go to time")</f>
        <v/>
      </c>
    </row>
    <row r="669">
      <c r="A669">
        <f>HYPERLINK("https://www.youtube.com/watch?v=dWMQvsu-NwM", "Video")</f>
        <v/>
      </c>
      <c r="B669" t="inlineStr">
        <is>
          <t>30:06</t>
        </is>
      </c>
      <c r="C669" t="inlineStr">
        <is>
          <t>But we do know that if things
change in certain directions</t>
        </is>
      </c>
      <c r="D669">
        <f>HYPERLINK("https://www.youtube.com/watch?v=dWMQvsu-NwM&amp;t=1806s", "Go to time")</f>
        <v/>
      </c>
    </row>
    <row r="670">
      <c r="A670">
        <f>HYPERLINK("https://www.youtube.com/watch?v=a_h9ajLoNWI", "Video")</f>
        <v/>
      </c>
      <c r="B670" t="inlineStr">
        <is>
          <t>2:33</t>
        </is>
      </c>
      <c r="C670" t="inlineStr">
        <is>
          <t>progress in a positive direction</t>
        </is>
      </c>
      <c r="D670">
        <f>HYPERLINK("https://www.youtube.com/watch?v=a_h9ajLoNWI&amp;t=153s", "Go to time")</f>
        <v/>
      </c>
    </row>
    <row r="671">
      <c r="A671">
        <f>HYPERLINK("https://www.youtube.com/watch?v=cILPoUtuDbQ", "Video")</f>
        <v/>
      </c>
      <c r="B671" t="inlineStr">
        <is>
          <t>7:20</t>
        </is>
      </c>
      <c r="C671" t="inlineStr">
        <is>
          <t>We can move people in our direction by claiming
to be an expert on some topic that we’re</t>
        </is>
      </c>
      <c r="D671">
        <f>HYPERLINK("https://www.youtube.com/watch?v=cILPoUtuDbQ&amp;t=440s", "Go to time")</f>
        <v/>
      </c>
    </row>
    <row r="672">
      <c r="A672">
        <f>HYPERLINK("https://www.youtube.com/watch?v=zNeYSjMKygY", "Video")</f>
        <v/>
      </c>
      <c r="B672" t="inlineStr">
        <is>
          <t>1:22</t>
        </is>
      </c>
      <c r="C672" t="inlineStr">
        <is>
          <t>He could be direct, he could be mean,</t>
        </is>
      </c>
      <c r="D672">
        <f>HYPERLINK("https://www.youtube.com/watch?v=zNeYSjMKygY&amp;t=82s", "Go to time")</f>
        <v/>
      </c>
    </row>
    <row r="673">
      <c r="A673">
        <f>HYPERLINK("https://www.youtube.com/watch?v=zNeYSjMKygY", "Video")</f>
        <v/>
      </c>
      <c r="B673" t="inlineStr">
        <is>
          <t>3:52</t>
        </is>
      </c>
      <c r="C673" t="inlineStr">
        <is>
          <t>She very intentionally
took her board of directors</t>
        </is>
      </c>
      <c r="D673">
        <f>HYPERLINK("https://www.youtube.com/watch?v=zNeYSjMKygY&amp;t=232s", "Go to time")</f>
        <v/>
      </c>
    </row>
    <row r="674">
      <c r="A674">
        <f>HYPERLINK("https://www.youtube.com/watch?v=zNeYSjMKygY", "Video")</f>
        <v/>
      </c>
      <c r="B674" t="inlineStr">
        <is>
          <t>4:41</t>
        </is>
      </c>
      <c r="C674" t="inlineStr">
        <is>
          <t>of directors is absolutely critical.</t>
        </is>
      </c>
      <c r="D674">
        <f>HYPERLINK("https://www.youtube.com/watch?v=zNeYSjMKygY&amp;t=281s", "Go to time")</f>
        <v/>
      </c>
    </row>
    <row r="675">
      <c r="A675">
        <f>HYPERLINK("https://www.youtube.com/watch?v=mF3EVYEIPhI", "Video")</f>
        <v/>
      </c>
      <c r="B675" t="inlineStr">
        <is>
          <t>1:51</t>
        </is>
      </c>
      <c r="C675" t="inlineStr">
        <is>
          <t>take it in a different direction</t>
        </is>
      </c>
      <c r="D675">
        <f>HYPERLINK("https://www.youtube.com/watch?v=mF3EVYEIPhI&amp;t=111s", "Go to time")</f>
        <v/>
      </c>
    </row>
    <row r="676">
      <c r="A676">
        <f>HYPERLINK("https://www.youtube.com/watch?v=xDIOHPOlKY4", "Video")</f>
        <v/>
      </c>
      <c r="B676" t="inlineStr">
        <is>
          <t>1:17</t>
        </is>
      </c>
      <c r="C676" t="inlineStr">
        <is>
          <t>really talk directly and powerfully to</t>
        </is>
      </c>
      <c r="D676">
        <f>HYPERLINK("https://www.youtube.com/watch?v=xDIOHPOlKY4&amp;t=77s", "Go to time")</f>
        <v/>
      </c>
    </row>
    <row r="677">
      <c r="A677">
        <f>HYPERLINK("https://www.youtube.com/watch?v=0iGnGsCO164", "Video")</f>
        <v/>
      </c>
      <c r="B677" t="inlineStr">
        <is>
          <t>2:59</t>
        </is>
      </c>
      <c r="C677" t="inlineStr">
        <is>
          <t>But we're moving in that direction.</t>
        </is>
      </c>
      <c r="D677">
        <f>HYPERLINK("https://www.youtube.com/watch?v=0iGnGsCO164&amp;t=179s", "Go to time")</f>
        <v/>
      </c>
    </row>
    <row r="678">
      <c r="A678">
        <f>HYPERLINK("https://www.youtube.com/watch?v=KlPC3O1DVcg", "Video")</f>
        <v/>
      </c>
      <c r="B678" t="inlineStr">
        <is>
          <t>0:49</t>
        </is>
      </c>
      <c r="C678" t="inlineStr">
        <is>
          <t>in. And you build that set of concepts and then 
you program it directly. It’s easier to program,</t>
        </is>
      </c>
      <c r="D678">
        <f>HYPERLINK("https://www.youtube.com/watch?v=KlPC3O1DVcg&amp;t=49s", "Go to time")</f>
        <v/>
      </c>
    </row>
    <row r="679">
      <c r="A679">
        <f>HYPERLINK("https://www.youtube.com/watch?v=Xmw_1wfUmFs", "Video")</f>
        <v/>
      </c>
      <c r="B679" t="inlineStr">
        <is>
          <t>24:35</t>
        </is>
      </c>
      <c r="C679" t="inlineStr">
        <is>
          <t>as STEM jobs, but in the other direction,</t>
        </is>
      </c>
      <c r="D679">
        <f>HYPERLINK("https://www.youtube.com/watch?v=Xmw_1wfUmFs&amp;t=1475s", "Go to time")</f>
        <v/>
      </c>
    </row>
    <row r="680">
      <c r="A680">
        <f>HYPERLINK("https://www.youtube.com/watch?v=thZUMaGEE-8", "Video")</f>
        <v/>
      </c>
      <c r="B680" t="inlineStr">
        <is>
          <t>14:38</t>
        </is>
      </c>
      <c r="C680" t="inlineStr">
        <is>
          <t>and make sure that we
direct the development</t>
        </is>
      </c>
      <c r="D680">
        <f>HYPERLINK("https://www.youtube.com/watch?v=thZUMaGEE-8&amp;t=878s", "Go to time")</f>
        <v/>
      </c>
    </row>
    <row r="681">
      <c r="A681">
        <f>HYPERLINK("https://www.youtube.com/watch?v=thZUMaGEE-8", "Video")</f>
        <v/>
      </c>
      <c r="B681" t="inlineStr">
        <is>
          <t>14:41</t>
        </is>
      </c>
      <c r="C681" t="inlineStr">
        <is>
          <t>of this technology in,
in a safe direction.</t>
        </is>
      </c>
      <c r="D681">
        <f>HYPERLINK("https://www.youtube.com/watch?v=thZUMaGEE-8&amp;t=881s", "Go to time")</f>
        <v/>
      </c>
    </row>
    <row r="682">
      <c r="A682">
        <f>HYPERLINK("https://www.youtube.com/watch?v=DC3iLrOxyWc", "Video")</f>
        <v/>
      </c>
      <c r="B682" t="inlineStr">
        <is>
          <t>2:31</t>
        </is>
      </c>
      <c r="C682" t="inlineStr">
        <is>
          <t>nature of prophecies in both directions</t>
        </is>
      </c>
      <c r="D682">
        <f>HYPERLINK("https://www.youtube.com/watch?v=DC3iLrOxyWc&amp;t=151s", "Go to time")</f>
        <v/>
      </c>
    </row>
    <row r="683">
      <c r="A683">
        <f>HYPERLINK("https://www.youtube.com/watch?v=8w5MwVhRA9A", "Video")</f>
        <v/>
      </c>
      <c r="B683" t="inlineStr">
        <is>
          <t>2:01</t>
        </is>
      </c>
      <c r="C683" t="inlineStr">
        <is>
          <t>different direction and then after the</t>
        </is>
      </c>
      <c r="D683">
        <f>HYPERLINK("https://www.youtube.com/watch?v=8w5MwVhRA9A&amp;t=121s", "Go to time")</f>
        <v/>
      </c>
    </row>
    <row r="684">
      <c r="A684">
        <f>HYPERLINK("https://www.youtube.com/watch?v=8w5MwVhRA9A", "Video")</f>
        <v/>
      </c>
      <c r="B684" t="inlineStr">
        <is>
          <t>2:39</t>
        </is>
      </c>
      <c r="C684" t="inlineStr">
        <is>
          <t>in another Direction uh but if you're a</t>
        </is>
      </c>
      <c r="D684">
        <f>HYPERLINK("https://www.youtube.com/watch?v=8w5MwVhRA9A&amp;t=159s", "Go to time")</f>
        <v/>
      </c>
    </row>
    <row r="685">
      <c r="A685">
        <f>HYPERLINK("https://www.youtube.com/watch?v=4S-4mTvK4cI", "Video")</f>
        <v/>
      </c>
      <c r="B685" t="inlineStr">
        <is>
          <t>10:18</t>
        </is>
      </c>
      <c r="C685" t="inlineStr">
        <is>
          <t>how they will directly
interface with the Metaverse.</t>
        </is>
      </c>
      <c r="D685">
        <f>HYPERLINK("https://www.youtube.com/watch?v=4S-4mTvK4cI&amp;t=618s", "Go to time")</f>
        <v/>
      </c>
    </row>
    <row r="686">
      <c r="A686">
        <f>HYPERLINK("https://www.youtube.com/watch?v=2z1PK6CzgCc", "Video")</f>
        <v/>
      </c>
      <c r="B686" t="inlineStr">
        <is>
          <t>4:27</t>
        </is>
      </c>
      <c r="C686" t="inlineStr">
        <is>
          <t>or we're not really sure
which direction to take,</t>
        </is>
      </c>
      <c r="D686">
        <f>HYPERLINK("https://www.youtube.com/watch?v=2z1PK6CzgCc&amp;t=267s", "Go to time")</f>
        <v/>
      </c>
    </row>
    <row r="687">
      <c r="A687">
        <f>HYPERLINK("https://www.youtube.com/watch?v=350wkK4IZH4", "Video")</f>
        <v/>
      </c>
      <c r="B687" t="inlineStr">
        <is>
          <t>2:32</t>
        </is>
      </c>
      <c r="C687" t="inlineStr">
        <is>
          <t>So we’re living in a much clearer world
of direct consumer if you will.</t>
        </is>
      </c>
      <c r="D687">
        <f>HYPERLINK("https://www.youtube.com/watch?v=350wkK4IZH4&amp;t=152s", "Go to time")</f>
        <v/>
      </c>
    </row>
    <row r="688">
      <c r="A688">
        <f>HYPERLINK("https://www.youtube.com/watch?v=kBU-0UGUy1o", "Video")</f>
        <v/>
      </c>
      <c r="B688" t="inlineStr">
        <is>
          <t>0:42</t>
        </is>
      </c>
      <c r="C688" t="inlineStr">
        <is>
          <t>direction or not and um I think it's</t>
        </is>
      </c>
      <c r="D688">
        <f>HYPERLINK("https://www.youtube.com/watch?v=kBU-0UGUy1o&amp;t=42s", "Go to time")</f>
        <v/>
      </c>
    </row>
    <row r="689">
      <c r="A689">
        <f>HYPERLINK("https://www.youtube.com/watch?v=kBU-0UGUy1o", "Video")</f>
        <v/>
      </c>
      <c r="B689" t="inlineStr">
        <is>
          <t>23:21</t>
        </is>
      </c>
      <c r="C689" t="inlineStr">
        <is>
          <t>have advanced directives written out</t>
        </is>
      </c>
      <c r="D689">
        <f>HYPERLINK("https://www.youtube.com/watch?v=kBU-0UGUy1o&amp;t=1401s", "Go to time")</f>
        <v/>
      </c>
    </row>
    <row r="690">
      <c r="A690">
        <f>HYPERLINK("https://www.youtube.com/watch?v=kBU-0UGUy1o", "Video")</f>
        <v/>
      </c>
      <c r="B690" t="inlineStr">
        <is>
          <t>28:01</t>
        </is>
      </c>
      <c r="C690" t="inlineStr">
        <is>
          <t>direction there's that doesn't get away</t>
        </is>
      </c>
      <c r="D690">
        <f>HYPERLINK("https://www.youtube.com/watch?v=kBU-0UGUy1o&amp;t=1681s", "Go to time")</f>
        <v/>
      </c>
    </row>
    <row r="691">
      <c r="A691">
        <f>HYPERLINK("https://www.youtube.com/watch?v=ZynZHuMRK-o", "Video")</f>
        <v/>
      </c>
      <c r="B691" t="inlineStr">
        <is>
          <t>3:31</t>
        </is>
      </c>
      <c r="C691" t="inlineStr">
        <is>
          <t>in 1996 it was basically a directory on</t>
        </is>
      </c>
      <c r="D691">
        <f>HYPERLINK("https://www.youtube.com/watch?v=ZynZHuMRK-o&amp;t=211s", "Go to time")</f>
        <v/>
      </c>
    </row>
    <row r="692">
      <c r="A692">
        <f>HYPERLINK("https://www.youtube.com/watch?v=UAP5K2RNpQw", "Video")</f>
        <v/>
      </c>
      <c r="B692" t="inlineStr">
        <is>
          <t>2:37</t>
        </is>
      </c>
      <c r="C692" t="inlineStr">
        <is>
          <t>directors uh as a replacement I didn't</t>
        </is>
      </c>
      <c r="D692">
        <f>HYPERLINK("https://www.youtube.com/watch?v=UAP5K2RNpQw&amp;t=157s", "Go to time")</f>
        <v/>
      </c>
    </row>
    <row r="693">
      <c r="A693">
        <f>HYPERLINK("https://www.youtube.com/watch?v=UAP5K2RNpQw", "Video")</f>
        <v/>
      </c>
      <c r="B693" t="inlineStr">
        <is>
          <t>2:48</t>
        </is>
      </c>
      <c r="C693" t="inlineStr">
        <is>
          <t>assemble a board of directors of people</t>
        </is>
      </c>
      <c r="D693">
        <f>HYPERLINK("https://www.youtube.com/watch?v=UAP5K2RNpQw&amp;t=168s", "Go to time")</f>
        <v/>
      </c>
    </row>
    <row r="694">
      <c r="A694">
        <f>HYPERLINK("https://www.youtube.com/watch?v=UAP5K2RNpQw", "Video")</f>
        <v/>
      </c>
      <c r="B694" t="inlineStr">
        <is>
          <t>2:59</t>
        </is>
      </c>
      <c r="C694" t="inlineStr">
        <is>
          <t>directors was the mechanism that I used</t>
        </is>
      </c>
      <c r="D694">
        <f>HYPERLINK("https://www.youtube.com/watch?v=UAP5K2RNpQw&amp;t=179s", "Go to time")</f>
        <v/>
      </c>
    </row>
    <row r="695">
      <c r="A695">
        <f>HYPERLINK("https://www.youtube.com/watch?v=EOu8c3zfUyI", "Video")</f>
        <v/>
      </c>
      <c r="B695" t="inlineStr">
        <is>
          <t>0:25</t>
        </is>
      </c>
      <c r="C695" t="inlineStr">
        <is>
          <t>you although the direction we're going</t>
        </is>
      </c>
      <c r="D695">
        <f>HYPERLINK("https://www.youtube.com/watch?v=EOu8c3zfUyI&amp;t=25s", "Go to time")</f>
        <v/>
      </c>
    </row>
    <row r="696">
      <c r="A696">
        <f>HYPERLINK("https://www.youtube.com/watch?v=EOu8c3zfUyI", "Video")</f>
        <v/>
      </c>
      <c r="B696" t="inlineStr">
        <is>
          <t>0:34</t>
        </is>
      </c>
      <c r="C696" t="inlineStr">
        <is>
          <t>that's the direction the future is going</t>
        </is>
      </c>
      <c r="D696">
        <f>HYPERLINK("https://www.youtube.com/watch?v=EOu8c3zfUyI&amp;t=34s", "Go to time")</f>
        <v/>
      </c>
    </row>
    <row r="697">
      <c r="A697">
        <f>HYPERLINK("https://www.youtube.com/watch?v=P4SNHp-vPXw", "Video")</f>
        <v/>
      </c>
      <c r="B697" t="inlineStr">
        <is>
          <t>1:15</t>
        </is>
      </c>
      <c r="C697" t="inlineStr">
        <is>
          <t>is writing down One Direction writing</t>
        </is>
      </c>
      <c r="D697">
        <f>HYPERLINK("https://www.youtube.com/watch?v=P4SNHp-vPXw&amp;t=75s", "Go to time")</f>
        <v/>
      </c>
    </row>
    <row r="698">
      <c r="A698">
        <f>HYPERLINK("https://www.youtube.com/watch?v=v32ZtHUEqYQ", "Video")</f>
        <v/>
      </c>
      <c r="B698" t="inlineStr">
        <is>
          <t>1:08</t>
        </is>
      </c>
      <c r="C698" t="inlineStr">
        <is>
          <t>as if it was goal-directed,
as if it was designed</t>
        </is>
      </c>
      <c r="D698">
        <f>HYPERLINK("https://www.youtube.com/watch?v=v32ZtHUEqYQ&amp;t=68s", "Go to time")</f>
        <v/>
      </c>
    </row>
    <row r="699">
      <c r="A699">
        <f>HYPERLINK("https://www.youtube.com/watch?v=nJ0VmT0D8ew", "Video")</f>
        <v/>
      </c>
      <c r="B699" t="inlineStr">
        <is>
          <t>1:11</t>
        </is>
      </c>
      <c r="C699" t="inlineStr">
        <is>
          <t>Protopia is a direction.</t>
        </is>
      </c>
      <c r="D699">
        <f>HYPERLINK("https://www.youtube.com/watch?v=nJ0VmT0D8ew&amp;t=71s", "Go to time")</f>
        <v/>
      </c>
    </row>
    <row r="700">
      <c r="A700">
        <f>HYPERLINK("https://www.youtube.com/watch?v=nJ0VmT0D8ew", "Video")</f>
        <v/>
      </c>
      <c r="B700" t="inlineStr">
        <is>
          <t>6:31</t>
        </is>
      </c>
      <c r="C700" t="inlineStr">
        <is>
          <t>We are moving, rather, in directions.</t>
        </is>
      </c>
      <c r="D700">
        <f>HYPERLINK("https://www.youtube.com/watch?v=nJ0VmT0D8ew&amp;t=391s", "Go to time")</f>
        <v/>
      </c>
    </row>
    <row r="701">
      <c r="A701">
        <f>HYPERLINK("https://www.youtube.com/watch?v=nJ0VmT0D8ew", "Video")</f>
        <v/>
      </c>
      <c r="B701" t="inlineStr">
        <is>
          <t>6:34</t>
        </is>
      </c>
      <c r="C701" t="inlineStr">
        <is>
          <t>And Protopia is a direction,</t>
        </is>
      </c>
      <c r="D701">
        <f>HYPERLINK("https://www.youtube.com/watch?v=nJ0VmT0D8ew&amp;t=394s", "Go to time")</f>
        <v/>
      </c>
    </row>
    <row r="702">
      <c r="A702">
        <f>HYPERLINK("https://www.youtube.com/watch?v=3XNQFqUwCnU", "Video")</f>
        <v/>
      </c>
      <c r="B702" t="inlineStr">
        <is>
          <t>2:07</t>
        </is>
      </c>
      <c r="C702" t="inlineStr">
        <is>
          <t>but the direct impact</t>
        </is>
      </c>
      <c r="D702">
        <f>HYPERLINK("https://www.youtube.com/watch?v=3XNQFqUwCnU&amp;t=127s", "Go to time")</f>
        <v/>
      </c>
    </row>
    <row r="703">
      <c r="A703">
        <f>HYPERLINK("https://www.youtube.com/watch?v=3XNQFqUwCnU", "Video")</f>
        <v/>
      </c>
      <c r="B703" t="inlineStr">
        <is>
          <t>7:48</t>
        </is>
      </c>
      <c r="C703" t="inlineStr">
        <is>
          <t>But for some key materials,
they're more direct emissions.</t>
        </is>
      </c>
      <c r="D703">
        <f>HYPERLINK("https://www.youtube.com/watch?v=3XNQFqUwCnU&amp;t=468s", "Go to time")</f>
        <v/>
      </c>
    </row>
    <row r="704">
      <c r="A704">
        <f>HYPERLINK("https://www.youtube.com/watch?v=qs0OqotqNp0", "Video")</f>
        <v/>
      </c>
      <c r="B704" t="inlineStr">
        <is>
          <t>2:02</t>
        </is>
      </c>
      <c r="C704" t="inlineStr">
        <is>
          <t>and direct and star in, um, the office</t>
        </is>
      </c>
      <c r="D704">
        <f>HYPERLINK("https://www.youtube.com/watch?v=qs0OqotqNp0&amp;t=122s", "Go to time")</f>
        <v/>
      </c>
    </row>
    <row r="705">
      <c r="A705">
        <f>HYPERLINK("https://www.youtube.com/watch?v=JJcAJ5lTyfw", "Video")</f>
        <v/>
      </c>
      <c r="B705" t="inlineStr">
        <is>
          <t>2:17</t>
        </is>
      </c>
      <c r="C705" t="inlineStr">
        <is>
          <t>is in direct conflict with religion um</t>
        </is>
      </c>
      <c r="D705">
        <f>HYPERLINK("https://www.youtube.com/watch?v=JJcAJ5lTyfw&amp;t=137s", "Go to time")</f>
        <v/>
      </c>
    </row>
    <row r="706">
      <c r="A706">
        <f>HYPERLINK("https://www.youtube.com/watch?v=kHB0SoO9Qg4", "Video")</f>
        <v/>
      </c>
      <c r="B706" t="inlineStr">
        <is>
          <t>0:24</t>
        </is>
      </c>
      <c r="C706" t="inlineStr">
        <is>
          <t>directing me to do these things now uh</t>
        </is>
      </c>
      <c r="D706">
        <f>HYPERLINK("https://www.youtube.com/watch?v=kHB0SoO9Qg4&amp;t=24s", "Go to time")</f>
        <v/>
      </c>
    </row>
    <row r="707">
      <c r="A707">
        <f>HYPERLINK("https://www.youtube.com/watch?v=16x4MARxlEc", "Video")</f>
        <v/>
      </c>
      <c r="B707" t="inlineStr">
        <is>
          <t>3:31</t>
        </is>
      </c>
      <c r="C707" t="inlineStr">
        <is>
          <t>direction of being able to do that and I</t>
        </is>
      </c>
      <c r="D707">
        <f>HYPERLINK("https://www.youtube.com/watch?v=16x4MARxlEc&amp;t=211s", "Go to time")</f>
        <v/>
      </c>
    </row>
    <row r="708">
      <c r="A708">
        <f>HYPERLINK("https://www.youtube.com/watch?v=Jkt3fZLYDGM", "Video")</f>
        <v/>
      </c>
      <c r="B708" t="inlineStr">
        <is>
          <t>2:24</t>
        </is>
      </c>
      <c r="C708" t="inlineStr">
        <is>
          <t>You can compare this quite directly</t>
        </is>
      </c>
      <c r="D708">
        <f>HYPERLINK("https://www.youtube.com/watch?v=Jkt3fZLYDGM&amp;t=144s", "Go to time")</f>
        <v/>
      </c>
    </row>
    <row r="709">
      <c r="A709">
        <f>HYPERLINK("https://www.youtube.com/watch?v=kE9dCLbkKD8", "Video")</f>
        <v/>
      </c>
      <c r="B709" t="inlineStr">
        <is>
          <t>1:11</t>
        </is>
      </c>
      <c r="C709" t="inlineStr">
        <is>
          <t>direct callers to the right government</t>
        </is>
      </c>
      <c r="D709">
        <f>HYPERLINK("https://www.youtube.com/watch?v=kE9dCLbkKD8&amp;t=71s", "Go to time")</f>
        <v/>
      </c>
    </row>
    <row r="710">
      <c r="A710">
        <f>HYPERLINK("https://www.youtube.com/watch?v=gt0rpqnVdPI", "Video")</f>
        <v/>
      </c>
      <c r="B710" t="inlineStr">
        <is>
          <t>1:16</t>
        </is>
      </c>
      <c r="C710" t="inlineStr">
        <is>
          <t>its director, Robert Wilson,
wanted to position it</t>
        </is>
      </c>
      <c r="D710">
        <f>HYPERLINK("https://www.youtube.com/watch?v=gt0rpqnVdPI&amp;t=76s", "Go to time")</f>
        <v/>
      </c>
    </row>
    <row r="711">
      <c r="A711">
        <f>HYPERLINK("https://www.youtube.com/watch?v=gt0rpqnVdPI", "Video")</f>
        <v/>
      </c>
      <c r="B711" t="inlineStr">
        <is>
          <t>5:42</t>
        </is>
      </c>
      <c r="C711" t="inlineStr">
        <is>
          <t>Fermilab's first director, Robert Wilson,</t>
        </is>
      </c>
      <c r="D711">
        <f>HYPERLINK("https://www.youtube.com/watch?v=gt0rpqnVdPI&amp;t=342s", "Go to time")</f>
        <v/>
      </c>
    </row>
    <row r="712">
      <c r="A712">
        <f>HYPERLINK("https://www.youtube.com/watch?v=gt0rpqnVdPI", "Video")</f>
        <v/>
      </c>
      <c r="B712" t="inlineStr">
        <is>
          <t>8:16</t>
        </is>
      </c>
      <c r="C712" t="inlineStr">
        <is>
          <t>Bonnie Fleming is Fermilab's
Deputy Director of Science.</t>
        </is>
      </c>
      <c r="D712">
        <f>HYPERLINK("https://www.youtube.com/watch?v=gt0rpqnVdPI&amp;t=496s", "Go to time")</f>
        <v/>
      </c>
    </row>
    <row r="713">
      <c r="A713">
        <f>HYPERLINK("https://www.youtube.com/watch?v=gt0rpqnVdPI", "Video")</f>
        <v/>
      </c>
      <c r="B713" t="inlineStr">
        <is>
          <t>11:11</t>
        </is>
      </c>
      <c r="C713" t="inlineStr">
        <is>
          <t>through the accelerator directorate</t>
        </is>
      </c>
      <c r="D713">
        <f>HYPERLINK("https://www.youtube.com/watch?v=gt0rpqnVdPI&amp;t=671s", "Go to time")</f>
        <v/>
      </c>
    </row>
    <row r="714">
      <c r="A714">
        <f>HYPERLINK("https://www.youtube.com/watch?v=gt0rpqnVdPI", "Video")</f>
        <v/>
      </c>
      <c r="B714" t="inlineStr">
        <is>
          <t>26:41</t>
        </is>
      </c>
      <c r="C714" t="inlineStr">
        <is>
          <t>and it'll be a direct result
of the stuff we're doing here.</t>
        </is>
      </c>
      <c r="D714">
        <f>HYPERLINK("https://www.youtube.com/watch?v=gt0rpqnVdPI&amp;t=1601s", "Go to time")</f>
        <v/>
      </c>
    </row>
    <row r="715">
      <c r="A715">
        <f>HYPERLINK("https://www.youtube.com/watch?v=gt0rpqnVdPI", "Video")</f>
        <v/>
      </c>
      <c r="B715" t="inlineStr">
        <is>
          <t>28:39</t>
        </is>
      </c>
      <c r="C715" t="inlineStr">
        <is>
          <t>and all of it being directed</t>
        </is>
      </c>
      <c r="D715">
        <f>HYPERLINK("https://www.youtube.com/watch?v=gt0rpqnVdPI&amp;t=1719s", "Go to time")</f>
        <v/>
      </c>
    </row>
    <row r="716">
      <c r="A716">
        <f>HYPERLINK("https://www.youtube.com/watch?v=gt0rpqnVdPI", "Video")</f>
        <v/>
      </c>
      <c r="B716" t="inlineStr">
        <is>
          <t>33:46</t>
        </is>
      </c>
      <c r="C716" t="inlineStr">
        <is>
          <t>from several different directions.</t>
        </is>
      </c>
      <c r="D716">
        <f>HYPERLINK("https://www.youtube.com/watch?v=gt0rpqnVdPI&amp;t=2026s", "Go to time")</f>
        <v/>
      </c>
    </row>
    <row r="717">
      <c r="A717">
        <f>HYPERLINK("https://www.youtube.com/watch?v=B_CqKVU19ec", "Video")</f>
        <v/>
      </c>
      <c r="B717" t="inlineStr">
        <is>
          <t>3:56</t>
        </is>
      </c>
      <c r="C717" t="inlineStr">
        <is>
          <t>these are things that can go,
we think, in both directions.</t>
        </is>
      </c>
      <c r="D717">
        <f>HYPERLINK("https://www.youtube.com/watch?v=B_CqKVU19ec&amp;t=236s", "Go to time")</f>
        <v/>
      </c>
    </row>
    <row r="718">
      <c r="A718">
        <f>HYPERLINK("https://www.youtube.com/watch?v=B_CqKVU19ec", "Video")</f>
        <v/>
      </c>
      <c r="B718" t="inlineStr">
        <is>
          <t>4:40</t>
        </is>
      </c>
      <c r="C718" t="inlineStr">
        <is>
          <t>We always thought aging really
happened in one direction,</t>
        </is>
      </c>
      <c r="D718">
        <f>HYPERLINK("https://www.youtube.com/watch?v=B_CqKVU19ec&amp;t=280s", "Go to time")</f>
        <v/>
      </c>
    </row>
    <row r="719">
      <c r="A719">
        <f>HYPERLINK("https://www.youtube.com/watch?v=fqg3IDflugA", "Video")</f>
        <v/>
      </c>
      <c r="B719" t="inlineStr">
        <is>
          <t>6:34</t>
        </is>
      </c>
      <c r="C719" t="inlineStr">
        <is>
          <t>direct action and when every Mo movement</t>
        </is>
      </c>
      <c r="D719">
        <f>HYPERLINK("https://www.youtube.com/watch?v=fqg3IDflugA&amp;t=394s", "Go to time")</f>
        <v/>
      </c>
    </row>
    <row r="720">
      <c r="A720">
        <f>HYPERLINK("https://www.youtube.com/watch?v=NkjADgWRq3Y", "Video")</f>
        <v/>
      </c>
      <c r="B720" t="inlineStr">
        <is>
          <t>1:08</t>
        </is>
      </c>
      <c r="C720" t="inlineStr">
        <is>
          <t>acting directly everything that we know</t>
        </is>
      </c>
      <c r="D720">
        <f>HYPERLINK("https://www.youtube.com/watch?v=NkjADgWRq3Y&amp;t=68s", "Go to time")</f>
        <v/>
      </c>
    </row>
    <row r="721">
      <c r="A721">
        <f>HYPERLINK("https://www.youtube.com/watch?v=CO-6iqCum1w", "Video")</f>
        <v/>
      </c>
      <c r="B721" t="inlineStr">
        <is>
          <t>1:11</t>
        </is>
      </c>
      <c r="C721" t="inlineStr">
        <is>
          <t>I also write and direct</t>
        </is>
      </c>
      <c r="D721">
        <f>HYPERLINK("https://www.youtube.com/watch?v=CO-6iqCum1w&amp;t=71s", "Go to time")</f>
        <v/>
      </c>
    </row>
    <row r="722">
      <c r="A722">
        <f>HYPERLINK("https://www.youtube.com/watch?v=CO-6iqCum1w", "Video")</f>
        <v/>
      </c>
      <c r="B722" t="inlineStr">
        <is>
          <t>1:20</t>
        </is>
      </c>
      <c r="C722" t="inlineStr">
        <is>
          <t>I'm an actor, writer, and director.</t>
        </is>
      </c>
      <c r="D722">
        <f>HYPERLINK("https://www.youtube.com/watch?v=CO-6iqCum1w&amp;t=80s", "Go to time")</f>
        <v/>
      </c>
    </row>
    <row r="723">
      <c r="A723">
        <f>HYPERLINK("https://www.youtube.com/watch?v=CO-6iqCum1w", "Video")</f>
        <v/>
      </c>
      <c r="B723" t="inlineStr">
        <is>
          <t>3:07</t>
        </is>
      </c>
      <c r="C723" t="inlineStr">
        <is>
          <t>I've recently started directing.</t>
        </is>
      </c>
      <c r="D723">
        <f>HYPERLINK("https://www.youtube.com/watch?v=CO-6iqCum1w&amp;t=187s", "Go to time")</f>
        <v/>
      </c>
    </row>
    <row r="724">
      <c r="A724">
        <f>HYPERLINK("https://www.youtube.com/watch?v=CO-6iqCum1w", "Video")</f>
        <v/>
      </c>
      <c r="B724" t="inlineStr">
        <is>
          <t>3:10</t>
        </is>
      </c>
      <c r="C724" t="inlineStr">
        <is>
          <t>I've directed two movies now.</t>
        </is>
      </c>
      <c r="D724">
        <f>HYPERLINK("https://www.youtube.com/watch?v=CO-6iqCum1w&amp;t=190s", "Go to time")</f>
        <v/>
      </c>
    </row>
    <row r="725">
      <c r="A725">
        <f>HYPERLINK("https://www.youtube.com/watch?v=CO-6iqCum1w", "Video")</f>
        <v/>
      </c>
      <c r="B725" t="inlineStr">
        <is>
          <t>3:58</t>
        </is>
      </c>
      <c r="C725" t="inlineStr">
        <is>
          <t>of like the quiet, sweet
directors who motivated in subtle,</t>
        </is>
      </c>
      <c r="D725">
        <f>HYPERLINK("https://www.youtube.com/watch?v=CO-6iqCum1w&amp;t=238s", "Go to time")</f>
        <v/>
      </c>
    </row>
    <row r="726">
      <c r="A726">
        <f>HYPERLINK("https://www.youtube.com/watch?v=CO-6iqCum1w", "Video")</f>
        <v/>
      </c>
      <c r="B726" t="inlineStr">
        <is>
          <t>4:24</t>
        </is>
      </c>
      <c r="C726" t="inlineStr">
        <is>
          <t>I've only directed two movies</t>
        </is>
      </c>
      <c r="D726">
        <f>HYPERLINK("https://www.youtube.com/watch?v=CO-6iqCum1w&amp;t=264s", "Go to time")</f>
        <v/>
      </c>
    </row>
    <row r="727">
      <c r="A727">
        <f>HYPERLINK("https://www.youtube.com/watch?v=CO-6iqCum1w", "Video")</f>
        <v/>
      </c>
      <c r="B727" t="inlineStr">
        <is>
          <t>5:28</t>
        </is>
      </c>
      <c r="C727" t="inlineStr">
        <is>
          <t>The movie I just finished directing,</t>
        </is>
      </c>
      <c r="D727">
        <f>HYPERLINK("https://www.youtube.com/watch?v=CO-6iqCum1w&amp;t=328s", "Go to time")</f>
        <v/>
      </c>
    </row>
    <row r="728">
      <c r="A728">
        <f>HYPERLINK("https://www.youtube.com/watch?v=CO-6iqCum1w", "Video")</f>
        <v/>
      </c>
      <c r="B728" t="inlineStr">
        <is>
          <t>6:59</t>
        </is>
      </c>
      <c r="C728" t="inlineStr">
        <is>
          <t>And so as a director, I was
just enthralled by allowing him</t>
        </is>
      </c>
      <c r="D728">
        <f>HYPERLINK("https://www.youtube.com/watch?v=CO-6iqCum1w&amp;t=419s", "Go to time")</f>
        <v/>
      </c>
    </row>
    <row r="729">
      <c r="A729">
        <f>HYPERLINK("https://www.youtube.com/watch?v=CO-6iqCum1w", "Video")</f>
        <v/>
      </c>
      <c r="B729" t="inlineStr">
        <is>
          <t>7:22</t>
        </is>
      </c>
      <c r="C729" t="inlineStr">
        <is>
          <t>The first movie I directed starred</t>
        </is>
      </c>
      <c r="D729">
        <f>HYPERLINK("https://www.youtube.com/watch?v=CO-6iqCum1w&amp;t=442s", "Go to time")</f>
        <v/>
      </c>
    </row>
    <row r="730">
      <c r="A730">
        <f>HYPERLINK("https://www.youtube.com/watch?v=CO-6iqCum1w", "Video")</f>
        <v/>
      </c>
      <c r="B730" t="inlineStr">
        <is>
          <t>7:28</t>
        </is>
      </c>
      <c r="C730" t="inlineStr">
        <is>
          <t>And I had never directed a movie before,</t>
        </is>
      </c>
      <c r="D730">
        <f>HYPERLINK("https://www.youtube.com/watch?v=CO-6iqCum1w&amp;t=448s", "Go to time")</f>
        <v/>
      </c>
    </row>
    <row r="731">
      <c r="A731">
        <f>HYPERLINK("https://www.youtube.com/watch?v=CO-6iqCum1w", "Video")</f>
        <v/>
      </c>
      <c r="B731" t="inlineStr">
        <is>
          <t>7:31</t>
        </is>
      </c>
      <c r="C731" t="inlineStr">
        <is>
          <t>and I know what I wanted from a director.</t>
        </is>
      </c>
      <c r="D731">
        <f>HYPERLINK("https://www.youtube.com/watch?v=CO-6iqCum1w&amp;t=451s", "Go to time")</f>
        <v/>
      </c>
    </row>
    <row r="732">
      <c r="A732">
        <f>HYPERLINK("https://www.youtube.com/watch?v=CO-6iqCum1w", "Video")</f>
        <v/>
      </c>
      <c r="B732" t="inlineStr">
        <is>
          <t>7:37</t>
        </is>
      </c>
      <c r="C732" t="inlineStr">
        <is>
          <t>from my boss, from the
director, is I love them</t>
        </is>
      </c>
      <c r="D732">
        <f>HYPERLINK("https://www.youtube.com/watch?v=CO-6iqCum1w&amp;t=457s", "Go to time")</f>
        <v/>
      </c>
    </row>
    <row r="733">
      <c r="A733">
        <f>HYPERLINK("https://www.youtube.com/watch?v=CO-6iqCum1w", "Video")</f>
        <v/>
      </c>
      <c r="B733" t="inlineStr">
        <is>
          <t>7:43</t>
        </is>
      </c>
      <c r="C733" t="inlineStr">
        <is>
          <t>And when I was directing again
this unbearably talented,</t>
        </is>
      </c>
      <c r="D733">
        <f>HYPERLINK("https://www.youtube.com/watch?v=CO-6iqCum1w&amp;t=463s", "Go to time")</f>
        <v/>
      </c>
    </row>
    <row r="734">
      <c r="A734">
        <f>HYPERLINK("https://www.youtube.com/watch?v=CO-6iqCum1w", "Video")</f>
        <v/>
      </c>
      <c r="B734" t="inlineStr">
        <is>
          <t>7:53</t>
        </is>
      </c>
      <c r="C734" t="inlineStr">
        <is>
          <t>what I always want directors to do.</t>
        </is>
      </c>
      <c r="D734">
        <f>HYPERLINK("https://www.youtube.com/watch?v=CO-6iqCum1w&amp;t=473s", "Go to time")</f>
        <v/>
      </c>
    </row>
    <row r="735">
      <c r="A735">
        <f>HYPERLINK("https://www.youtube.com/watch?v=FTr1VnXKr4A", "Video")</f>
        <v/>
      </c>
      <c r="B735" t="inlineStr">
        <is>
          <t>2:17</t>
        </is>
      </c>
      <c r="C735" t="inlineStr">
        <is>
          <t>so synesthesia is a really um direct way</t>
        </is>
      </c>
      <c r="D735">
        <f>HYPERLINK("https://www.youtube.com/watch?v=FTr1VnXKr4A&amp;t=137s", "Go to time")</f>
        <v/>
      </c>
    </row>
    <row r="736">
      <c r="A736">
        <f>HYPERLINK("https://www.youtube.com/watch?v=DBG1Wgg32Ok", "Video")</f>
        <v/>
      </c>
      <c r="B736" t="inlineStr">
        <is>
          <t>9:54</t>
        </is>
      </c>
      <c r="C736" t="inlineStr">
        <is>
          <t>as STEM jobs, but in the other direction,</t>
        </is>
      </c>
      <c r="D736">
        <f>HYPERLINK("https://www.youtube.com/watch?v=DBG1Wgg32Ok&amp;t=594s", "Go to time")</f>
        <v/>
      </c>
    </row>
    <row r="737">
      <c r="A737">
        <f>HYPERLINK("https://www.youtube.com/watch?v=0xp_GwAKZnY", "Video")</f>
        <v/>
      </c>
      <c r="B737" t="inlineStr">
        <is>
          <t>4:18</t>
        </is>
      </c>
      <c r="C737" t="inlineStr">
        <is>
          <t>that stuff directly we're making all</t>
        </is>
      </c>
      <c r="D737">
        <f>HYPERLINK("https://www.youtube.com/watch?v=0xp_GwAKZnY&amp;t=258s", "Go to time")</f>
        <v/>
      </c>
    </row>
    <row r="738">
      <c r="A738">
        <f>HYPERLINK("https://www.youtube.com/watch?v=_Ig9MOv54cg", "Video")</f>
        <v/>
      </c>
      <c r="B738" t="inlineStr">
        <is>
          <t>1:22</t>
        </is>
      </c>
      <c r="C738" t="inlineStr">
        <is>
          <t>it starts growing more
quickly in that direction,</t>
        </is>
      </c>
      <c r="D738">
        <f>HYPERLINK("https://www.youtube.com/watch?v=_Ig9MOv54cg&amp;t=82s", "Go to time")</f>
        <v/>
      </c>
    </row>
    <row r="739">
      <c r="A739">
        <f>HYPERLINK("https://www.youtube.com/watch?v=Z6BUJEs8jlo", "Video")</f>
        <v/>
      </c>
      <c r="B739" t="inlineStr">
        <is>
          <t>7:02</t>
        </is>
      </c>
      <c r="C739" t="inlineStr">
        <is>
          <t>I went directly to</t>
        </is>
      </c>
      <c r="D739">
        <f>HYPERLINK("https://www.youtube.com/watch?v=Z6BUJEs8jlo&amp;t=422s", "Go to time")</f>
        <v/>
      </c>
    </row>
    <row r="740">
      <c r="A740">
        <f>HYPERLINK("https://www.youtube.com/watch?v=djtP2E_Lsns", "Video")</f>
        <v/>
      </c>
      <c r="B740" t="inlineStr">
        <is>
          <t>1:36</t>
        </is>
      </c>
      <c r="C740" t="inlineStr">
        <is>
          <t>directed growth is happier with their</t>
        </is>
      </c>
      <c r="D740">
        <f>HYPERLINK("https://www.youtube.com/watch?v=djtP2E_Lsns&amp;t=96s", "Go to time")</f>
        <v/>
      </c>
    </row>
    <row r="741">
      <c r="A741">
        <f>HYPERLINK("https://www.youtube.com/watch?v=xNbNrdX2-zc", "Video")</f>
        <v/>
      </c>
      <c r="B741" t="inlineStr">
        <is>
          <t>5:44</t>
        </is>
      </c>
      <c r="C741" t="inlineStr">
        <is>
          <t>in a direction that's
good for your health.</t>
        </is>
      </c>
      <c r="D741">
        <f>HYPERLINK("https://www.youtube.com/watch?v=xNbNrdX2-zc&amp;t=344s", "Go to time")</f>
        <v/>
      </c>
    </row>
    <row r="742">
      <c r="A742">
        <f>HYPERLINK("https://www.youtube.com/watch?v=3afHd3GKTyU", "Video")</f>
        <v/>
      </c>
      <c r="B742" t="inlineStr">
        <is>
          <t>0:59</t>
        </is>
      </c>
      <c r="C742" t="inlineStr">
        <is>
          <t>photographer was who the art director</t>
        </is>
      </c>
      <c r="D742">
        <f>HYPERLINK("https://www.youtube.com/watch?v=3afHd3GKTyU&amp;t=59s", "Go to time")</f>
        <v/>
      </c>
    </row>
    <row r="743">
      <c r="A743">
        <f>HYPERLINK("https://www.youtube.com/watch?v=3afHd3GKTyU", "Video")</f>
        <v/>
      </c>
      <c r="B743" t="inlineStr">
        <is>
          <t>4:55</t>
        </is>
      </c>
      <c r="C743" t="inlineStr">
        <is>
          <t>consult um it's not all direct but every</t>
        </is>
      </c>
      <c r="D743">
        <f>HYPERLINK("https://www.youtube.com/watch?v=3afHd3GKTyU&amp;t=295s", "Go to time")</f>
        <v/>
      </c>
    </row>
    <row r="744">
      <c r="A744">
        <f>HYPERLINK("https://www.youtube.com/watch?v=3afHd3GKTyU", "Video")</f>
        <v/>
      </c>
      <c r="B744" t="inlineStr">
        <is>
          <t>5:15</t>
        </is>
      </c>
      <c r="C744" t="inlineStr">
        <is>
          <t>get the direct dollars from um but there</t>
        </is>
      </c>
      <c r="D744">
        <f>HYPERLINK("https://www.youtube.com/watch?v=3afHd3GKTyU&amp;t=315s", "Go to time")</f>
        <v/>
      </c>
    </row>
    <row r="745">
      <c r="A745">
        <f>HYPERLINK("https://www.youtube.com/watch?v=3afHd3GKTyU", "Video")</f>
        <v/>
      </c>
      <c r="B745" t="inlineStr">
        <is>
          <t>5:51</t>
        </is>
      </c>
      <c r="C745" t="inlineStr">
        <is>
          <t>not get direct compensation for it and</t>
        </is>
      </c>
      <c r="D745">
        <f>HYPERLINK("https://www.youtube.com/watch?v=3afHd3GKTyU&amp;t=351s", "Go to time")</f>
        <v/>
      </c>
    </row>
    <row r="746">
      <c r="A746">
        <f>HYPERLINK("https://www.youtube.com/watch?v=pGsbEd6w7PI", "Video")</f>
        <v/>
      </c>
      <c r="B746" t="inlineStr">
        <is>
          <t>3:48</t>
        </is>
      </c>
      <c r="C746" t="inlineStr">
        <is>
          <t>And that's a direct prediction</t>
        </is>
      </c>
      <c r="D746">
        <f>HYPERLINK("https://www.youtube.com/watch?v=pGsbEd6w7PI&amp;t=228s", "Go to time")</f>
        <v/>
      </c>
    </row>
    <row r="747">
      <c r="A747">
        <f>HYPERLINK("https://www.youtube.com/watch?v=VuzeLJMFut4", "Video")</f>
        <v/>
      </c>
      <c r="B747" t="inlineStr">
        <is>
          <t>4:47</t>
        </is>
      </c>
      <c r="C747" t="inlineStr">
        <is>
          <t>are directly um you know and</t>
        </is>
      </c>
      <c r="D747">
        <f>HYPERLINK("https://www.youtube.com/watch?v=VuzeLJMFut4&amp;t=287s", "Go to time")</f>
        <v/>
      </c>
    </row>
    <row r="748">
      <c r="A748">
        <f>HYPERLINK("https://www.youtube.com/watch?v=ke8oFS8-fBk", "Video")</f>
        <v/>
      </c>
      <c r="B748" t="inlineStr">
        <is>
          <t>25:50</t>
        </is>
      </c>
      <c r="C748" t="inlineStr">
        <is>
          <t>because those things
aren't self-directed yet.</t>
        </is>
      </c>
      <c r="D748">
        <f>HYPERLINK("https://www.youtube.com/watch?v=ke8oFS8-fBk&amp;t=1550s", "Go to time")</f>
        <v/>
      </c>
    </row>
    <row r="749">
      <c r="A749">
        <f>HYPERLINK("https://www.youtube.com/watch?v=xvmBQhh4jXg", "Video")</f>
        <v/>
      </c>
      <c r="B749" t="inlineStr">
        <is>
          <t>1:42</t>
        </is>
      </c>
      <c r="C749" t="inlineStr">
        <is>
          <t>the climate and all this tracks directly</t>
        </is>
      </c>
      <c r="D749">
        <f>HYPERLINK("https://www.youtube.com/watch?v=xvmBQhh4jXg&amp;t=102s", "Go to time")</f>
        <v/>
      </c>
    </row>
    <row r="750">
      <c r="A750">
        <f>HYPERLINK("https://www.youtube.com/watch?v=6-tKCn2uvaE", "Video")</f>
        <v/>
      </c>
      <c r="B750" t="inlineStr">
        <is>
          <t>5:28</t>
        </is>
      </c>
      <c r="C750" t="inlineStr">
        <is>
          <t>directly</t>
        </is>
      </c>
      <c r="D750">
        <f>HYPERLINK("https://www.youtube.com/watch?v=6-tKCn2uvaE&amp;t=328s", "Go to time")</f>
        <v/>
      </c>
    </row>
    <row r="751">
      <c r="A751">
        <f>HYPERLINK("https://www.youtube.com/watch?v=6-tKCn2uvaE", "Video")</f>
        <v/>
      </c>
      <c r="B751" t="inlineStr">
        <is>
          <t>5:49</t>
        </is>
      </c>
      <c r="C751" t="inlineStr">
        <is>
          <t>one direction or another uh but it's</t>
        </is>
      </c>
      <c r="D751">
        <f>HYPERLINK("https://www.youtube.com/watch?v=6-tKCn2uvaE&amp;t=349s", "Go to time")</f>
        <v/>
      </c>
    </row>
    <row r="752">
      <c r="A752">
        <f>HYPERLINK("https://www.youtube.com/watch?v=7yPcCpHPPt8", "Video")</f>
        <v/>
      </c>
      <c r="B752" t="inlineStr">
        <is>
          <t>0:00</t>
        </is>
      </c>
      <c r="C752" t="inlineStr">
        <is>
          <t>when I was the director of the shakes</t>
        </is>
      </c>
      <c r="D752">
        <f>HYPERLINK("https://www.youtube.com/watch?v=7yPcCpHPPt8&amp;t=0s", "Go to time")</f>
        <v/>
      </c>
    </row>
    <row r="753">
      <c r="A753">
        <f>HYPERLINK("https://www.youtube.com/watch?v=7yPcCpHPPt8", "Video")</f>
        <v/>
      </c>
      <c r="B753" t="inlineStr">
        <is>
          <t>3:06</t>
        </is>
      </c>
      <c r="C753" t="inlineStr">
        <is>
          <t>suggest the directors that Shakespeare's</t>
        </is>
      </c>
      <c r="D753">
        <f>HYPERLINK("https://www.youtube.com/watch?v=7yPcCpHPPt8&amp;t=186s", "Go to time")</f>
        <v/>
      </c>
    </row>
    <row r="754">
      <c r="A754">
        <f>HYPERLINK("https://www.youtube.com/watch?v=8GqnzBJkWcw", "Video")</f>
        <v/>
      </c>
      <c r="B754" t="inlineStr">
        <is>
          <t>2:34</t>
        </is>
      </c>
      <c r="C754" t="inlineStr">
        <is>
          <t>That sort of sets you up in the wrong direction
right away because you could imagine that</t>
        </is>
      </c>
      <c r="D754">
        <f>HYPERLINK("https://www.youtube.com/watch?v=8GqnzBJkWcw&amp;t=154s", "Go to time")</f>
        <v/>
      </c>
    </row>
    <row r="755">
      <c r="A755">
        <f>HYPERLINK("https://www.youtube.com/watch?v=8GqnzBJkWcw", "Video")</f>
        <v/>
      </c>
      <c r="B755" t="inlineStr">
        <is>
          <t>3:11</t>
        </is>
      </c>
      <c r="C755" t="inlineStr">
        <is>
          <t>Being on a galaxy right on the edge of expansion
and seeing all of the galaxies in one direction</t>
        </is>
      </c>
      <c r="D755">
        <f>HYPERLINK("https://www.youtube.com/watch?v=8GqnzBJkWcw&amp;t=191s", "Go to time")</f>
        <v/>
      </c>
    </row>
    <row r="756">
      <c r="A756">
        <f>HYPERLINK("https://www.youtube.com/watch?v=8GqnzBJkWcw", "Video")</f>
        <v/>
      </c>
      <c r="B756" t="inlineStr">
        <is>
          <t>3:56</t>
        </is>
      </c>
      <c r="C756" t="inlineStr">
        <is>
          <t>wrong direction because they say aha, a balloon
has an empty center and everything expands</t>
        </is>
      </c>
      <c r="D756">
        <f>HYPERLINK("https://www.youtube.com/watch?v=8GqnzBJkWcw&amp;t=236s", "Go to time")</f>
        <v/>
      </c>
    </row>
    <row r="757">
      <c r="A757">
        <f>HYPERLINK("https://www.youtube.com/watch?v=8GqnzBJkWcw", "Video")</f>
        <v/>
      </c>
      <c r="B757" t="inlineStr">
        <is>
          <t>4:13</t>
        </is>
      </c>
      <c r="C757" t="inlineStr">
        <is>
          <t>As you blow into it that expands in every
direction.</t>
        </is>
      </c>
      <c r="D757">
        <f>HYPERLINK("https://www.youtube.com/watch?v=8GqnzBJkWcw&amp;t=253s", "Go to time")</f>
        <v/>
      </c>
    </row>
    <row r="758">
      <c r="A758">
        <f>HYPERLINK("https://www.youtube.com/watch?v=dTjgrG2UY30", "Video")</f>
        <v/>
      </c>
      <c r="B758" t="inlineStr">
        <is>
          <t>7:03</t>
        </is>
      </c>
      <c r="C758" t="inlineStr">
        <is>
          <t>Maybe it's the "Prime Directive."</t>
        </is>
      </c>
      <c r="D758">
        <f>HYPERLINK("https://www.youtube.com/watch?v=dTjgrG2UY30&amp;t=423s", "Go to time")</f>
        <v/>
      </c>
    </row>
    <row r="759">
      <c r="A759">
        <f>HYPERLINK("https://www.youtube.com/watch?v=dTjgrG2UY30", "Video")</f>
        <v/>
      </c>
      <c r="B759" t="inlineStr">
        <is>
          <t>7:07</t>
        </is>
      </c>
      <c r="C759" t="inlineStr">
        <is>
          <t>Still thank the Prime
directives for this planet?</t>
        </is>
      </c>
      <c r="D759">
        <f>HYPERLINK("https://www.youtube.com/watch?v=dTjgrG2UY30&amp;t=427s", "Go to time")</f>
        <v/>
      </c>
    </row>
    <row r="760">
      <c r="A760">
        <f>HYPERLINK("https://www.youtube.com/watch?v=p-irhANg8_s", "Video")</f>
        <v/>
      </c>
      <c r="B760" t="inlineStr">
        <is>
          <t>1:55</t>
        </is>
      </c>
      <c r="C760" t="inlineStr">
        <is>
          <t>direction of the ship and that really</t>
        </is>
      </c>
      <c r="D760">
        <f>HYPERLINK("https://www.youtube.com/watch?v=p-irhANg8_s&amp;t=115s", "Go to time")</f>
        <v/>
      </c>
    </row>
    <row r="761">
      <c r="A761">
        <f>HYPERLINK("https://www.youtube.com/watch?v=DPBBz4PZID4", "Video")</f>
        <v/>
      </c>
      <c r="B761" t="inlineStr">
        <is>
          <t>0:12</t>
        </is>
      </c>
      <c r="C761" t="inlineStr">
        <is>
          <t>director of the program in culture</t>
        </is>
      </c>
      <c r="D761">
        <f>HYPERLINK("https://www.youtube.com/watch?v=DPBBz4PZID4&amp;t=12s", "Go to time")</f>
        <v/>
      </c>
    </row>
    <row r="762">
      <c r="A762">
        <f>HYPERLINK("https://www.youtube.com/watch?v=DPBBz4PZID4", "Video")</f>
        <v/>
      </c>
      <c r="B762" t="inlineStr">
        <is>
          <t>9:25</t>
        </is>
      </c>
      <c r="C762" t="inlineStr">
        <is>
          <t>directly how civil rights politics civil</t>
        </is>
      </c>
      <c r="D762">
        <f>HYPERLINK("https://www.youtube.com/watch?v=DPBBz4PZID4&amp;t=565s", "Go to time")</f>
        <v/>
      </c>
    </row>
    <row r="763">
      <c r="A763">
        <f>HYPERLINK("https://www.youtube.com/watch?v=7fSUTurBeGU", "Video")</f>
        <v/>
      </c>
      <c r="B763" t="inlineStr">
        <is>
          <t>0:31</t>
        </is>
      </c>
      <c r="C763" t="inlineStr">
        <is>
          <t>I think all artistic directors in the</t>
        </is>
      </c>
      <c r="D763">
        <f>HYPERLINK("https://www.youtube.com/watch?v=7fSUTurBeGU&amp;t=31s", "Go to time")</f>
        <v/>
      </c>
    </row>
    <row r="764">
      <c r="A764">
        <f>HYPERLINK("https://www.youtube.com/watch?v=Da9TGKnHMxs", "Video")</f>
        <v/>
      </c>
      <c r="B764" t="inlineStr">
        <is>
          <t>0:55</t>
        </is>
      </c>
      <c r="C764" t="inlineStr">
        <is>
          <t>is nobody addresses difficult
things or conflict directly.</t>
        </is>
      </c>
      <c r="D764">
        <f>HYPERLINK("https://www.youtube.com/watch?v=Da9TGKnHMxs&amp;t=55s", "Go to time")</f>
        <v/>
      </c>
    </row>
    <row r="765">
      <c r="A765">
        <f>HYPERLINK("https://www.youtube.com/watch?v=Da9TGKnHMxs", "Video")</f>
        <v/>
      </c>
      <c r="B765" t="inlineStr">
        <is>
          <t>3:06</t>
        </is>
      </c>
      <c r="C765" t="inlineStr">
        <is>
          <t>and that will steer you in the
right direction of culture.</t>
        </is>
      </c>
      <c r="D765">
        <f>HYPERLINK("https://www.youtube.com/watch?v=Da9TGKnHMxs&amp;t=186s", "Go to time")</f>
        <v/>
      </c>
    </row>
    <row r="766">
      <c r="A766">
        <f>HYPERLINK("https://www.youtube.com/watch?v=O-VjPiZYvHo", "Video")</f>
        <v/>
      </c>
      <c r="B766" t="inlineStr">
        <is>
          <t>3:48</t>
        </is>
      </c>
      <c r="C766" t="inlineStr">
        <is>
          <t>We can do the math of how things would behave
if they could move in 11 different directions.</t>
        </is>
      </c>
      <c r="D766">
        <f>HYPERLINK("https://www.youtube.com/watch?v=O-VjPiZYvHo&amp;t=228s", "Go to time")</f>
        <v/>
      </c>
    </row>
    <row r="767">
      <c r="A767">
        <f>HYPERLINK("https://www.youtube.com/watch?v=A7lh4jt46d0", "Video")</f>
        <v/>
      </c>
      <c r="B767" t="inlineStr">
        <is>
          <t>8:41</t>
        </is>
      </c>
      <c r="C767" t="inlineStr">
        <is>
          <t>take us in the right direction of which</t>
        </is>
      </c>
      <c r="D767">
        <f>HYPERLINK("https://www.youtube.com/watch?v=A7lh4jt46d0&amp;t=521s", "Go to time")</f>
        <v/>
      </c>
    </row>
    <row r="768">
      <c r="A768">
        <f>HYPERLINK("https://www.youtube.com/watch?v=erfgEHHfFkU", "Video")</f>
        <v/>
      </c>
      <c r="B768" t="inlineStr">
        <is>
          <t>2:16</t>
        </is>
      </c>
      <c r="C768" t="inlineStr">
        <is>
          <t>Emotion directs attention.</t>
        </is>
      </c>
      <c r="D768">
        <f>HYPERLINK("https://www.youtube.com/watch?v=erfgEHHfFkU&amp;t=136s", "Go to time")</f>
        <v/>
      </c>
    </row>
    <row r="769">
      <c r="A769">
        <f>HYPERLINK("https://www.youtube.com/watch?v=4jO-wq68-_I", "Video")</f>
        <v/>
      </c>
      <c r="B769" t="inlineStr">
        <is>
          <t>0:08</t>
        </is>
      </c>
      <c r="C769" t="inlineStr">
        <is>
          <t>Harvard and I co-direct the Harvard stem</t>
        </is>
      </c>
      <c r="D769">
        <f>HYPERLINK("https://www.youtube.com/watch?v=4jO-wq68-_I&amp;t=8s", "Go to time")</f>
        <v/>
      </c>
    </row>
    <row r="770">
      <c r="A770">
        <f>HYPERLINK("https://www.youtube.com/watch?v=4jO-wq68-_I", "Video")</f>
        <v/>
      </c>
      <c r="B770" t="inlineStr">
        <is>
          <t>0:11</t>
        </is>
      </c>
      <c r="C770" t="inlineStr">
        <is>
          <t>cell Institute cor I direct the center</t>
        </is>
      </c>
      <c r="D770">
        <f>HYPERLINK("https://www.youtube.com/watch?v=4jO-wq68-_I&amp;t=11s", "Go to time")</f>
        <v/>
      </c>
    </row>
    <row r="771">
      <c r="A771">
        <f>HYPERLINK("https://www.youtube.com/watch?v=SCW9oH-DUd8", "Video")</f>
        <v/>
      </c>
      <c r="B771" t="inlineStr">
        <is>
          <t>0:40</t>
        </is>
      </c>
      <c r="C771" t="inlineStr">
        <is>
          <t>uh business directories moving to things</t>
        </is>
      </c>
      <c r="D771">
        <f>HYPERLINK("https://www.youtube.com/watch?v=SCW9oH-DUd8&amp;t=40s", "Go to time")</f>
        <v/>
      </c>
    </row>
    <row r="772">
      <c r="A772">
        <f>HYPERLINK("https://www.youtube.com/watch?v=Jtn2Wxai-ug", "Video")</f>
        <v/>
      </c>
      <c r="B772" t="inlineStr">
        <is>
          <t>25:32</t>
        </is>
      </c>
      <c r="C772" t="inlineStr">
        <is>
          <t>over and over through
undirected mutations,</t>
        </is>
      </c>
      <c r="D772">
        <f>HYPERLINK("https://www.youtube.com/watch?v=Jtn2Wxai-ug&amp;t=1532s", "Go to time")</f>
        <v/>
      </c>
    </row>
    <row r="773">
      <c r="A773">
        <f>HYPERLINK("https://www.youtube.com/watch?v=Jtn2Wxai-ug", "Video")</f>
        <v/>
      </c>
      <c r="B773" t="inlineStr">
        <is>
          <t>53:11</t>
        </is>
      </c>
      <c r="C773" t="inlineStr">
        <is>
          <t>directly related to the
outcome that occurs, right?</t>
        </is>
      </c>
      <c r="D773">
        <f>HYPERLINK("https://www.youtube.com/watch?v=Jtn2Wxai-ug&amp;t=3191s", "Go to time")</f>
        <v/>
      </c>
    </row>
    <row r="774">
      <c r="A774">
        <f>HYPERLINK("https://www.youtube.com/watch?v=Jtn2Wxai-ug", "Video")</f>
        <v/>
      </c>
      <c r="B774" t="inlineStr">
        <is>
          <t>73:30</t>
        </is>
      </c>
      <c r="C774" t="inlineStr">
        <is>
          <t>So everything that's happening
now is directly caused</t>
        </is>
      </c>
      <c r="D774">
        <f>HYPERLINK("https://www.youtube.com/watch?v=Jtn2Wxai-ug&amp;t=4410s", "Go to time")</f>
        <v/>
      </c>
    </row>
    <row r="775">
      <c r="A775">
        <f>HYPERLINK("https://www.youtube.com/watch?v=Jtn2Wxai-ug", "Video")</f>
        <v/>
      </c>
      <c r="B775" t="inlineStr">
        <is>
          <t>75:49</t>
        </is>
      </c>
      <c r="C775" t="inlineStr">
        <is>
          <t>that was directly an
unbroken chain of events</t>
        </is>
      </c>
      <c r="D775">
        <f>HYPERLINK("https://www.youtube.com/watch?v=Jtn2Wxai-ug&amp;t=4549s", "Go to time")</f>
        <v/>
      </c>
    </row>
    <row r="776">
      <c r="A776">
        <f>HYPERLINK("https://www.youtube.com/watch?v=zox0WIFRJgQ", "Video")</f>
        <v/>
      </c>
      <c r="B776" t="inlineStr">
        <is>
          <t>5:54</t>
        </is>
      </c>
      <c r="C776" t="inlineStr">
        <is>
          <t>that upon impact ignites, and little globs of 
the jelly splatter in a thousand directions.</t>
        </is>
      </c>
      <c r="D776">
        <f>HYPERLINK("https://www.youtube.com/watch?v=zox0WIFRJgQ&amp;t=354s", "Go to time")</f>
        <v/>
      </c>
    </row>
    <row r="777">
      <c r="A777">
        <f>HYPERLINK("https://www.youtube.com/watch?v=N1E8l9NwNvk", "Video")</f>
        <v/>
      </c>
      <c r="B777" t="inlineStr">
        <is>
          <t>5:05</t>
        </is>
      </c>
      <c r="C777" t="inlineStr">
        <is>
          <t>direct and I'm more effective at</t>
        </is>
      </c>
      <c r="D777">
        <f>HYPERLINK("https://www.youtube.com/watch?v=N1E8l9NwNvk&amp;t=305s", "Go to time")</f>
        <v/>
      </c>
    </row>
    <row r="778">
      <c r="A778">
        <f>HYPERLINK("https://www.youtube.com/watch?v=14q--V-LnBM", "Video")</f>
        <v/>
      </c>
      <c r="B778" t="inlineStr">
        <is>
          <t>0:56</t>
        </is>
      </c>
      <c r="C778" t="inlineStr">
        <is>
          <t>David Fincher movies that he directed did
very well.</t>
        </is>
      </c>
      <c r="D778">
        <f>HYPERLINK("https://www.youtube.com/watch?v=14q--V-LnBM&amp;t=56s", "Go to time")</f>
        <v/>
      </c>
    </row>
    <row r="779">
      <c r="A779">
        <f>HYPERLINK("https://www.youtube.com/watch?v=7ZLQ0z1lPBM", "Video")</f>
        <v/>
      </c>
      <c r="B779" t="inlineStr">
        <is>
          <t>0:36</t>
        </is>
      </c>
      <c r="C779" t="inlineStr">
        <is>
          <t>us in the right direction of which drugs</t>
        </is>
      </c>
      <c r="D779">
        <f>HYPERLINK("https://www.youtube.com/watch?v=7ZLQ0z1lPBM&amp;t=36s", "Go to time")</f>
        <v/>
      </c>
    </row>
    <row r="780">
      <c r="A780">
        <f>HYPERLINK("https://www.youtube.com/watch?v=sJ1TY5W1ZVg", "Video")</f>
        <v/>
      </c>
      <c r="B780" t="inlineStr">
        <is>
          <t>2:45</t>
        </is>
      </c>
      <c r="C780" t="inlineStr">
        <is>
          <t>and so I think that's that's a direction</t>
        </is>
      </c>
      <c r="D780">
        <f>HYPERLINK("https://www.youtube.com/watch?v=sJ1TY5W1ZVg&amp;t=165s", "Go to time")</f>
        <v/>
      </c>
    </row>
    <row r="781">
      <c r="A781">
        <f>HYPERLINK("https://www.youtube.com/watch?v=N9b2zqWSIs4", "Video")</f>
        <v/>
      </c>
      <c r="B781" t="inlineStr">
        <is>
          <t>2:06</t>
        </is>
      </c>
      <c r="C781" t="inlineStr">
        <is>
          <t>have advanced directives written out for</t>
        </is>
      </c>
      <c r="D781">
        <f>HYPERLINK("https://www.youtube.com/watch?v=N9b2zqWSIs4&amp;t=126s", "Go to time")</f>
        <v/>
      </c>
    </row>
    <row r="782">
      <c r="A782">
        <f>HYPERLINK("https://www.youtube.com/watch?v=xEsXkDSISGc", "Video")</f>
        <v/>
      </c>
      <c r="B782" t="inlineStr">
        <is>
          <t>7:05</t>
        </is>
      </c>
      <c r="C782" t="inlineStr">
        <is>
          <t>different direction this is the greatest</t>
        </is>
      </c>
      <c r="D782">
        <f>HYPERLINK("https://www.youtube.com/watch?v=xEsXkDSISGc&amp;t=425s", "Go to time")</f>
        <v/>
      </c>
    </row>
    <row r="783">
      <c r="A783">
        <f>HYPERLINK("https://www.youtube.com/watch?v=Ask0pBIKdDk", "Video")</f>
        <v/>
      </c>
      <c r="B783" t="inlineStr">
        <is>
          <t>0:02</t>
        </is>
      </c>
      <c r="C783" t="inlineStr">
        <is>
          <t>and it is almost always
directly correlated</t>
        </is>
      </c>
      <c r="D783">
        <f>HYPERLINK("https://www.youtube.com/watch?v=Ask0pBIKdDk&amp;t=2s", "Go to time")</f>
        <v/>
      </c>
    </row>
    <row r="784">
      <c r="A784">
        <f>HYPERLINK("https://www.youtube.com/watch?v=CEGfLGryl34", "Video")</f>
        <v/>
      </c>
      <c r="B784" t="inlineStr">
        <is>
          <t>1:54</t>
        </is>
      </c>
      <c r="C784" t="inlineStr">
        <is>
          <t>uh uh the uh direct to Consumer uh</t>
        </is>
      </c>
      <c r="D784">
        <f>HYPERLINK("https://www.youtube.com/watch?v=CEGfLGryl34&amp;t=114s", "Go to time")</f>
        <v/>
      </c>
    </row>
    <row r="785">
      <c r="A785">
        <f>HYPERLINK("https://www.youtube.com/watch?v=7tY6UmatJfI", "Video")</f>
        <v/>
      </c>
      <c r="B785" t="inlineStr">
        <is>
          <t>12:04</t>
        </is>
      </c>
      <c r="C785" t="inlineStr">
        <is>
          <t>look to for guidance and direction in</t>
        </is>
      </c>
      <c r="D785">
        <f>HYPERLINK("https://www.youtube.com/watch?v=7tY6UmatJfI&amp;t=724s", "Go to time")</f>
        <v/>
      </c>
    </row>
    <row r="786">
      <c r="A786">
        <f>HYPERLINK("https://www.youtube.com/watch?v=tpE0jUO5WoI", "Video")</f>
        <v/>
      </c>
      <c r="B786" t="inlineStr">
        <is>
          <t>11:43</t>
        </is>
      </c>
      <c r="C786" t="inlineStr">
        <is>
          <t>to supplement with vitamin B12, which is either in 
the form of direct supplementation, but actually</t>
        </is>
      </c>
      <c r="D786">
        <f>HYPERLINK("https://www.youtube.com/watch?v=tpE0jUO5WoI&amp;t=703s", "Go to time")</f>
        <v/>
      </c>
    </row>
    <row r="787">
      <c r="A787">
        <f>HYPERLINK("https://www.youtube.com/watch?v=tpE0jUO5WoI", "Video")</f>
        <v/>
      </c>
      <c r="B787" t="inlineStr">
        <is>
          <t>17:54</t>
        </is>
      </c>
      <c r="C787" t="inlineStr">
        <is>
          <t>and put it more directly into human mouths. So 
if we were to implement all of these solutions,</t>
        </is>
      </c>
      <c r="D787">
        <f>HYPERLINK("https://www.youtube.com/watch?v=tpE0jUO5WoI&amp;t=1074s", "Go to time")</f>
        <v/>
      </c>
    </row>
    <row r="788">
      <c r="A788">
        <f>HYPERLINK("https://www.youtube.com/watch?v=BQYaH5Gqyyo", "Video")</f>
        <v/>
      </c>
      <c r="B788" t="inlineStr">
        <is>
          <t>0:58</t>
        </is>
      </c>
      <c r="C788" t="inlineStr">
        <is>
          <t>address the direct needs of the</t>
        </is>
      </c>
      <c r="D788">
        <f>HYPERLINK("https://www.youtube.com/watch?v=BQYaH5Gqyyo&amp;t=58s", "Go to time")</f>
        <v/>
      </c>
    </row>
    <row r="789">
      <c r="A789">
        <f>HYPERLINK("https://www.youtube.com/watch?v=PxU62YImMMg", "Video")</f>
        <v/>
      </c>
      <c r="B789" t="inlineStr">
        <is>
          <t>2:07</t>
        </is>
      </c>
      <c r="C789" t="inlineStr">
        <is>
          <t>have a moral Direction they just reward</t>
        </is>
      </c>
      <c r="D789">
        <f>HYPERLINK("https://www.youtube.com/watch?v=PxU62YImMMg&amp;t=127s", "Go to time")</f>
        <v/>
      </c>
    </row>
    <row r="790">
      <c r="A790">
        <f>HYPERLINK("https://www.youtube.com/watch?v=zakN6B_Tiq8", "Video")</f>
        <v/>
      </c>
      <c r="B790" t="inlineStr">
        <is>
          <t>2:39</t>
        </is>
      </c>
      <c r="C790" t="inlineStr">
        <is>
          <t>direct involvement in other countries</t>
        </is>
      </c>
      <c r="D790">
        <f>HYPERLINK("https://www.youtube.com/watch?v=zakN6B_Tiq8&amp;t=159s", "Go to time")</f>
        <v/>
      </c>
    </row>
    <row r="791">
      <c r="A791">
        <f>HYPERLINK("https://www.youtube.com/watch?v=j19vsWsz8p4", "Video")</f>
        <v/>
      </c>
      <c r="B791" t="inlineStr">
        <is>
          <t>10:16</t>
        </is>
      </c>
      <c r="C791" t="inlineStr">
        <is>
          <t>direction look how popular President</t>
        </is>
      </c>
      <c r="D791">
        <f>HYPERLINK("https://www.youtube.com/watch?v=j19vsWsz8p4&amp;t=616s", "Go to time")</f>
        <v/>
      </c>
    </row>
    <row r="792">
      <c r="A792">
        <f>HYPERLINK("https://www.youtube.com/watch?v=j19vsWsz8p4", "Video")</f>
        <v/>
      </c>
      <c r="B792" t="inlineStr">
        <is>
          <t>11:30</t>
        </is>
      </c>
      <c r="C792" t="inlineStr">
        <is>
          <t>directed uh I've been within the margin</t>
        </is>
      </c>
      <c r="D792">
        <f>HYPERLINK("https://www.youtube.com/watch?v=j19vsWsz8p4&amp;t=690s", "Go to time")</f>
        <v/>
      </c>
    </row>
    <row r="793">
      <c r="A793">
        <f>HYPERLINK("https://www.youtube.com/watch?v=3KGoPw7QSrw", "Video")</f>
        <v/>
      </c>
      <c r="B793" t="inlineStr">
        <is>
          <t>5:14</t>
        </is>
      </c>
      <c r="C793" t="inlineStr">
        <is>
          <t>direction all the science we've been</t>
        </is>
      </c>
      <c r="D793">
        <f>HYPERLINK("https://www.youtube.com/watch?v=3KGoPw7QSrw&amp;t=314s", "Go to time")</f>
        <v/>
      </c>
    </row>
    <row r="794">
      <c r="A794">
        <f>HYPERLINK("https://www.youtube.com/watch?v=tPMCoD1p-x8", "Video")</f>
        <v/>
      </c>
      <c r="B794" t="inlineStr">
        <is>
          <t>8:00</t>
        </is>
      </c>
      <c r="C794" t="inlineStr">
        <is>
          <t>If we look at those costs, direct and indirect,
we're spending as much taking care of people</t>
        </is>
      </c>
      <c r="D794">
        <f>HYPERLINK("https://www.youtube.com/watch?v=tPMCoD1p-x8&amp;t=480s", "Go to time")</f>
        <v/>
      </c>
    </row>
    <row r="795">
      <c r="A795">
        <f>HYPERLINK("https://www.youtube.com/watch?v=tPMCoD1p-x8", "Video")</f>
        <v/>
      </c>
      <c r="B795" t="inlineStr">
        <is>
          <t>8:27</t>
        </is>
      </c>
      <c r="C795" t="inlineStr">
        <is>
          <t>being able to identify them, being able to
direct resources to them.</t>
        </is>
      </c>
      <c r="D795">
        <f>HYPERLINK("https://www.youtube.com/watch?v=tPMCoD1p-x8&amp;t=507s", "Go to time")</f>
        <v/>
      </c>
    </row>
    <row r="796">
      <c r="A796">
        <f>HYPERLINK("https://www.youtube.com/watch?v=qTcn9evL644", "Video")</f>
        <v/>
      </c>
      <c r="B796" t="inlineStr">
        <is>
          <t>0:06</t>
        </is>
      </c>
      <c r="C796" t="inlineStr">
        <is>
          <t>There are certain expenditures
that have a direct link</t>
        </is>
      </c>
      <c r="D796">
        <f>HYPERLINK("https://www.youtube.com/watch?v=qTcn9evL644&amp;t=6s", "Go to time")</f>
        <v/>
      </c>
    </row>
    <row r="797">
      <c r="A797">
        <f>HYPERLINK("https://www.youtube.com/watch?v=qTcn9evL644", "Video")</f>
        <v/>
      </c>
      <c r="B797" t="inlineStr">
        <is>
          <t>3:21</t>
        </is>
      </c>
      <c r="C797" t="inlineStr">
        <is>
          <t>- There are certain expenditures
that have a direct link</t>
        </is>
      </c>
      <c r="D797">
        <f>HYPERLINK("https://www.youtube.com/watch?v=qTcn9evL644&amp;t=201s", "Go to time")</f>
        <v/>
      </c>
    </row>
    <row r="798">
      <c r="A798">
        <f>HYPERLINK("https://www.youtube.com/watch?v=t-FDYifBuus", "Video")</f>
        <v/>
      </c>
      <c r="B798" t="inlineStr">
        <is>
          <t>7:42</t>
        </is>
      </c>
      <c r="C798" t="inlineStr">
        <is>
          <t>directions so like this moment if I was</t>
        </is>
      </c>
      <c r="D798">
        <f>HYPERLINK("https://www.youtube.com/watch?v=t-FDYifBuus&amp;t=462s", "Go to time")</f>
        <v/>
      </c>
    </row>
    <row r="799">
      <c r="A799">
        <f>HYPERLINK("https://www.youtube.com/watch?v=NIyLi7LuX14", "Video")</f>
        <v/>
      </c>
      <c r="B799" t="inlineStr">
        <is>
          <t>2:38</t>
        </is>
      </c>
      <c r="C799" t="inlineStr">
        <is>
          <t>direction I think it's again we've</t>
        </is>
      </c>
      <c r="D799">
        <f>HYPERLINK("https://www.youtube.com/watch?v=NIyLi7LuX14&amp;t=158s", "Go to time")</f>
        <v/>
      </c>
    </row>
    <row r="800">
      <c r="A800">
        <f>HYPERLINK("https://www.youtube.com/watch?v=NIyLi7LuX14", "Video")</f>
        <v/>
      </c>
      <c r="B800" t="inlineStr">
        <is>
          <t>4:46</t>
        </is>
      </c>
      <c r="C800" t="inlineStr">
        <is>
          <t>other direction</t>
        </is>
      </c>
      <c r="D800">
        <f>HYPERLINK("https://www.youtube.com/watch?v=NIyLi7LuX14&amp;t=286s", "Go to time")</f>
        <v/>
      </c>
    </row>
    <row r="801">
      <c r="A801">
        <f>HYPERLINK("https://www.youtube.com/watch?v=g40UzcLw8fM", "Video")</f>
        <v/>
      </c>
      <c r="B801" t="inlineStr">
        <is>
          <t>3:37</t>
        </is>
      </c>
      <c r="C801" t="inlineStr">
        <is>
          <t>direction it would be a pretty useless</t>
        </is>
      </c>
      <c r="D801">
        <f>HYPERLINK("https://www.youtube.com/watch?v=g40UzcLw8fM&amp;t=217s", "Go to time")</f>
        <v/>
      </c>
    </row>
    <row r="802">
      <c r="A802">
        <f>HYPERLINK("https://www.youtube.com/watch?v=NgJ6mwqNjwk", "Video")</f>
        <v/>
      </c>
      <c r="B802" t="inlineStr">
        <is>
          <t>0:11</t>
        </is>
      </c>
      <c r="C802" t="inlineStr">
        <is>
          <t>director, Reine Graves.</t>
        </is>
      </c>
      <c r="D802">
        <f>HYPERLINK("https://www.youtube.com/watch?v=NgJ6mwqNjwk&amp;t=11s", "Go to time")</f>
        <v/>
      </c>
    </row>
    <row r="803">
      <c r="A803">
        <f>HYPERLINK("https://www.youtube.com/watch?v=ZRCgFjn4Hjg", "Video")</f>
        <v/>
      </c>
      <c r="B803" t="inlineStr">
        <is>
          <t>4:38</t>
        </is>
      </c>
      <c r="C803" t="inlineStr">
        <is>
          <t>He’s joined my Heroic Imagination Project
team as director of corporate initiatives.</t>
        </is>
      </c>
      <c r="D803">
        <f>HYPERLINK("https://www.youtube.com/watch?v=ZRCgFjn4Hjg&amp;t=278s", "Go to time")</f>
        <v/>
      </c>
    </row>
    <row r="804">
      <c r="A804">
        <f>HYPERLINK("https://www.youtube.com/watch?v=HLvWGfP5aVk", "Video")</f>
        <v/>
      </c>
      <c r="B804" t="inlineStr">
        <is>
          <t>9:47</t>
        </is>
      </c>
      <c r="C804" t="inlineStr">
        <is>
          <t>I direct the Harvard Study of Adult Development</t>
        </is>
      </c>
      <c r="D804">
        <f>HYPERLINK("https://www.youtube.com/watch?v=HLvWGfP5aVk&amp;t=587s", "Go to time")</f>
        <v/>
      </c>
    </row>
    <row r="805">
      <c r="A805">
        <f>HYPERLINK("https://www.youtube.com/watch?v=U4Dm3NKsQu8", "Video")</f>
        <v/>
      </c>
      <c r="B805" t="inlineStr">
        <is>
          <t>1:24</t>
        </is>
      </c>
      <c r="C805" t="inlineStr">
        <is>
          <t>a closed society okay with a purpose or
a direction to go everybody there is</t>
        </is>
      </c>
      <c r="D805">
        <f>HYPERLINK("https://www.youtube.com/watch?v=U4Dm3NKsQu8&amp;t=84s", "Go to time")</f>
        <v/>
      </c>
    </row>
    <row r="806">
      <c r="A806">
        <f>HYPERLINK("https://www.youtube.com/watch?v=K7LK8eP1Tno", "Video")</f>
        <v/>
      </c>
      <c r="B806" t="inlineStr">
        <is>
          <t>2:21</t>
        </is>
      </c>
      <c r="C806" t="inlineStr">
        <is>
          <t>my written direct testimony which had been
submitted to the court.</t>
        </is>
      </c>
      <c r="D806">
        <f>HYPERLINK("https://www.youtube.com/watch?v=K7LK8eP1Tno&amp;t=141s", "Go to time")</f>
        <v/>
      </c>
    </row>
    <row r="807">
      <c r="A807">
        <f>HYPERLINK("https://www.youtube.com/watch?v=YMdnUA0vIc8", "Video")</f>
        <v/>
      </c>
      <c r="B807" t="inlineStr">
        <is>
          <t>0:41</t>
        </is>
      </c>
      <c r="C807" t="inlineStr">
        <is>
          <t>listening to multidirectional communication
among customers and back and forth between</t>
        </is>
      </c>
      <c r="D807">
        <f>HYPERLINK("https://www.youtube.com/watch?v=YMdnUA0vIc8&amp;t=41s", "Go to time")</f>
        <v/>
      </c>
    </row>
    <row r="808">
      <c r="A808">
        <f>HYPERLINK("https://www.youtube.com/watch?v=YMdnUA0vIc8", "Video")</f>
        <v/>
      </c>
      <c r="B808" t="inlineStr">
        <is>
          <t>4:40</t>
        </is>
      </c>
      <c r="C808" t="inlineStr">
        <is>
          <t>and the ability to send content or physical
products directly to the customer taking out</t>
        </is>
      </c>
      <c r="D808">
        <f>HYPERLINK("https://www.youtube.com/watch?v=YMdnUA0vIc8&amp;t=280s", "Go to time")</f>
        <v/>
      </c>
    </row>
    <row r="809">
      <c r="A809">
        <f>HYPERLINK("https://www.youtube.com/watch?v=8ePu81ssU4M", "Video")</f>
        <v/>
      </c>
      <c r="B809" t="inlineStr">
        <is>
          <t>2:15</t>
        </is>
      </c>
      <c r="C809" t="inlineStr">
        <is>
          <t>or I see it directly in front of me."</t>
        </is>
      </c>
      <c r="D809">
        <f>HYPERLINK("https://www.youtube.com/watch?v=8ePu81ssU4M&amp;t=135s", "Go to time")</f>
        <v/>
      </c>
    </row>
    <row r="810">
      <c r="A810">
        <f>HYPERLINK("https://www.youtube.com/watch?v=8ePu81ssU4M", "Video")</f>
        <v/>
      </c>
      <c r="B810" t="inlineStr">
        <is>
          <t>8:51</t>
        </is>
      </c>
      <c r="C810" t="inlineStr">
        <is>
          <t>that we get directly</t>
        </is>
      </c>
      <c r="D810">
        <f>HYPERLINK("https://www.youtube.com/watch?v=8ePu81ssU4M&amp;t=531s", "Go to time")</f>
        <v/>
      </c>
    </row>
    <row r="811">
      <c r="A811">
        <f>HYPERLINK("https://www.youtube.com/watch?v=iDPfM2XOAwU", "Video")</f>
        <v/>
      </c>
      <c r="B811" t="inlineStr">
        <is>
          <t>4:44</t>
        </is>
      </c>
      <c r="C811" t="inlineStr">
        <is>
          <t>some leadership in the other direction I</t>
        </is>
      </c>
      <c r="D811">
        <f>HYPERLINK("https://www.youtube.com/watch?v=iDPfM2XOAwU&amp;t=284s", "Go to time")</f>
        <v/>
      </c>
    </row>
    <row r="812">
      <c r="A812">
        <f>HYPERLINK("https://www.youtube.com/watch?v=_evhHZc4SRM", "Video")</f>
        <v/>
      </c>
      <c r="B812" t="inlineStr">
        <is>
          <t>4:49</t>
        </is>
      </c>
      <c r="C812" t="inlineStr">
        <is>
          <t>where he quotes uh director of the CIA</t>
        </is>
      </c>
      <c r="D812">
        <f>HYPERLINK("https://www.youtube.com/watch?v=_evhHZc4SRM&amp;t=289s", "Go to time")</f>
        <v/>
      </c>
    </row>
    <row r="813">
      <c r="A813">
        <f>HYPERLINK("https://www.youtube.com/watch?v=_evhHZc4SRM", "Video")</f>
        <v/>
      </c>
      <c r="B813" t="inlineStr">
        <is>
          <t>6:03</t>
        </is>
      </c>
      <c r="C813" t="inlineStr">
        <is>
          <t>not long ago with former director of</t>
        </is>
      </c>
      <c r="D813">
        <f>HYPERLINK("https://www.youtube.com/watch?v=_evhHZc4SRM&amp;t=363s", "Go to time")</f>
        <v/>
      </c>
    </row>
    <row r="814">
      <c r="A814">
        <f>HYPERLINK("https://www.youtube.com/watch?v=xYBzY-Nup3c", "Video")</f>
        <v/>
      </c>
      <c r="B814" t="inlineStr">
        <is>
          <t>1:53</t>
        </is>
      </c>
      <c r="C814" t="inlineStr">
        <is>
          <t>to be an art director or a copywriter um</t>
        </is>
      </c>
      <c r="D814">
        <f>HYPERLINK("https://www.youtube.com/watch?v=xYBzY-Nup3c&amp;t=113s", "Go to time")</f>
        <v/>
      </c>
    </row>
    <row r="815">
      <c r="A815">
        <f>HYPERLINK("https://www.youtube.com/watch?v=WPQ-UihGYQA", "Video")</f>
        <v/>
      </c>
      <c r="B815" t="inlineStr">
        <is>
          <t>1:24</t>
        </is>
      </c>
      <c r="C815" t="inlineStr">
        <is>
          <t>This led me directly into the heart</t>
        </is>
      </c>
      <c r="D815">
        <f>HYPERLINK("https://www.youtube.com/watch?v=WPQ-UihGYQA&amp;t=84s", "Go to time")</f>
        <v/>
      </c>
    </row>
    <row r="816">
      <c r="A816">
        <f>HYPERLINK("https://www.youtube.com/watch?v=MHT-DnTEZK0", "Video")</f>
        <v/>
      </c>
      <c r="B816" t="inlineStr">
        <is>
          <t>0:13</t>
        </is>
      </c>
      <c r="C816" t="inlineStr">
        <is>
          <t>It sends you in the wrong direction.</t>
        </is>
      </c>
      <c r="D816">
        <f>HYPERLINK("https://www.youtube.com/watch?v=MHT-DnTEZK0&amp;t=13s", "Go to time")</f>
        <v/>
      </c>
    </row>
    <row r="817">
      <c r="A817">
        <f>HYPERLINK("https://www.youtube.com/watch?v=b34pEm7oQ7I", "Video")</f>
        <v/>
      </c>
      <c r="B817" t="inlineStr">
        <is>
          <t>4:30</t>
        </is>
      </c>
      <c r="C817" t="inlineStr">
        <is>
          <t>more in the direction of just saying</t>
        </is>
      </c>
      <c r="D817">
        <f>HYPERLINK("https://www.youtube.com/watch?v=b34pEm7oQ7I&amp;t=270s", "Go to time")</f>
        <v/>
      </c>
    </row>
    <row r="818">
      <c r="A818">
        <f>HYPERLINK("https://www.youtube.com/watch?v=BoLVO-OdfC8", "Video")</f>
        <v/>
      </c>
      <c r="B818" t="inlineStr">
        <is>
          <t>1:56</t>
        </is>
      </c>
      <c r="C818" t="inlineStr">
        <is>
          <t>So if you're pretty even keel it could be
that you're more likely to be pretty direct</t>
        </is>
      </c>
      <c r="D818">
        <f>HYPERLINK("https://www.youtube.com/watch?v=BoLVO-OdfC8&amp;t=116s", "Go to time")</f>
        <v/>
      </c>
    </row>
    <row r="819">
      <c r="A819">
        <f>HYPERLINK("https://www.youtube.com/watch?v=BoLVO-OdfC8", "Video")</f>
        <v/>
      </c>
      <c r="B819" t="inlineStr">
        <is>
          <t>2:19</t>
        </is>
      </c>
      <c r="C819" t="inlineStr">
        <is>
          <t>Like you have to be pretty direct to even
get through to them.</t>
        </is>
      </c>
      <c r="D819">
        <f>HYPERLINK("https://www.youtube.com/watch?v=BoLVO-OdfC8&amp;t=139s", "Go to time")</f>
        <v/>
      </c>
    </row>
    <row r="820">
      <c r="A820">
        <f>HYPERLINK("https://www.youtube.com/watch?v=9pv5x2V0qvM", "Video")</f>
        <v/>
      </c>
      <c r="B820" t="inlineStr">
        <is>
          <t>0:34</t>
        </is>
      </c>
      <c r="C820" t="inlineStr">
        <is>
          <t>chronological aging which is a direct</t>
        </is>
      </c>
      <c r="D820">
        <f>HYPERLINK("https://www.youtube.com/watch?v=9pv5x2V0qvM&amp;t=34s", "Go to time")</f>
        <v/>
      </c>
    </row>
    <row r="821">
      <c r="A821">
        <f>HYPERLINK("https://www.youtube.com/watch?v=LR8fQiskYII", "Video")</f>
        <v/>
      </c>
      <c r="B821" t="inlineStr">
        <is>
          <t>2:47</t>
        </is>
      </c>
      <c r="C821" t="inlineStr">
        <is>
          <t>I think going in a different direction, coming
more from academia, we have a language like</t>
        </is>
      </c>
      <c r="D821">
        <f>HYPERLINK("https://www.youtube.com/watch?v=LR8fQiskYII&amp;t=167s", "Go to time")</f>
        <v/>
      </c>
    </row>
    <row r="822">
      <c r="A822">
        <f>HYPERLINK("https://www.youtube.com/watch?v=Vii-d5p1F1c", "Video")</f>
        <v/>
      </c>
      <c r="B822" t="inlineStr">
        <is>
          <t>11:00</t>
        </is>
      </c>
      <c r="C822" t="inlineStr">
        <is>
          <t>this Quantum particle spin I can measure it in the 
upd down Direction and I'm either going to find</t>
        </is>
      </c>
      <c r="D822">
        <f>HYPERLINK("https://www.youtube.com/watch?v=Vii-d5p1F1c&amp;t=660s", "Go to time")</f>
        <v/>
      </c>
    </row>
    <row r="823">
      <c r="A823">
        <f>HYPERLINK("https://www.youtube.com/watch?v=Vii-d5p1F1c", "Video")</f>
        <v/>
      </c>
      <c r="B823" t="inlineStr">
        <is>
          <t>11:24</t>
        </is>
      </c>
      <c r="C823" t="inlineStr">
        <is>
          <t>direction in the X Direction and once again again 
I'll have a 50/50 chance of either it being spin</t>
        </is>
      </c>
      <c r="D823">
        <f>HYPERLINK("https://www.youtube.com/watch?v=Vii-d5p1F1c&amp;t=684s", "Go to time")</f>
        <v/>
      </c>
    </row>
    <row r="824">
      <c r="A824">
        <f>HYPERLINK("https://www.youtube.com/watch?v=Vii-d5p1F1c", "Video")</f>
        <v/>
      </c>
      <c r="B824" t="inlineStr">
        <is>
          <t>11:45</t>
        </is>
      </c>
      <c r="C824" t="inlineStr">
        <is>
          <t>destroying the information I made in the previous 
Direction quantum mechanical spin is something</t>
        </is>
      </c>
      <c r="D824">
        <f>HYPERLINK("https://www.youtube.com/watch?v=Vii-d5p1F1c&amp;t=705s", "Go to time")</f>
        <v/>
      </c>
    </row>
    <row r="825">
      <c r="A825">
        <f>HYPERLINK("https://www.youtube.com/watch?v=Vii-d5p1F1c", "Video")</f>
        <v/>
      </c>
      <c r="B825" t="inlineStr">
        <is>
          <t>12:30</t>
        </is>
      </c>
      <c r="C825" t="inlineStr">
        <is>
          <t>positron eal mc^2 the energy of those photons 
is known exactly but the direction that those</t>
        </is>
      </c>
      <c r="D825">
        <f>HYPERLINK("https://www.youtube.com/watch?v=Vii-d5p1F1c&amp;t=750s", "Go to time")</f>
        <v/>
      </c>
    </row>
    <row r="826">
      <c r="A826">
        <f>HYPERLINK("https://www.youtube.com/watch?v=Vii-d5p1F1c", "Video")</f>
        <v/>
      </c>
      <c r="B826" t="inlineStr">
        <is>
          <t>12:45</t>
        </is>
      </c>
      <c r="C826" t="inlineStr">
        <is>
          <t>go off in the X direction or the y direction or 
the Z direction or some combination that makes</t>
        </is>
      </c>
      <c r="D826">
        <f>HYPERLINK("https://www.youtube.com/watch?v=Vii-d5p1F1c&amp;t=765s", "Go to time")</f>
        <v/>
      </c>
    </row>
    <row r="827">
      <c r="A827">
        <f>HYPERLINK("https://www.youtube.com/watch?v=Vii-d5p1F1c", "Video")</f>
        <v/>
      </c>
      <c r="B827" t="inlineStr">
        <is>
          <t>13:29</t>
        </is>
      </c>
      <c r="C827" t="inlineStr">
        <is>
          <t>it goes off for 46 billion light years in all 
directions and contains somewhere around 10 to</t>
        </is>
      </c>
      <c r="D827">
        <f>HYPERLINK("https://www.youtube.com/watch?v=Vii-d5p1F1c&amp;t=809s", "Go to time")</f>
        <v/>
      </c>
    </row>
    <row r="828">
      <c r="A828">
        <f>HYPERLINK("https://www.youtube.com/watch?v=19tOiB0mt94", "Video")</f>
        <v/>
      </c>
      <c r="B828" t="inlineStr">
        <is>
          <t>2:38</t>
        </is>
      </c>
      <c r="C828" t="inlineStr">
        <is>
          <t>direct government involvement or this is</t>
        </is>
      </c>
      <c r="D828">
        <f>HYPERLINK("https://www.youtube.com/watch?v=19tOiB0mt94&amp;t=158s", "Go to time")</f>
        <v/>
      </c>
    </row>
    <row r="829">
      <c r="A829">
        <f>HYPERLINK("https://www.youtube.com/watch?v=244gitRZpsU", "Video")</f>
        <v/>
      </c>
      <c r="B829" t="inlineStr">
        <is>
          <t>1:04</t>
        </is>
      </c>
      <c r="C829" t="inlineStr">
        <is>
          <t>direct uh way that that uh they should</t>
        </is>
      </c>
      <c r="D829">
        <f>HYPERLINK("https://www.youtube.com/watch?v=244gitRZpsU&amp;t=64s", "Go to time")</f>
        <v/>
      </c>
    </row>
    <row r="830">
      <c r="A830">
        <f>HYPERLINK("https://www.youtube.com/watch?v=UTgkSO1lm6o", "Video")</f>
        <v/>
      </c>
      <c r="B830" t="inlineStr">
        <is>
          <t>2:43</t>
        </is>
      </c>
      <c r="C830" t="inlineStr">
        <is>
          <t>We know that the growth
factors go directly</t>
        </is>
      </c>
      <c r="D830">
        <f>HYPERLINK("https://www.youtube.com/watch?v=UTgkSO1lm6o&amp;t=163s", "Go to time")</f>
        <v/>
      </c>
    </row>
    <row r="831">
      <c r="A831">
        <f>HYPERLINK("https://www.youtube.com/watch?v=YkYrQR8tFzk", "Video")</f>
        <v/>
      </c>
      <c r="B831" t="inlineStr">
        <is>
          <t>1:29</t>
        </is>
      </c>
      <c r="C831" t="inlineStr">
        <is>
          <t>that you direct your attention toward.</t>
        </is>
      </c>
      <c r="D831">
        <f>HYPERLINK("https://www.youtube.com/watch?v=YkYrQR8tFzk&amp;t=89s", "Go to time")</f>
        <v/>
      </c>
    </row>
    <row r="832">
      <c r="A832">
        <f>HYPERLINK("https://www.youtube.com/watch?v=YkYrQR8tFzk", "Video")</f>
        <v/>
      </c>
      <c r="B832" t="inlineStr">
        <is>
          <t>1:51</t>
        </is>
      </c>
      <c r="C832" t="inlineStr">
        <is>
          <t>whose beam is strong
and narrow and directed,</t>
        </is>
      </c>
      <c r="D832">
        <f>HYPERLINK("https://www.youtube.com/watch?v=YkYrQR8tFzk&amp;t=111s", "Go to time")</f>
        <v/>
      </c>
    </row>
    <row r="833">
      <c r="A833">
        <f>HYPERLINK("https://www.youtube.com/watch?v=YkYrQR8tFzk", "Video")</f>
        <v/>
      </c>
      <c r="B833" t="inlineStr">
        <is>
          <t>5:06</t>
        </is>
      </c>
      <c r="C833" t="inlineStr">
        <is>
          <t>directing the flashlight
of your attention right</t>
        </is>
      </c>
      <c r="D833">
        <f>HYPERLINK("https://www.youtube.com/watch?v=YkYrQR8tFzk&amp;t=306s", "Go to time")</f>
        <v/>
      </c>
    </row>
    <row r="834">
      <c r="A834">
        <f>HYPERLINK("https://www.youtube.com/watch?v=YkYrQR8tFzk", "Video")</f>
        <v/>
      </c>
      <c r="B834" t="inlineStr">
        <is>
          <t>6:27</t>
        </is>
      </c>
      <c r="C834" t="inlineStr">
        <is>
          <t>and simply redirect it back</t>
        </is>
      </c>
      <c r="D834">
        <f>HYPERLINK("https://www.youtube.com/watch?v=YkYrQR8tFzk&amp;t=387s", "Go to time")</f>
        <v/>
      </c>
    </row>
    <row r="835">
      <c r="A835">
        <f>HYPERLINK("https://www.youtube.com/watch?v=YkYrQR8tFzk", "Video")</f>
        <v/>
      </c>
      <c r="B835" t="inlineStr">
        <is>
          <t>6:42</t>
        </is>
      </c>
      <c r="C835" t="inlineStr">
        <is>
          <t>redirecting as needed,</t>
        </is>
      </c>
      <c r="D835">
        <f>HYPERLINK("https://www.youtube.com/watch?v=YkYrQR8tFzk&amp;t=402s", "Go to time")</f>
        <v/>
      </c>
    </row>
    <row r="836">
      <c r="A836">
        <f>HYPERLINK("https://www.youtube.com/watch?v=YkYrQR8tFzk", "Video")</f>
        <v/>
      </c>
      <c r="B836" t="inlineStr">
        <is>
          <t>6:56</t>
        </is>
      </c>
      <c r="C836" t="inlineStr">
        <is>
          <t>redirecting that we did formally
by focusing on our breath,</t>
        </is>
      </c>
      <c r="D836">
        <f>HYPERLINK("https://www.youtube.com/watch?v=YkYrQR8tFzk&amp;t=416s", "Go to time")</f>
        <v/>
      </c>
    </row>
    <row r="837">
      <c r="A837">
        <f>HYPERLINK("https://www.youtube.com/watch?v=oiGG1eZF3CA", "Video")</f>
        <v/>
      </c>
      <c r="B837" t="inlineStr">
        <is>
          <t>3:06</t>
        </is>
      </c>
      <c r="C837" t="inlineStr">
        <is>
          <t>communicating wirelessly directly with</t>
        </is>
      </c>
      <c r="D837">
        <f>HYPERLINK("https://www.youtube.com/watch?v=oiGG1eZF3CA&amp;t=186s", "Go to time")</f>
        <v/>
      </c>
    </row>
    <row r="838">
      <c r="A838">
        <f>HYPERLINK("https://www.youtube.com/watch?v=oiGG1eZF3CA", "Video")</f>
        <v/>
      </c>
      <c r="B838" t="inlineStr">
        <is>
          <t>3:15</t>
        </is>
      </c>
      <c r="C838" t="inlineStr">
        <is>
          <t>communicate directly with cells in the</t>
        </is>
      </c>
      <c r="D838">
        <f>HYPERLINK("https://www.youtube.com/watch?v=oiGG1eZF3CA&amp;t=195s", "Go to time")</f>
        <v/>
      </c>
    </row>
    <row r="839">
      <c r="A839">
        <f>HYPERLINK("https://www.youtube.com/watch?v=mtWNvvROGg8", "Video")</f>
        <v/>
      </c>
      <c r="B839" t="inlineStr">
        <is>
          <t>2:30</t>
        </is>
      </c>
      <c r="C839" t="inlineStr">
        <is>
          <t>when you've goofed up and to redirect or</t>
        </is>
      </c>
      <c r="D839">
        <f>HYPERLINK("https://www.youtube.com/watch?v=mtWNvvROGg8&amp;t=150s", "Go to time")</f>
        <v/>
      </c>
    </row>
    <row r="840">
      <c r="A840">
        <f>HYPERLINK("https://www.youtube.com/watch?v=RBPrpoHhdrE", "Video")</f>
        <v/>
      </c>
      <c r="B840" t="inlineStr">
        <is>
          <t>2:35</t>
        </is>
      </c>
      <c r="C840" t="inlineStr">
        <is>
          <t>Literally, in any direction
you look around the sky,</t>
        </is>
      </c>
      <c r="D840">
        <f>HYPERLINK("https://www.youtube.com/watch?v=RBPrpoHhdrE&amp;t=155s", "Go to time")</f>
        <v/>
      </c>
    </row>
    <row r="841">
      <c r="A841">
        <f>HYPERLINK("https://www.youtube.com/watch?v=3yyDf5PcG_g", "Video")</f>
        <v/>
      </c>
      <c r="B841" t="inlineStr">
        <is>
          <t>1:00</t>
        </is>
      </c>
      <c r="C841" t="inlineStr">
        <is>
          <t>I direct the Harvard
Study of Adult Development</t>
        </is>
      </c>
      <c r="D841">
        <f>HYPERLINK("https://www.youtube.com/watch?v=3yyDf5PcG_g&amp;t=60s", "Go to time")</f>
        <v/>
      </c>
    </row>
    <row r="842">
      <c r="A842">
        <f>HYPERLINK("https://www.youtube.com/watch?v=3yyDf5PcG_g", "Video")</f>
        <v/>
      </c>
      <c r="B842" t="inlineStr">
        <is>
          <t>2:18</t>
        </is>
      </c>
      <c r="C842" t="inlineStr">
        <is>
          <t>I am the fourth director</t>
        </is>
      </c>
      <c r="D842">
        <f>HYPERLINK("https://www.youtube.com/watch?v=3yyDf5PcG_g&amp;t=138s", "Go to time")</f>
        <v/>
      </c>
    </row>
    <row r="843">
      <c r="A843">
        <f>HYPERLINK("https://www.youtube.com/watch?v=mxxnKuh7-Fg", "Video")</f>
        <v/>
      </c>
      <c r="B843" t="inlineStr">
        <is>
          <t>2:23</t>
        </is>
      </c>
      <c r="C843" t="inlineStr">
        <is>
          <t>would make a direct relationship between</t>
        </is>
      </c>
      <c r="D843">
        <f>HYPERLINK("https://www.youtube.com/watch?v=mxxnKuh7-Fg&amp;t=143s", "Go to time")</f>
        <v/>
      </c>
    </row>
    <row r="844">
      <c r="A844">
        <f>HYPERLINK("https://www.youtube.com/watch?v=4jAQJmu33-c", "Video")</f>
        <v/>
      </c>
      <c r="B844" t="inlineStr">
        <is>
          <t>0:08</t>
        </is>
      </c>
      <c r="C844" t="inlineStr">
        <is>
          <t>director I I I always tell them then you</t>
        </is>
      </c>
      <c r="D844">
        <f>HYPERLINK("https://www.youtube.com/watch?v=4jAQJmu33-c&amp;t=8s", "Go to time")</f>
        <v/>
      </c>
    </row>
    <row r="845">
      <c r="A845">
        <f>HYPERLINK("https://www.youtube.com/watch?v=4jAQJmu33-c", "Video")</f>
        <v/>
      </c>
      <c r="B845" t="inlineStr">
        <is>
          <t>0:12</t>
        </is>
      </c>
      <c r="C845" t="inlineStr">
        <is>
          <t>should just be a director and and don't</t>
        </is>
      </c>
      <c r="D845">
        <f>HYPERLINK("https://www.youtube.com/watch?v=4jAQJmu33-c&amp;t=12s", "Go to time")</f>
        <v/>
      </c>
    </row>
    <row r="846">
      <c r="A846">
        <f>HYPERLINK("https://www.youtube.com/watch?v=4jAQJmu33-c", "Video")</f>
        <v/>
      </c>
      <c r="B846" t="inlineStr">
        <is>
          <t>0:17</t>
        </is>
      </c>
      <c r="C846" t="inlineStr">
        <is>
          <t>direct good or bad uh but you can direct</t>
        </is>
      </c>
      <c r="D846">
        <f>HYPERLINK("https://www.youtube.com/watch?v=4jAQJmu33-c&amp;t=17s", "Go to time")</f>
        <v/>
      </c>
    </row>
    <row r="847">
      <c r="A847">
        <f>HYPERLINK("https://www.youtube.com/watch?v=4jAQJmu33-c", "Video")</f>
        <v/>
      </c>
      <c r="B847" t="inlineStr">
        <is>
          <t>0:39</t>
        </is>
      </c>
      <c r="C847" t="inlineStr">
        <is>
          <t>machine and they can be directing and</t>
        </is>
      </c>
      <c r="D847">
        <f>HYPERLINK("https://www.youtube.com/watch?v=4jAQJmu33-c&amp;t=39s", "Go to time")</f>
        <v/>
      </c>
    </row>
    <row r="848">
      <c r="A848">
        <f>HYPERLINK("https://www.youtube.com/watch?v=4jAQJmu33-c", "Video")</f>
        <v/>
      </c>
      <c r="B848" t="inlineStr">
        <is>
          <t>0:44</t>
        </is>
      </c>
      <c r="C848" t="inlineStr">
        <is>
          <t>directing directing should doesn't mean</t>
        </is>
      </c>
      <c r="D848">
        <f>HYPERLINK("https://www.youtube.com/watch?v=4jAQJmu33-c&amp;t=44s", "Go to time")</f>
        <v/>
      </c>
    </row>
    <row r="849">
      <c r="A849">
        <f>HYPERLINK("https://www.youtube.com/watch?v=4jAQJmu33-c", "Video")</f>
        <v/>
      </c>
      <c r="B849" t="inlineStr">
        <is>
          <t>0:49</t>
        </is>
      </c>
      <c r="C849" t="inlineStr">
        <is>
          <t>directing feature films I I think that</t>
        </is>
      </c>
      <c r="D849">
        <f>HYPERLINK("https://www.youtube.com/watch?v=4jAQJmu33-c&amp;t=49s", "Go to time")</f>
        <v/>
      </c>
    </row>
    <row r="850">
      <c r="A850">
        <f>HYPERLINK("https://www.youtube.com/watch?v=4jAQJmu33-c", "Video")</f>
        <v/>
      </c>
      <c r="B850" t="inlineStr">
        <is>
          <t>1:02</t>
        </is>
      </c>
      <c r="C850" t="inlineStr">
        <is>
          <t>well-directed series and and video games</t>
        </is>
      </c>
      <c r="D850">
        <f>HYPERLINK("https://www.youtube.com/watch?v=4jAQJmu33-c&amp;t=62s", "Go to time")</f>
        <v/>
      </c>
    </row>
    <row r="851">
      <c r="A851">
        <f>HYPERLINK("https://www.youtube.com/watch?v=4jAQJmu33-c", "Video")</f>
        <v/>
      </c>
      <c r="B851" t="inlineStr">
        <is>
          <t>1:12</t>
        </is>
      </c>
      <c r="C851" t="inlineStr">
        <is>
          <t>director if you feel like you like you</t>
        </is>
      </c>
      <c r="D851">
        <f>HYPERLINK("https://www.youtube.com/watch?v=4jAQJmu33-c&amp;t=72s", "Go to time")</f>
        <v/>
      </c>
    </row>
    <row r="852">
      <c r="A852">
        <f>HYPERLINK("https://www.youtube.com/watch?v=4jAQJmu33-c", "Video")</f>
        <v/>
      </c>
      <c r="B852" t="inlineStr">
        <is>
          <t>1:46</t>
        </is>
      </c>
      <c r="C852" t="inlineStr">
        <is>
          <t>want to direct direct and even easier if</t>
        </is>
      </c>
      <c r="D852">
        <f>HYPERLINK("https://www.youtube.com/watch?v=4jAQJmu33-c&amp;t=106s", "Go to time")</f>
        <v/>
      </c>
    </row>
    <row r="853">
      <c r="A853">
        <f>HYPERLINK("https://www.youtube.com/watch?v=4jAQJmu33-c", "Video")</f>
        <v/>
      </c>
      <c r="B853" t="inlineStr">
        <is>
          <t>2:09</t>
        </is>
      </c>
      <c r="C853" t="inlineStr">
        <is>
          <t>cannot do that with directing you need</t>
        </is>
      </c>
      <c r="D853">
        <f>HYPERLINK("https://www.youtube.com/watch?v=4jAQJmu33-c&amp;t=129s", "Go to time")</f>
        <v/>
      </c>
    </row>
    <row r="854">
      <c r="A854">
        <f>HYPERLINK("https://www.youtube.com/watch?v=4jAQJmu33-c", "Video")</f>
        <v/>
      </c>
      <c r="B854" t="inlineStr">
        <is>
          <t>2:45</t>
        </is>
      </c>
      <c r="C854" t="inlineStr">
        <is>
          <t>director and you end up making the movie</t>
        </is>
      </c>
      <c r="D854">
        <f>HYPERLINK("https://www.youtube.com/watch?v=4jAQJmu33-c&amp;t=165s", "Go to time")</f>
        <v/>
      </c>
    </row>
    <row r="855">
      <c r="A855">
        <f>HYPERLINK("https://www.youtube.com/watch?v=GnLkgX0jwyU", "Video")</f>
        <v/>
      </c>
      <c r="B855" t="inlineStr">
        <is>
          <t>1:29</t>
        </is>
      </c>
      <c r="C855" t="inlineStr">
        <is>
          <t>different direction C or try and get</t>
        </is>
      </c>
      <c r="D855">
        <f>HYPERLINK("https://www.youtube.com/watch?v=GnLkgX0jwyU&amp;t=89s", "Go to time")</f>
        <v/>
      </c>
    </row>
    <row r="856">
      <c r="A856">
        <f>HYPERLINK("https://www.youtube.com/watch?v=kYF6qqxuLmQ", "Video")</f>
        <v/>
      </c>
      <c r="B856" t="inlineStr">
        <is>
          <t>6:43</t>
        </is>
      </c>
      <c r="C856" t="inlineStr">
        <is>
          <t>direction well of course you</t>
        </is>
      </c>
      <c r="D856">
        <f>HYPERLINK("https://www.youtube.com/watch?v=kYF6qqxuLmQ&amp;t=403s", "Go to time")</f>
        <v/>
      </c>
    </row>
    <row r="857">
      <c r="A857">
        <f>HYPERLINK("https://www.youtube.com/watch?v=kYF6qqxuLmQ", "Video")</f>
        <v/>
      </c>
      <c r="B857" t="inlineStr">
        <is>
          <t>10:04</t>
        </is>
      </c>
      <c r="C857" t="inlineStr">
        <is>
          <t>be um would be directed towards um uh</t>
        </is>
      </c>
      <c r="D857">
        <f>HYPERLINK("https://www.youtube.com/watch?v=kYF6qqxuLmQ&amp;t=604s", "Go to time")</f>
        <v/>
      </c>
    </row>
    <row r="858">
      <c r="A858">
        <f>HYPERLINK("https://www.youtube.com/watch?v=dtBtov2f7e4", "Video")</f>
        <v/>
      </c>
      <c r="B858" t="inlineStr">
        <is>
          <t>3:23</t>
        </is>
      </c>
      <c r="C858" t="inlineStr">
        <is>
          <t>we're pushed and pulled in a
million different directions.</t>
        </is>
      </c>
      <c r="D858">
        <f>HYPERLINK("https://www.youtube.com/watch?v=dtBtov2f7e4&amp;t=203s", "Go to time")</f>
        <v/>
      </c>
    </row>
    <row r="859">
      <c r="A859">
        <f>HYPERLINK("https://www.youtube.com/watch?v=e7G3ncl0144", "Video")</f>
        <v/>
      </c>
      <c r="B859" t="inlineStr">
        <is>
          <t>1:52</t>
        </is>
      </c>
      <c r="C859" t="inlineStr">
        <is>
          <t>directly affect them um I don't see any</t>
        </is>
      </c>
      <c r="D859">
        <f>HYPERLINK("https://www.youtube.com/watch?v=e7G3ncl0144&amp;t=112s", "Go to time")</f>
        <v/>
      </c>
    </row>
    <row r="860">
      <c r="A860">
        <f>HYPERLINK("https://www.youtube.com/watch?v=EE_MEu7xn8Y", "Video")</f>
        <v/>
      </c>
      <c r="B860" t="inlineStr">
        <is>
          <t>10:28</t>
        </is>
      </c>
      <c r="C860" t="inlineStr">
        <is>
          <t>don't walk the other direction
and hope it'll go away,</t>
        </is>
      </c>
      <c r="D860">
        <f>HYPERLINK("https://www.youtube.com/watch?v=EE_MEu7xn8Y&amp;t=628s", "Go to time")</f>
        <v/>
      </c>
    </row>
    <row r="861">
      <c r="A861">
        <f>HYPERLINK("https://www.youtube.com/watch?v=EE_MEu7xn8Y", "Video")</f>
        <v/>
      </c>
      <c r="B861" t="inlineStr">
        <is>
          <t>41:16</t>
        </is>
      </c>
      <c r="C861" t="inlineStr">
        <is>
          <t>is directly related to the
health of that community</t>
        </is>
      </c>
      <c r="D861">
        <f>HYPERLINK("https://www.youtube.com/watch?v=EE_MEu7xn8Y&amp;t=2476s", "Go to time")</f>
        <v/>
      </c>
    </row>
    <row r="862">
      <c r="A862">
        <f>HYPERLINK("https://www.youtube.com/watch?v=sDmO07wAoOY", "Video")</f>
        <v/>
      </c>
      <c r="B862" t="inlineStr">
        <is>
          <t>0:37</t>
        </is>
      </c>
      <c r="C862" t="inlineStr">
        <is>
          <t>we are moving in the opposite direction</t>
        </is>
      </c>
      <c r="D862">
        <f>HYPERLINK("https://www.youtube.com/watch?v=sDmO07wAoOY&amp;t=37s", "Go to time")</f>
        <v/>
      </c>
    </row>
    <row r="863">
      <c r="A863">
        <f>HYPERLINK("https://www.youtube.com/watch?v=9MfQSVLH3pA", "Video")</f>
        <v/>
      </c>
      <c r="B863" t="inlineStr">
        <is>
          <t>2:16</t>
        </is>
      </c>
      <c r="C863" t="inlineStr">
        <is>
          <t>know sending me direct messages but</t>
        </is>
      </c>
      <c r="D863">
        <f>HYPERLINK("https://www.youtube.com/watch?v=9MfQSVLH3pA&amp;t=136s", "Go to time")</f>
        <v/>
      </c>
    </row>
    <row r="864">
      <c r="A864">
        <f>HYPERLINK("https://www.youtube.com/watch?v=us6AiaJq-RY", "Video")</f>
        <v/>
      </c>
      <c r="B864" t="inlineStr">
        <is>
          <t>1:41</t>
        </is>
      </c>
      <c r="C864" t="inlineStr">
        <is>
          <t>creative director there was a guy named</t>
        </is>
      </c>
      <c r="D864">
        <f>HYPERLINK("https://www.youtube.com/watch?v=us6AiaJq-RY&amp;t=101s", "Go to time")</f>
        <v/>
      </c>
    </row>
    <row r="865">
      <c r="A865">
        <f>HYPERLINK("https://www.youtube.com/watch?v=WF-4W6qizVo", "Video")</f>
        <v/>
      </c>
      <c r="B865" t="inlineStr">
        <is>
          <t>29:59</t>
        </is>
      </c>
      <c r="C865" t="inlineStr">
        <is>
          <t>Psychiatry developing in the direction</t>
        </is>
      </c>
      <c r="D865">
        <f>HYPERLINK("https://www.youtube.com/watch?v=WF-4W6qizVo&amp;t=1799s", "Go to time")</f>
        <v/>
      </c>
    </row>
    <row r="866">
      <c r="A866">
        <f>HYPERLINK("https://www.youtube.com/watch?v=WF-4W6qizVo", "Video")</f>
        <v/>
      </c>
      <c r="B866" t="inlineStr">
        <is>
          <t>30:06</t>
        </is>
      </c>
      <c r="C866" t="inlineStr">
        <is>
          <t>that direction and and I think we will</t>
        </is>
      </c>
      <c r="D866">
        <f>HYPERLINK("https://www.youtube.com/watch?v=WF-4W6qizVo&amp;t=1806s", "Go to time")</f>
        <v/>
      </c>
    </row>
    <row r="867">
      <c r="A867">
        <f>HYPERLINK("https://www.youtube.com/watch?v=Fn8akxBaoTo", "Video")</f>
        <v/>
      </c>
      <c r="B867" t="inlineStr">
        <is>
          <t>0:08</t>
        </is>
      </c>
      <c r="C867" t="inlineStr">
        <is>
          <t>Harry AER he runs the he's the director</t>
        </is>
      </c>
      <c r="D867">
        <f>HYPERLINK("https://www.youtube.com/watch?v=Fn8akxBaoTo&amp;t=8s", "Go to time")</f>
        <v/>
      </c>
    </row>
    <row r="868">
      <c r="A868">
        <f>HYPERLINK("https://www.youtube.com/watch?v=Fn8akxBaoTo", "Video")</f>
        <v/>
      </c>
      <c r="B868" t="inlineStr">
        <is>
          <t>1:34</t>
        </is>
      </c>
      <c r="C868" t="inlineStr">
        <is>
          <t>directorship in my future or whether</t>
        </is>
      </c>
      <c r="D868">
        <f>HYPERLINK("https://www.youtube.com/watch?v=Fn8akxBaoTo&amp;t=94s", "Go to time")</f>
        <v/>
      </c>
    </row>
    <row r="869">
      <c r="A869">
        <f>HYPERLINK("https://www.youtube.com/watch?v=Fn8akxBaoTo", "Video")</f>
        <v/>
      </c>
      <c r="B869" t="inlineStr">
        <is>
          <t>3:56</t>
        </is>
      </c>
      <c r="C869" t="inlineStr">
        <is>
          <t>that are offered by directed consumer</t>
        </is>
      </c>
      <c r="D869">
        <f>HYPERLINK("https://www.youtube.com/watch?v=Fn8akxBaoTo&amp;t=236s", "Go to time")</f>
        <v/>
      </c>
    </row>
    <row r="870">
      <c r="A870">
        <f>HYPERLINK("https://www.youtube.com/watch?v=Fn8akxBaoTo", "Video")</f>
        <v/>
      </c>
      <c r="B870" t="inlineStr">
        <is>
          <t>5:52</t>
        </is>
      </c>
      <c r="C870" t="inlineStr">
        <is>
          <t>no uh why else would these directed uh</t>
        </is>
      </c>
      <c r="D870">
        <f>HYPERLINK("https://www.youtube.com/watch?v=Fn8akxBaoTo&amp;t=352s", "Go to time")</f>
        <v/>
      </c>
    </row>
    <row r="871">
      <c r="A871">
        <f>HYPERLINK("https://www.youtube.com/watch?v=Fn8akxBaoTo", "Video")</f>
        <v/>
      </c>
      <c r="B871" t="inlineStr">
        <is>
          <t>6:45</t>
        </is>
      </c>
      <c r="C871" t="inlineStr">
        <is>
          <t>disease bloggers who have used direct to</t>
        </is>
      </c>
      <c r="D871">
        <f>HYPERLINK("https://www.youtube.com/watch?v=Fn8akxBaoTo&amp;t=405s", "Go to time")</f>
        <v/>
      </c>
    </row>
    <row r="872">
      <c r="A872">
        <f>HYPERLINK("https://www.youtube.com/watch?v=Fn8akxBaoTo", "Video")</f>
        <v/>
      </c>
      <c r="B872" t="inlineStr">
        <is>
          <t>9:33</t>
        </is>
      </c>
      <c r="C872" t="inlineStr">
        <is>
          <t>action now the purveyors of directed</t>
        </is>
      </c>
      <c r="D872">
        <f>HYPERLINK("https://www.youtube.com/watch?v=Fn8akxBaoTo&amp;t=573s", "Go to time")</f>
        <v/>
      </c>
    </row>
    <row r="873">
      <c r="A873">
        <f>HYPERLINK("https://www.youtube.com/watch?v=Fn8akxBaoTo", "Video")</f>
        <v/>
      </c>
      <c r="B873" t="inlineStr">
        <is>
          <t>10:58</t>
        </is>
      </c>
      <c r="C873" t="inlineStr">
        <is>
          <t>of direct to consumer genetic testing</t>
        </is>
      </c>
      <c r="D873">
        <f>HYPERLINK("https://www.youtube.com/watch?v=Fn8akxBaoTo&amp;t=658s", "Go to time")</f>
        <v/>
      </c>
    </row>
    <row r="874">
      <c r="A874">
        <f>HYPERLINK("https://www.youtube.com/watch?v=0av_nRsiUX8", "Video")</f>
        <v/>
      </c>
      <c r="B874" t="inlineStr">
        <is>
          <t>3:07</t>
        </is>
      </c>
      <c r="C874" t="inlineStr">
        <is>
          <t>And that has a direct impact on their bottom
line.</t>
        </is>
      </c>
      <c r="D874">
        <f>HYPERLINK("https://www.youtube.com/watch?v=0av_nRsiUX8&amp;t=187s", "Go to time")</f>
        <v/>
      </c>
    </row>
    <row r="875">
      <c r="A875">
        <f>HYPERLINK("https://www.youtube.com/watch?v=aA0S3qInMdY", "Video")</f>
        <v/>
      </c>
      <c r="B875" t="inlineStr">
        <is>
          <t>1:25</t>
        </is>
      </c>
      <c r="C875" t="inlineStr">
        <is>
          <t>director Ian Adelman is doing it</t>
        </is>
      </c>
      <c r="D875">
        <f>HYPERLINK("https://www.youtube.com/watch?v=aA0S3qInMdY&amp;t=85s", "Go to time")</f>
        <v/>
      </c>
    </row>
    <row r="876">
      <c r="A876">
        <f>HYPERLINK("https://www.youtube.com/watch?v=Z9n-ttVTP0U", "Video")</f>
        <v/>
      </c>
      <c r="B876" t="inlineStr">
        <is>
          <t>3:59</t>
        </is>
      </c>
      <c r="C876" t="inlineStr">
        <is>
          <t>were going in a different direction and</t>
        </is>
      </c>
      <c r="D876">
        <f>HYPERLINK("https://www.youtube.com/watch?v=Z9n-ttVTP0U&amp;t=239s", "Go to time")</f>
        <v/>
      </c>
    </row>
    <row r="877">
      <c r="A877">
        <f>HYPERLINK("https://www.youtube.com/watch?v=k_Qb990_4Co", "Video")</f>
        <v/>
      </c>
      <c r="B877" t="inlineStr">
        <is>
          <t>1:29</t>
        </is>
      </c>
      <c r="C877" t="inlineStr">
        <is>
          <t>cover of M direction from the flashlight</t>
        </is>
      </c>
      <c r="D877">
        <f>HYPERLINK("https://www.youtube.com/watch?v=k_Qb990_4Co&amp;t=89s", "Go to time")</f>
        <v/>
      </c>
    </row>
    <row r="878">
      <c r="A878">
        <f>HYPERLINK("https://www.youtube.com/watch?v=Nr-MoB35_Fg", "Video")</f>
        <v/>
      </c>
      <c r="B878" t="inlineStr">
        <is>
          <t>25:18</t>
        </is>
      </c>
      <c r="C878" t="inlineStr">
        <is>
          <t>things direct and I think to move</t>
        </is>
      </c>
      <c r="D878">
        <f>HYPERLINK("https://www.youtube.com/watch?v=Nr-MoB35_Fg&amp;t=1518s", "Go to time")</f>
        <v/>
      </c>
    </row>
    <row r="879">
      <c r="A879">
        <f>HYPERLINK("https://www.youtube.com/watch?v=bs2IognqkJI", "Video")</f>
        <v/>
      </c>
      <c r="B879" t="inlineStr">
        <is>
          <t>14:18</t>
        </is>
      </c>
      <c r="C879" t="inlineStr">
        <is>
          <t>And I wrote the book very directly as a letter
to one specific person.</t>
        </is>
      </c>
      <c r="D879">
        <f>HYPERLINK("https://www.youtube.com/watch?v=bs2IognqkJI&amp;t=858s", "Go to time")</f>
        <v/>
      </c>
    </row>
    <row r="880">
      <c r="A880">
        <f>HYPERLINK("https://www.youtube.com/watch?v=bs2IognqkJI", "Video")</f>
        <v/>
      </c>
      <c r="B880" t="inlineStr">
        <is>
          <t>15:07</t>
        </is>
      </c>
      <c r="C880" t="inlineStr">
        <is>
          <t>and I feel like you were talking directly
to me.</t>
        </is>
      </c>
      <c r="D880">
        <f>HYPERLINK("https://www.youtube.com/watch?v=bs2IognqkJI&amp;t=907s", "Go to time")</f>
        <v/>
      </c>
    </row>
    <row r="881">
      <c r="A881">
        <f>HYPERLINK("https://www.youtube.com/watch?v=bs2IognqkJI", "Video")</f>
        <v/>
      </c>
      <c r="B881" t="inlineStr">
        <is>
          <t>15:11</t>
        </is>
      </c>
      <c r="C881" t="inlineStr">
        <is>
          <t>I was talking directly to one person who is
also a very representative 21st century, American</t>
        </is>
      </c>
      <c r="D881">
        <f>HYPERLINK("https://www.youtube.com/watch?v=bs2IognqkJI&amp;t=911s", "Go to time")</f>
        <v/>
      </c>
    </row>
    <row r="882">
      <c r="A882">
        <f>HYPERLINK("https://www.youtube.com/watch?v=bs2IognqkJI", "Video")</f>
        <v/>
      </c>
      <c r="B882" t="inlineStr">
        <is>
          <t>27:12</t>
        </is>
      </c>
      <c r="C882" t="inlineStr">
        <is>
          <t>You know, I’m believing now that that’s
a direct result of the work that I did for</t>
        </is>
      </c>
      <c r="D882">
        <f>HYPERLINK("https://www.youtube.com/watch?v=bs2IognqkJI&amp;t=1632s", "Go to time")</f>
        <v/>
      </c>
    </row>
    <row r="883">
      <c r="A883">
        <f>HYPERLINK("https://www.youtube.com/watch?v=bs2IognqkJI", "Video")</f>
        <v/>
      </c>
      <c r="B883" t="inlineStr">
        <is>
          <t>32:06</t>
        </is>
      </c>
      <c r="C883" t="inlineStr">
        <is>
          <t>where I became a man for a week, like inhabiting
it in this really intense and direct way,</t>
        </is>
      </c>
      <c r="D883">
        <f>HYPERLINK("https://www.youtube.com/watch?v=bs2IognqkJI&amp;t=1926s", "Go to time")</f>
        <v/>
      </c>
    </row>
    <row r="884">
      <c r="A884">
        <f>HYPERLINK("https://www.youtube.com/watch?v=bs2IognqkJI", "Video")</f>
        <v/>
      </c>
      <c r="B884" t="inlineStr">
        <is>
          <t>48:11</t>
        </is>
      </c>
      <c r="C884" t="inlineStr">
        <is>
          <t>And interestingly enough, I don’t think
she ever gave it to me directly.</t>
        </is>
      </c>
      <c r="D884">
        <f>HYPERLINK("https://www.youtube.com/watch?v=bs2IognqkJI&amp;t=2891s", "Go to time")</f>
        <v/>
      </c>
    </row>
    <row r="885">
      <c r="A885">
        <f>HYPERLINK("https://www.youtube.com/watch?v=Q4QMZFo90bo", "Video")</f>
        <v/>
      </c>
      <c r="B885" t="inlineStr">
        <is>
          <t>9:51</t>
        </is>
      </c>
      <c r="C885" t="inlineStr">
        <is>
          <t>sort of really redirected my goals</t>
        </is>
      </c>
      <c r="D885">
        <f>HYPERLINK("https://www.youtube.com/watch?v=Q4QMZFo90bo&amp;t=591s", "Go to time")</f>
        <v/>
      </c>
    </row>
    <row r="886">
      <c r="A886">
        <f>HYPERLINK("https://www.youtube.com/watch?v=8D4AHrKAYig", "Video")</f>
        <v/>
      </c>
      <c r="B886" t="inlineStr">
        <is>
          <t>5:10</t>
        </is>
      </c>
      <c r="C886" t="inlineStr">
        <is>
          <t>How do I want to redirect this?”</t>
        </is>
      </c>
      <c r="D886">
        <f>HYPERLINK("https://www.youtube.com/watch?v=8D4AHrKAYig&amp;t=310s", "Go to time")</f>
        <v/>
      </c>
    </row>
    <row r="887">
      <c r="A887">
        <f>HYPERLINK("https://www.youtube.com/watch?v=3KeqjT2xyM0", "Video")</f>
        <v/>
      </c>
      <c r="B887" t="inlineStr">
        <is>
          <t>34:58</t>
        </is>
      </c>
      <c r="C887" t="inlineStr">
        <is>
          <t>Do you work directly
with Mulder and Scully</t>
        </is>
      </c>
      <c r="D887">
        <f>HYPERLINK("https://www.youtube.com/watch?v=3KeqjT2xyM0&amp;t=2098s", "Go to time")</f>
        <v/>
      </c>
    </row>
    <row r="888">
      <c r="A888">
        <f>HYPERLINK("https://www.youtube.com/watch?v=R-sqJ0dePoo", "Video")</f>
        <v/>
      </c>
      <c r="B888" t="inlineStr">
        <is>
          <t>1:54</t>
        </is>
      </c>
      <c r="C888" t="inlineStr">
        <is>
          <t>take the money directly from our account</t>
        </is>
      </c>
      <c r="D888">
        <f>HYPERLINK("https://www.youtube.com/watch?v=R-sqJ0dePoo&amp;t=114s", "Go to time")</f>
        <v/>
      </c>
    </row>
    <row r="889">
      <c r="A889">
        <f>HYPERLINK("https://www.youtube.com/watch?v=L-0DyjoWUvk", "Video")</f>
        <v/>
      </c>
      <c r="B889" t="inlineStr">
        <is>
          <t>4:25</t>
        </is>
      </c>
      <c r="C889" t="inlineStr">
        <is>
          <t>took me directly to the courthouse I</t>
        </is>
      </c>
      <c r="D889">
        <f>HYPERLINK("https://www.youtube.com/watch?v=L-0DyjoWUvk&amp;t=265s", "Go to time")</f>
        <v/>
      </c>
    </row>
    <row r="890">
      <c r="A890">
        <f>HYPERLINK("https://www.youtube.com/watch?v=VC5nEL6-RoQ", "Video")</f>
        <v/>
      </c>
      <c r="B890" t="inlineStr">
        <is>
          <t>6:55</t>
        </is>
      </c>
      <c r="C890" t="inlineStr">
        <is>
          <t>directly to me or one of my</t>
        </is>
      </c>
      <c r="D890">
        <f>HYPERLINK("https://www.youtube.com/watch?v=VC5nEL6-RoQ&amp;t=415s", "Go to time")</f>
        <v/>
      </c>
    </row>
    <row r="891">
      <c r="A891">
        <f>HYPERLINK("https://www.youtube.com/watch?v=PuZ34IeY_L0", "Video")</f>
        <v/>
      </c>
      <c r="B891" t="inlineStr">
        <is>
          <t>1:14</t>
        </is>
      </c>
      <c r="C891" t="inlineStr">
        <is>
          <t>direction right now</t>
        </is>
      </c>
      <c r="D891">
        <f>HYPERLINK("https://www.youtube.com/watch?v=PuZ34IeY_L0&amp;t=74s", "Go to time")</f>
        <v/>
      </c>
    </row>
    <row r="892">
      <c r="A892">
        <f>HYPERLINK("https://www.youtube.com/watch?v=_LlVU-nWTQs", "Video")</f>
        <v/>
      </c>
      <c r="B892" t="inlineStr">
        <is>
          <t>22:42</t>
        </is>
      </c>
      <c r="C892" t="inlineStr">
        <is>
          <t>particular direction right now from the</t>
        </is>
      </c>
      <c r="D892">
        <f>HYPERLINK("https://www.youtube.com/watch?v=_LlVU-nWTQs&amp;t=1362s", "Go to time")</f>
        <v/>
      </c>
    </row>
    <row r="893">
      <c r="A893">
        <f>HYPERLINK("https://www.youtube.com/watch?v=cTCp6IIu6DM", "Video")</f>
        <v/>
      </c>
      <c r="B893" t="inlineStr">
        <is>
          <t>0:14</t>
        </is>
      </c>
      <c r="C893" t="inlineStr">
        <is>
          <t>that i wrote and directed</t>
        </is>
      </c>
      <c r="D893">
        <f>HYPERLINK("https://www.youtube.com/watch?v=cTCp6IIu6DM&amp;t=14s", "Go to time")</f>
        <v/>
      </c>
    </row>
    <row r="894">
      <c r="A894">
        <f>HYPERLINK("https://www.youtube.com/watch?v=cTCp6IIu6DM", "Video")</f>
        <v/>
      </c>
      <c r="B894" t="inlineStr">
        <is>
          <t>0:23</t>
        </is>
      </c>
      <c r="C894" t="inlineStr">
        <is>
          <t>gilligan the writer and director of</t>
        </is>
      </c>
      <c r="D894">
        <f>HYPERLINK("https://www.youtube.com/watch?v=cTCp6IIu6DM&amp;t=23s", "Go to time")</f>
        <v/>
      </c>
    </row>
    <row r="895">
      <c r="A895">
        <f>HYPERLINK("https://www.youtube.com/watch?v=cTCp6IIu6DM", "Video")</f>
        <v/>
      </c>
      <c r="B895" t="inlineStr">
        <is>
          <t>2:51</t>
        </is>
      </c>
      <c r="C895" t="inlineStr">
        <is>
          <t>direction or the other</t>
        </is>
      </c>
      <c r="D895">
        <f>HYPERLINK("https://www.youtube.com/watch?v=cTCp6IIu6DM&amp;t=171s", "Go to time")</f>
        <v/>
      </c>
    </row>
    <row r="896">
      <c r="A896">
        <f>HYPERLINK("https://www.youtube.com/watch?v=cTCp6IIu6DM", "Video")</f>
        <v/>
      </c>
      <c r="B896" t="inlineStr">
        <is>
          <t>4:11</t>
        </is>
      </c>
      <c r="C896" t="inlineStr">
        <is>
          <t>we'll see i don't know director's cuts</t>
        </is>
      </c>
      <c r="D896">
        <f>HYPERLINK("https://www.youtube.com/watch?v=cTCp6IIu6DM&amp;t=251s", "Go to time")</f>
        <v/>
      </c>
    </row>
    <row r="897">
      <c r="A897">
        <f>HYPERLINK("https://www.youtube.com/watch?v=9dj4H1J4-u0", "Video")</f>
        <v/>
      </c>
      <c r="B897" t="inlineStr">
        <is>
          <t>3:48</t>
        </is>
      </c>
      <c r="C897" t="inlineStr">
        <is>
          <t>took me directly to the courthouse I</t>
        </is>
      </c>
      <c r="D897">
        <f>HYPERLINK("https://www.youtube.com/watch?v=9dj4H1J4-u0&amp;t=228s", "Go to time")</f>
        <v/>
      </c>
    </row>
    <row r="898">
      <c r="A898">
        <f>HYPERLINK("https://www.youtube.com/watch?v=X6hO5qOBDx8", "Video")</f>
        <v/>
      </c>
      <c r="B898" t="inlineStr">
        <is>
          <t>27:54</t>
        </is>
      </c>
      <c r="C898" t="inlineStr">
        <is>
          <t>life in a different direction who knows</t>
        </is>
      </c>
      <c r="D898">
        <f>HYPERLINK("https://www.youtube.com/watch?v=X6hO5qOBDx8&amp;t=1674s", "Go to time")</f>
        <v/>
      </c>
    </row>
    <row r="899">
      <c r="A899">
        <f>HYPERLINK("https://www.youtube.com/watch?v=g5n8dZUSU2s", "Video")</f>
        <v/>
      </c>
      <c r="B899" t="inlineStr">
        <is>
          <t>2:45</t>
        </is>
      </c>
      <c r="C899" t="inlineStr">
        <is>
          <t>anyway you talk directly to your guy cut</t>
        </is>
      </c>
      <c r="D899">
        <f>HYPERLINK("https://www.youtube.com/watch?v=g5n8dZUSU2s&amp;t=165s", "Go to time")</f>
        <v/>
      </c>
    </row>
    <row r="900">
      <c r="A900">
        <f>HYPERLINK("https://www.youtube.com/watch?v=LSVWJ4S0r38", "Video")</f>
        <v/>
      </c>
      <c r="B900" t="inlineStr">
        <is>
          <t>2:36</t>
        </is>
      </c>
      <c r="C900" t="inlineStr">
        <is>
          <t>community service hours that's a direct</t>
        </is>
      </c>
      <c r="D900">
        <f>HYPERLINK("https://www.youtube.com/watch?v=LSVWJ4S0r38&amp;t=156s", "Go to time")</f>
        <v/>
      </c>
    </row>
    <row r="901">
      <c r="A901">
        <f>HYPERLINK("https://www.youtube.com/watch?v=N54YzsqKaZk", "Video")</f>
        <v/>
      </c>
      <c r="B901" t="inlineStr">
        <is>
          <t>0:29</t>
        </is>
      </c>
      <c r="C901" t="inlineStr">
        <is>
          <t>law offic of James Mill how may I direct</t>
        </is>
      </c>
      <c r="D901">
        <f>HYPERLINK("https://www.youtube.com/watch?v=N54YzsqKaZk&amp;t=29s", "Go to time")</f>
        <v/>
      </c>
    </row>
    <row r="902">
      <c r="A902">
        <f>HYPERLINK("https://www.youtube.com/watch?v=Wc8qthwKSsc", "Video")</f>
        <v/>
      </c>
      <c r="B902" t="inlineStr">
        <is>
          <t>21:01</t>
        </is>
      </c>
      <c r="C902" t="inlineStr">
        <is>
          <t>about anyway you talk directly to your</t>
        </is>
      </c>
      <c r="D902">
        <f>HYPERLINK("https://www.youtube.com/watch?v=Wc8qthwKSsc&amp;t=1261s", "Go to time")</f>
        <v/>
      </c>
    </row>
    <row r="903">
      <c r="A903">
        <f>HYPERLINK("https://www.youtube.com/watch?v=Wc8qthwKSsc", "Video")</f>
        <v/>
      </c>
      <c r="B903" t="inlineStr">
        <is>
          <t>26:35</t>
        </is>
      </c>
      <c r="C903" t="inlineStr">
        <is>
          <t>then he took me directly to the</t>
        </is>
      </c>
      <c r="D903">
        <f>HYPERLINK("https://www.youtube.com/watch?v=Wc8qthwKSsc&amp;t=1595s", "Go to time")</f>
        <v/>
      </c>
    </row>
    <row r="904">
      <c r="A904">
        <f>HYPERLINK("https://www.youtube.com/watch?v=lfA8Yiqghpo", "Video")</f>
        <v/>
      </c>
      <c r="B904" t="inlineStr">
        <is>
          <t>14:50</t>
        </is>
      </c>
      <c r="C904" t="inlineStr">
        <is>
          <t>direction right now from that back wall</t>
        </is>
      </c>
      <c r="D904">
        <f>HYPERLINK("https://www.youtube.com/watch?v=lfA8Yiqghpo&amp;t=890s", "Go to time")</f>
        <v/>
      </c>
    </row>
    <row r="905">
      <c r="A905">
        <f>HYPERLINK("https://www.youtube.com/watch?v=h2krzu8d1KI", "Video")</f>
        <v/>
      </c>
      <c r="B905" t="inlineStr">
        <is>
          <t>0:17</t>
        </is>
      </c>
      <c r="C905" t="inlineStr">
        <is>
          <t>they bear directly on our contention</t>
        </is>
      </c>
      <c r="D905">
        <f>HYPERLINK("https://www.youtube.com/watch?v=h2krzu8d1KI&amp;t=17s", "Go to time")</f>
        <v/>
      </c>
    </row>
    <row r="906">
      <c r="A906">
        <f>HYPERLINK("https://www.youtube.com/watch?v=9qhC81vdvUM", "Video")</f>
        <v/>
      </c>
      <c r="B906" t="inlineStr">
        <is>
          <t>4:04</t>
        </is>
      </c>
      <c r="C906" t="inlineStr">
        <is>
          <t>Nebraska ASAP and there's nothing direct</t>
        </is>
      </c>
      <c r="D906">
        <f>HYPERLINK("https://www.youtube.com/watch?v=9qhC81vdvUM&amp;t=244s", "Go to time")</f>
        <v/>
      </c>
    </row>
    <row r="907">
      <c r="A907">
        <f>HYPERLINK("https://www.youtube.com/watch?v=_1Dq59svlIU", "Video")</f>
        <v/>
      </c>
      <c r="B907" t="inlineStr">
        <is>
          <t>3:57</t>
        </is>
      </c>
      <c r="C907" t="inlineStr">
        <is>
          <t>you're directing you're running out of</t>
        </is>
      </c>
      <c r="D907">
        <f>HYPERLINK("https://www.youtube.com/watch?v=_1Dq59svlIU&amp;t=237s", "Go to time")</f>
        <v/>
      </c>
    </row>
    <row r="908">
      <c r="A908">
        <f>HYPERLINK("https://www.youtube.com/watch?v=_1Dq59svlIU", "Video")</f>
        <v/>
      </c>
      <c r="B908" t="inlineStr">
        <is>
          <t>5:32</t>
        </is>
      </c>
      <c r="C908" t="inlineStr">
        <is>
          <t>executive producer here directing</t>
        </is>
      </c>
      <c r="D908">
        <f>HYPERLINK("https://www.youtube.com/watch?v=_1Dq59svlIU&amp;t=332s", "Go to time")</f>
        <v/>
      </c>
    </row>
    <row r="909">
      <c r="A909">
        <f>HYPERLINK("https://www.youtube.com/watch?v=yo_A2OWCGvI", "Video")</f>
        <v/>
      </c>
      <c r="B909" t="inlineStr">
        <is>
          <t>7:55</t>
        </is>
      </c>
      <c r="C909" t="inlineStr">
        <is>
          <t>there was a fire and directory and it</t>
        </is>
      </c>
      <c r="D909">
        <f>HYPERLINK("https://www.youtube.com/watch?v=yo_A2OWCGvI&amp;t=475s", "Go to time")</f>
        <v/>
      </c>
    </row>
    <row r="910">
      <c r="A910">
        <f>HYPERLINK("https://www.youtube.com/watch?v=yo_A2OWCGvI", "Video")</f>
        <v/>
      </c>
      <c r="B910" t="inlineStr">
        <is>
          <t>15:08</t>
        </is>
      </c>
      <c r="C910" t="inlineStr">
        <is>
          <t>make sure it's pointed in my direction</t>
        </is>
      </c>
      <c r="D910">
        <f>HYPERLINK("https://www.youtube.com/watch?v=yo_A2OWCGvI&amp;t=908s", "Go to time")</f>
        <v/>
      </c>
    </row>
    <row r="911">
      <c r="A911">
        <f>HYPERLINK("https://www.youtube.com/watch?v=vwyHcR-VrrI", "Video")</f>
        <v/>
      </c>
      <c r="B911" t="inlineStr">
        <is>
          <t>2:25</t>
        </is>
      </c>
      <c r="C911" t="inlineStr">
        <is>
          <t>life in a different direction who knows</t>
        </is>
      </c>
      <c r="D911">
        <f>HYPERLINK("https://www.youtube.com/watch?v=vwyHcR-VrrI&amp;t=145s", "Go to time")</f>
        <v/>
      </c>
    </row>
    <row r="912">
      <c r="A912">
        <f>HYPERLINK("https://www.youtube.com/watch?v=JNkdpMAoPEE", "Video")</f>
        <v/>
      </c>
      <c r="B912" t="inlineStr">
        <is>
          <t>2:07</t>
        </is>
      </c>
      <c r="C912" t="inlineStr">
        <is>
          <t>directly to me or one of my</t>
        </is>
      </c>
      <c r="D912">
        <f>HYPERLINK("https://www.youtube.com/watch?v=JNkdpMAoPEE&amp;t=127s", "Go to time")</f>
        <v/>
      </c>
    </row>
    <row r="913">
      <c r="A913">
        <f>HYPERLINK("https://www.youtube.com/watch?v=TND2oDcbpTc", "Video")</f>
        <v/>
      </c>
      <c r="B913" t="inlineStr">
        <is>
          <t>1:04</t>
        </is>
      </c>
      <c r="C913" t="inlineStr">
        <is>
          <t>take the money directly from our account</t>
        </is>
      </c>
      <c r="D913">
        <f>HYPERLINK("https://www.youtube.com/watch?v=TND2oDcbpTc&amp;t=64s", "Go to time")</f>
        <v/>
      </c>
    </row>
    <row r="914">
      <c r="A914">
        <f>HYPERLINK("https://www.youtube.com/watch?v=dLaSzxRpqXE", "Video")</f>
        <v/>
      </c>
      <c r="B914" t="inlineStr">
        <is>
          <t>28:12</t>
        </is>
      </c>
      <c r="C914" t="inlineStr">
        <is>
          <t>life in a different direction who knows</t>
        </is>
      </c>
      <c r="D914">
        <f>HYPERLINK("https://www.youtube.com/watch?v=dLaSzxRpqXE&amp;t=1692s", "Go to time")</f>
        <v/>
      </c>
    </row>
    <row r="915">
      <c r="A915">
        <f>HYPERLINK("https://www.youtube.com/watch?v=oB5dctpeI0o", "Video")</f>
        <v/>
      </c>
      <c r="B915" t="inlineStr">
        <is>
          <t>4:54</t>
        </is>
      </c>
      <c r="C915" t="inlineStr">
        <is>
          <t>then he took me directly to the</t>
        </is>
      </c>
      <c r="D915">
        <f>HYPERLINK("https://www.youtube.com/watch?v=oB5dctpeI0o&amp;t=294s", "Go to time")</f>
        <v/>
      </c>
    </row>
    <row r="916">
      <c r="A916">
        <f>HYPERLINK("https://www.youtube.com/watch?v=wRePmzcusJo", "Video")</f>
        <v/>
      </c>
      <c r="B916" t="inlineStr">
        <is>
          <t>19:49</t>
        </is>
      </c>
      <c r="C916" t="inlineStr">
        <is>
          <t>flight leaves at 9 40 direct to Berlin</t>
        </is>
      </c>
      <c r="D916">
        <f>HYPERLINK("https://www.youtube.com/watch?v=wRePmzcusJo&amp;t=1189s", "Go to time")</f>
        <v/>
      </c>
    </row>
    <row r="917">
      <c r="A917">
        <f>HYPERLINK("https://www.youtube.com/watch?v=x0Edm0w9pc0", "Video")</f>
        <v/>
      </c>
      <c r="B917" t="inlineStr">
        <is>
          <t>6:10</t>
        </is>
      </c>
      <c r="C917" t="inlineStr">
        <is>
          <t>his life in a different direction who</t>
        </is>
      </c>
      <c r="D917">
        <f>HYPERLINK("https://www.youtube.com/watch?v=x0Edm0w9pc0&amp;t=370s", "Go to time")</f>
        <v/>
      </c>
    </row>
    <row r="918">
      <c r="A918">
        <f>HYPERLINK("https://www.youtube.com/watch?v=uqAq1gSUhkg", "Video")</f>
        <v/>
      </c>
      <c r="B918" t="inlineStr">
        <is>
          <t>1:44</t>
        </is>
      </c>
      <c r="C918" t="inlineStr">
        <is>
          <t>one on the speed dial goes directly to</t>
        </is>
      </c>
      <c r="D918">
        <f>HYPERLINK("https://www.youtube.com/watch?v=uqAq1gSUhkg&amp;t=104s", "Go to time")</f>
        <v/>
      </c>
    </row>
    <row r="919">
      <c r="A919">
        <f>HYPERLINK("https://www.youtube.com/watch?v=Ee0AyXuifWM", "Video")</f>
        <v/>
      </c>
      <c r="B919" t="inlineStr">
        <is>
          <t>1:54</t>
        </is>
      </c>
      <c r="C919" t="inlineStr">
        <is>
          <t>flight leaves at 9 40 direct to berlin</t>
        </is>
      </c>
      <c r="D919">
        <f>HYPERLINK("https://www.youtube.com/watch?v=Ee0AyXuifWM&amp;t=114s", "Go to time")</f>
        <v/>
      </c>
    </row>
    <row r="920">
      <c r="A920">
        <f>HYPERLINK("https://www.youtube.com/watch?v=aDk9neKA-ew", "Video")</f>
        <v/>
      </c>
      <c r="B920" t="inlineStr">
        <is>
          <t>0:49</t>
        </is>
      </c>
      <c r="C920" t="inlineStr">
        <is>
          <t>one on the speed dial goes directly to</t>
        </is>
      </c>
      <c r="D920">
        <f>HYPERLINK("https://www.youtube.com/watch?v=aDk9neKA-ew&amp;t=49s", "Go to time")</f>
        <v/>
      </c>
    </row>
    <row r="921">
      <c r="A921">
        <f>HYPERLINK("https://www.youtube.com/watch?v=dDfGg7LBZRc", "Video")</f>
        <v/>
      </c>
      <c r="B921" t="inlineStr">
        <is>
          <t>5:52</t>
        </is>
      </c>
      <c r="C921" t="inlineStr">
        <is>
          <t>take the money directly from our account</t>
        </is>
      </c>
      <c r="D921">
        <f>HYPERLINK("https://www.youtube.com/watch?v=dDfGg7LBZRc&amp;t=352s", "Go to time")</f>
        <v/>
      </c>
    </row>
    <row r="922">
      <c r="A922">
        <f>HYPERLINK("https://www.youtube.com/watch?v=8LSCaNZAQyc", "Video")</f>
        <v/>
      </c>
      <c r="B922" t="inlineStr">
        <is>
          <t>2:49</t>
        </is>
      </c>
      <c r="C922" t="inlineStr">
        <is>
          <t>direction it's all about output what you</t>
        </is>
      </c>
      <c r="D922">
        <f>HYPERLINK("https://www.youtube.com/watch?v=8LSCaNZAQyc&amp;t=169s", "Go to time")</f>
        <v/>
      </c>
    </row>
    <row r="923">
      <c r="A923">
        <f>HYPERLINK("https://www.youtube.com/watch?v=6ErBOaY1yX4", "Video")</f>
        <v/>
      </c>
      <c r="B923" t="inlineStr">
        <is>
          <t>1:32</t>
        </is>
      </c>
      <c r="C923" t="inlineStr">
        <is>
          <t>director chief clerk</t>
        </is>
      </c>
      <c r="D923">
        <f>HYPERLINK("https://www.youtube.com/watch?v=6ErBOaY1yX4&amp;t=92s", "Go to time")</f>
        <v/>
      </c>
    </row>
    <row r="924">
      <c r="A924">
        <f>HYPERLINK("https://www.youtube.com/watch?v=6ErBOaY1yX4", "Video")</f>
        <v/>
      </c>
      <c r="B924" t="inlineStr">
        <is>
          <t>1:50</t>
        </is>
      </c>
      <c r="C924" t="inlineStr">
        <is>
          <t>gordon smith and screen direction</t>
        </is>
      </c>
      <c r="D924">
        <f>HYPERLINK("https://www.youtube.com/watch?v=6ErBOaY1yX4&amp;t=110s", "Go to time")</f>
        <v/>
      </c>
    </row>
    <row r="925">
      <c r="A925">
        <f>HYPERLINK("https://www.youtube.com/watch?v=6ErBOaY1yX4", "Video")</f>
        <v/>
      </c>
      <c r="B925" t="inlineStr">
        <is>
          <t>3:52</t>
        </is>
      </c>
      <c r="C925" t="inlineStr">
        <is>
          <t>stare only seemed to be directed at gene</t>
        </is>
      </c>
      <c r="D925">
        <f>HYPERLINK("https://www.youtube.com/watch?v=6ErBOaY1yX4&amp;t=232s", "Go to time")</f>
        <v/>
      </c>
    </row>
    <row r="926">
      <c r="A926">
        <f>HYPERLINK("https://www.youtube.com/watch?v=6ErBOaY1yX4", "Video")</f>
        <v/>
      </c>
      <c r="B926" t="inlineStr">
        <is>
          <t>13:24</t>
        </is>
      </c>
      <c r="C926" t="inlineStr">
        <is>
          <t>of james mcgill how may i direct your</t>
        </is>
      </c>
      <c r="D926">
        <f>HYPERLINK("https://www.youtube.com/watch?v=6ErBOaY1yX4&amp;t=804s", "Go to time")</f>
        <v/>
      </c>
    </row>
    <row r="927">
      <c r="A927">
        <f>HYPERLINK("https://www.youtube.com/watch?v=6ErBOaY1yX4", "Video")</f>
        <v/>
      </c>
      <c r="B927" t="inlineStr">
        <is>
          <t>24:50</t>
        </is>
      </c>
      <c r="C927" t="inlineStr">
        <is>
          <t>he's in dire financial straits</t>
        </is>
      </c>
      <c r="D927">
        <f>HYPERLINK("https://www.youtube.com/watch?v=6ErBOaY1yX4&amp;t=1490s", "Go to time")</f>
        <v/>
      </c>
    </row>
    <row r="928">
      <c r="A928">
        <f>HYPERLINK("https://www.youtube.com/watch?v=6ErBOaY1yX4", "Video")</f>
        <v/>
      </c>
      <c r="B928" t="inlineStr">
        <is>
          <t>48:28</t>
        </is>
      </c>
      <c r="C928" t="inlineStr">
        <is>
          <t>in the same direction we pan with the</t>
        </is>
      </c>
      <c r="D928">
        <f>HYPERLINK("https://www.youtube.com/watch?v=6ErBOaY1yX4&amp;t=2908s", "Go to time")</f>
        <v/>
      </c>
    </row>
    <row r="929">
      <c r="A929">
        <f>HYPERLINK("https://www.youtube.com/watch?v=6ErBOaY1yX4", "Video")</f>
        <v/>
      </c>
      <c r="B929" t="inlineStr">
        <is>
          <t>51:44</t>
        </is>
      </c>
      <c r="C929" t="inlineStr">
        <is>
          <t>pistol directly into jimmy's forehead</t>
        </is>
      </c>
      <c r="D929">
        <f>HYPERLINK("https://www.youtube.com/watch?v=6ErBOaY1yX4&amp;t=3104s", "Go to time")</f>
        <v/>
      </c>
    </row>
    <row r="930">
      <c r="A930">
        <f>HYPERLINK("https://www.youtube.com/watch?v=_moV9wkY55Q", "Video")</f>
        <v/>
      </c>
      <c r="B930" t="inlineStr">
        <is>
          <t>4:47</t>
        </is>
      </c>
      <c r="C930" t="inlineStr">
        <is>
          <t>i'm trying to direct that's good get out</t>
        </is>
      </c>
      <c r="D930">
        <f>HYPERLINK("https://www.youtube.com/watch?v=_moV9wkY55Q&amp;t=287s", "Go to time")</f>
        <v/>
      </c>
    </row>
    <row r="931">
      <c r="A931">
        <f>HYPERLINK("https://www.youtube.com/watch?v=RUKDxeLdB2E", "Video")</f>
        <v/>
      </c>
      <c r="B931" t="inlineStr">
        <is>
          <t>3:20</t>
        </is>
      </c>
      <c r="C931" t="inlineStr">
        <is>
          <t>shut up and learn to take some direction</t>
        </is>
      </c>
      <c r="D931">
        <f>HYPERLINK("https://www.youtube.com/watch?v=RUKDxeLdB2E&amp;t=200s", "Go to time")</f>
        <v/>
      </c>
    </row>
    <row r="932">
      <c r="A932">
        <f>HYPERLINK("https://www.youtube.com/watch?v=N-2B_eC6qkE", "Video")</f>
        <v/>
      </c>
      <c r="B932" t="inlineStr">
        <is>
          <t>0:21</t>
        </is>
      </c>
      <c r="C932" t="inlineStr">
        <is>
          <t>direct your call</t>
        </is>
      </c>
      <c r="D932">
        <f>HYPERLINK("https://www.youtube.com/watch?v=N-2B_eC6qkE&amp;t=21s", "Go to time")</f>
        <v/>
      </c>
    </row>
    <row r="933">
      <c r="A933">
        <f>HYPERLINK("https://www.youtube.com/watch?v=qkQDIl8UgQA", "Video")</f>
        <v/>
      </c>
      <c r="B933" t="inlineStr">
        <is>
          <t>7:05</t>
        </is>
      </c>
      <c r="C933" t="inlineStr">
        <is>
          <t>direct your</t>
        </is>
      </c>
      <c r="D933">
        <f>HYPERLINK("https://www.youtube.com/watch?v=qkQDIl8UgQA&amp;t=425s", "Go to time")</f>
        <v/>
      </c>
    </row>
    <row r="934">
      <c r="A934">
        <f>HYPERLINK("https://www.youtube.com/watch?v=NLKDm-PW18o", "Video")</f>
        <v/>
      </c>
      <c r="B934" t="inlineStr">
        <is>
          <t>1:02</t>
        </is>
      </c>
      <c r="C934" t="inlineStr">
        <is>
          <t>[♪ dire music playing]</t>
        </is>
      </c>
      <c r="D934">
        <f>HYPERLINK("https://www.youtube.com/watch?v=NLKDm-PW18o&amp;t=62s", "Go to time")</f>
        <v/>
      </c>
    </row>
    <row r="935">
      <c r="A935">
        <f>HYPERLINK("https://www.youtube.com/watch?v=gpfUQSWmoBk", "Video")</f>
        <v/>
      </c>
      <c r="B935" t="inlineStr">
        <is>
          <t>17:18</t>
        </is>
      </c>
      <c r="C935" t="inlineStr">
        <is>
          <t>form a group and i'm the director i'm</t>
        </is>
      </c>
      <c r="D935">
        <f>HYPERLINK("https://www.youtube.com/watch?v=gpfUQSWmoBk&amp;t=1038s", "Go to time")</f>
        <v/>
      </c>
    </row>
    <row r="936">
      <c r="A936">
        <f>HYPERLINK("https://www.youtube.com/watch?v=gpfUQSWmoBk", "Video")</f>
        <v/>
      </c>
      <c r="B936" t="inlineStr">
        <is>
          <t>17:20</t>
        </is>
      </c>
      <c r="C936" t="inlineStr">
        <is>
          <t>the biggest director in our videos but</t>
        </is>
      </c>
      <c r="D936">
        <f>HYPERLINK("https://www.youtube.com/watch?v=gpfUQSWmoBk&amp;t=1040s", "Go to time")</f>
        <v/>
      </c>
    </row>
    <row r="937">
      <c r="A937">
        <f>HYPERLINK("https://www.youtube.com/watch?v=gpfUQSWmoBk", "Video")</f>
        <v/>
      </c>
      <c r="B937" t="inlineStr">
        <is>
          <t>17:49</t>
        </is>
      </c>
      <c r="C937" t="inlineStr">
        <is>
          <t>yeah yeah yeah richard is a director</t>
        </is>
      </c>
      <c r="D937">
        <f>HYPERLINK("https://www.youtube.com/watch?v=gpfUQSWmoBk&amp;t=1069s", "Go to time")</f>
        <v/>
      </c>
    </row>
    <row r="938">
      <c r="A938">
        <f>HYPERLINK("https://www.youtube.com/watch?v=gpfUQSWmoBk", "Video")</f>
        <v/>
      </c>
      <c r="B938" t="inlineStr">
        <is>
          <t>18:32</t>
        </is>
      </c>
      <c r="C938" t="inlineStr">
        <is>
          <t>danielle official directed</t>
        </is>
      </c>
      <c r="D938">
        <f>HYPERLINK("https://www.youtube.com/watch?v=gpfUQSWmoBk&amp;t=1112s", "Go to time")</f>
        <v/>
      </c>
    </row>
    <row r="939">
      <c r="A939">
        <f>HYPERLINK("https://www.youtube.com/watch?v=gpfUQSWmoBk", "Video")</f>
        <v/>
      </c>
      <c r="B939" t="inlineStr">
        <is>
          <t>29:06</t>
        </is>
      </c>
      <c r="C939" t="inlineStr">
        <is>
          <t>award-winning director is on the couch</t>
        </is>
      </c>
      <c r="D939">
        <f>HYPERLINK("https://www.youtube.com/watch?v=gpfUQSWmoBk&amp;t=1746s", "Go to time")</f>
        <v/>
      </c>
    </row>
    <row r="940">
      <c r="A940">
        <f>HYPERLINK("https://www.youtube.com/watch?v=Ha1aBfxlf0g", "Video")</f>
        <v/>
      </c>
      <c r="B940" t="inlineStr">
        <is>
          <t>10:03</t>
        </is>
      </c>
      <c r="C940" t="inlineStr">
        <is>
          <t>LISTEN, SASSY PANTS,
I DIRECTED JOE'S MOVIE</t>
        </is>
      </c>
      <c r="D940">
        <f>HYPERLINK("https://www.youtube.com/watch?v=Ha1aBfxlf0g&amp;t=603s", "Go to time")</f>
        <v/>
      </c>
    </row>
    <row r="941">
      <c r="A941">
        <f>HYPERLINK("https://www.youtube.com/watch?v=Ha1aBfxlf0g", "Video")</f>
        <v/>
      </c>
      <c r="B941" t="inlineStr">
        <is>
          <t>20:17</t>
        </is>
      </c>
      <c r="C941" t="inlineStr">
        <is>
          <t>Oh well, you'll be back soon
to direct David Henrie's
new movie.</t>
        </is>
      </c>
      <c r="D941">
        <f>HYPERLINK("https://www.youtube.com/watch?v=Ha1aBfxlf0g&amp;t=1217s", "Go to time")</f>
        <v/>
      </c>
    </row>
    <row r="942">
      <c r="A942">
        <f>HYPERLINK("https://www.youtube.com/watch?v=8yuwfJDVyq4", "Video")</f>
        <v/>
      </c>
      <c r="B942" t="inlineStr">
        <is>
          <t>0:58</t>
        </is>
      </c>
      <c r="C942" t="inlineStr">
        <is>
          <t>direction I needed I recipe for Success</t>
        </is>
      </c>
      <c r="D942">
        <f>HYPERLINK("https://www.youtube.com/watch?v=8yuwfJDVyq4&amp;t=58s", "Go to time")</f>
        <v/>
      </c>
    </row>
    <row r="943">
      <c r="A943">
        <f>HYPERLINK("https://www.youtube.com/watch?v=KWdUsxyqBM0", "Video")</f>
        <v/>
      </c>
      <c r="B943" t="inlineStr">
        <is>
          <t>1:34</t>
        </is>
      </c>
      <c r="C943" t="inlineStr">
        <is>
          <t>we'll go you mean the direction they</t>
        </is>
      </c>
      <c r="D943">
        <f>HYPERLINK("https://www.youtube.com/watch?v=KWdUsxyqBM0&amp;t=94s", "Go to time")</f>
        <v/>
      </c>
    </row>
    <row r="944">
      <c r="A944">
        <f>HYPERLINK("https://www.youtube.com/watch?v=mnmOPrzmdYI", "Video")</f>
        <v/>
      </c>
      <c r="B944" t="inlineStr">
        <is>
          <t>6:12</t>
        </is>
      </c>
      <c r="C944" t="inlineStr">
        <is>
          <t>direction</t>
        </is>
      </c>
      <c r="D944">
        <f>HYPERLINK("https://www.youtube.com/watch?v=mnmOPrzmdYI&amp;t=372s", "Go to time")</f>
        <v/>
      </c>
    </row>
    <row r="945">
      <c r="A945">
        <f>HYPERLINK("https://www.youtube.com/watch?v=fgmFhjAaWFQ", "Video")</f>
        <v/>
      </c>
      <c r="B945" t="inlineStr">
        <is>
          <t>1:22</t>
        </is>
      </c>
      <c r="C945" t="inlineStr">
        <is>
          <t>movie directors with 176 million hits</t>
        </is>
      </c>
      <c r="D945">
        <f>HYPERLINK("https://www.youtube.com/watch?v=fgmFhjAaWFQ&amp;t=82s", "Go to time")</f>
        <v/>
      </c>
    </row>
    <row r="946">
      <c r="A946">
        <f>HYPERLINK("https://www.youtube.com/watch?v=o41KnC5K_YQ", "Video")</f>
        <v/>
      </c>
      <c r="B946" t="inlineStr">
        <is>
          <t>1:17</t>
        </is>
      </c>
      <c r="C946" t="inlineStr">
        <is>
          <t>Our situation
may seem dire,</t>
        </is>
      </c>
      <c r="D946">
        <f>HYPERLINK("https://www.youtube.com/watch?v=o41KnC5K_YQ&amp;t=77s", "Go to time")</f>
        <v/>
      </c>
    </row>
    <row r="947">
      <c r="A947">
        <f>HYPERLINK("https://www.youtube.com/watch?v=o41KnC5K_YQ", "Video")</f>
        <v/>
      </c>
      <c r="B947" t="inlineStr">
        <is>
          <t>20:26</t>
        </is>
      </c>
      <c r="C947" t="inlineStr">
        <is>
          <t>to change the direction
of the wind,</t>
        </is>
      </c>
      <c r="D947">
        <f>HYPERLINK("https://www.youtube.com/watch?v=o41KnC5K_YQ&amp;t=1226s", "Go to time")</f>
        <v/>
      </c>
    </row>
    <row r="948">
      <c r="A948">
        <f>HYPERLINK("https://www.youtube.com/watch?v=OxTqsoPNPqc", "Video")</f>
        <v/>
      </c>
      <c r="B948" t="inlineStr">
        <is>
          <t>5:45</t>
        </is>
      </c>
      <c r="C948" t="inlineStr">
        <is>
          <t>me too okay if we could just redirect to</t>
        </is>
      </c>
      <c r="D948">
        <f>HYPERLINK("https://www.youtube.com/watch?v=OxTqsoPNPqc&amp;t=345s", "Go to time")</f>
        <v/>
      </c>
    </row>
    <row r="949">
      <c r="A949">
        <f>HYPERLINK("https://www.youtube.com/watch?v=93yxvoc-tHg", "Video")</f>
        <v/>
      </c>
      <c r="B949" t="inlineStr">
        <is>
          <t>6:47</t>
        </is>
      </c>
      <c r="C949" t="inlineStr">
        <is>
          <t>Direction what if you did it oo yeah</t>
        </is>
      </c>
      <c r="D949">
        <f>HYPERLINK("https://www.youtube.com/watch?v=93yxvoc-tHg&amp;t=407s", "Go to time")</f>
        <v/>
      </c>
    </row>
    <row r="950">
      <c r="A950">
        <f>HYPERLINK("https://www.youtube.com/watch?v=OgXo8g0kr6o", "Video")</f>
        <v/>
      </c>
      <c r="B950" t="inlineStr">
        <is>
          <t>1:25</t>
        </is>
      </c>
      <c r="C950" t="inlineStr">
        <is>
          <t>live my debut as a director is ruined</t>
        </is>
      </c>
      <c r="D950">
        <f>HYPERLINK("https://www.youtube.com/watch?v=OgXo8g0kr6o&amp;t=85s", "Go to time")</f>
        <v/>
      </c>
    </row>
    <row r="951">
      <c r="A951">
        <f>HYPERLINK("https://www.youtube.com/watch?v=aHF-K7WeZQc", "Video")</f>
        <v/>
      </c>
      <c r="B951" t="inlineStr">
        <is>
          <t>0:43</t>
        </is>
      </c>
      <c r="C951" t="inlineStr">
        <is>
          <t>directed by
Jason Ryan Reeves, no less.</t>
        </is>
      </c>
      <c r="D951">
        <f>HYPERLINK("https://www.youtube.com/watch?v=aHF-K7WeZQc&amp;t=43s", "Go to time")</f>
        <v/>
      </c>
    </row>
    <row r="952">
      <c r="A952">
        <f>HYPERLINK("https://www.youtube.com/watch?v=2VGtd1qWXwQ", "Video")</f>
        <v/>
      </c>
      <c r="B952" t="inlineStr">
        <is>
          <t>0:49</t>
        </is>
      </c>
      <c r="C952" t="inlineStr">
        <is>
          <t>crazy director for the first video I</t>
        </is>
      </c>
      <c r="D952">
        <f>HYPERLINK("https://www.youtube.com/watch?v=2VGtd1qWXwQ&amp;t=49s", "Go to time")</f>
        <v/>
      </c>
    </row>
    <row r="953">
      <c r="A953">
        <f>HYPERLINK("https://www.youtube.com/watch?v=96v6KMrpu_M", "Video")</f>
        <v/>
      </c>
      <c r="B953" t="inlineStr">
        <is>
          <t>3:37</t>
        </is>
      </c>
      <c r="C953" t="inlineStr">
        <is>
          <t>me stay on this director depends how</t>
        </is>
      </c>
      <c r="D953">
        <f>HYPERLINK("https://www.youtube.com/watch?v=96v6KMrpu_M&amp;t=217s", "Go to time")</f>
        <v/>
      </c>
    </row>
    <row r="954">
      <c r="A954">
        <f>HYPERLINK("https://www.youtube.com/watch?v=96v6KMrpu_M", "Video")</f>
        <v/>
      </c>
      <c r="B954" t="inlineStr">
        <is>
          <t>3:39</t>
        </is>
      </c>
      <c r="C954" t="inlineStr">
        <is>
          <t>good are you at directing wrecking balls</t>
        </is>
      </c>
      <c r="D954">
        <f>HYPERLINK("https://www.youtube.com/watch?v=96v6KMrpu_M&amp;t=219s", "Go to time")</f>
        <v/>
      </c>
    </row>
    <row r="955">
      <c r="A955">
        <f>HYPERLINK("https://www.youtube.com/watch?v=MRU-aPDsirs", "Video")</f>
        <v/>
      </c>
      <c r="B955" t="inlineStr">
        <is>
          <t>9:22</t>
        </is>
      </c>
      <c r="C955" t="inlineStr">
        <is>
          <t>every direction yooo KN come and find</t>
        </is>
      </c>
      <c r="D955">
        <f>HYPERLINK("https://www.youtube.com/watch?v=MRU-aPDsirs&amp;t=562s", "Go to time")</f>
        <v/>
      </c>
    </row>
    <row r="956">
      <c r="A956">
        <f>HYPERLINK("https://www.youtube.com/watch?v=WMha3o0MI5A", "Video")</f>
        <v/>
      </c>
      <c r="B956" t="inlineStr">
        <is>
          <t>12:39</t>
        </is>
      </c>
      <c r="C956" t="inlineStr">
        <is>
          <t>Turns out you shouldn't
just throw away the directions.</t>
        </is>
      </c>
      <c r="D956">
        <f>HYPERLINK("https://www.youtube.com/watch?v=WMha3o0MI5A&amp;t=759s", "Go to time")</f>
        <v/>
      </c>
    </row>
    <row r="957">
      <c r="A957">
        <f>HYPERLINK("https://www.youtube.com/watch?v=WMha3o0MI5A", "Video")</f>
        <v/>
      </c>
      <c r="B957" t="inlineStr">
        <is>
          <t>12:41</t>
        </is>
      </c>
      <c r="C957" t="inlineStr">
        <is>
          <t>If you were good at
reading directions,</t>
        </is>
      </c>
      <c r="D957">
        <f>HYPERLINK("https://www.youtube.com/watch?v=WMha3o0MI5A&amp;t=761s", "Go to time")</f>
        <v/>
      </c>
    </row>
    <row r="958">
      <c r="A958">
        <f>HYPERLINK("https://www.youtube.com/watch?v=VxOjORYC6yU", "Video")</f>
        <v/>
      </c>
      <c r="B958" t="inlineStr">
        <is>
          <t>1:16</t>
        </is>
      </c>
      <c r="C958" t="inlineStr">
        <is>
          <t>that's not what director kim calls</t>
        </is>
      </c>
      <c r="D958">
        <f>HYPERLINK("https://www.youtube.com/watch?v=VxOjORYC6yU&amp;t=76s", "Go to time")</f>
        <v/>
      </c>
    </row>
    <row r="959">
      <c r="A959">
        <f>HYPERLINK("https://www.youtube.com/watch?v=UWU01T5cnJY", "Video")</f>
        <v/>
      </c>
      <c r="B959" t="inlineStr">
        <is>
          <t>0:16</t>
        </is>
      </c>
      <c r="C959" t="inlineStr">
        <is>
          <t>Direction miss miss miss ah just hurry</t>
        </is>
      </c>
      <c r="D959">
        <f>HYPERLINK("https://www.youtube.com/watch?v=UWU01T5cnJY&amp;t=16s", "Go to time")</f>
        <v/>
      </c>
    </row>
    <row r="960">
      <c r="A960">
        <f>HYPERLINK("https://www.youtube.com/watch?v=mlz9fy76p80", "Video")</f>
        <v/>
      </c>
      <c r="B960" t="inlineStr">
        <is>
          <t>0:17</t>
        </is>
      </c>
      <c r="C960" t="inlineStr">
        <is>
          <t>don't need directions</t>
        </is>
      </c>
      <c r="D960">
        <f>HYPERLINK("https://www.youtube.com/watch?v=mlz9fy76p80&amp;t=17s", "Go to time")</f>
        <v/>
      </c>
    </row>
    <row r="961">
      <c r="A961">
        <f>HYPERLINK("https://www.youtube.com/watch?v=k0MVkYEGbUo", "Video")</f>
        <v/>
      </c>
      <c r="B961" t="inlineStr">
        <is>
          <t>16:45</t>
        </is>
      </c>
      <c r="C961" t="inlineStr">
        <is>
          <t>Ethan once wrote
Zayn from One Direction</t>
        </is>
      </c>
      <c r="D961">
        <f>HYPERLINK("https://www.youtube.com/watch?v=k0MVkYEGbUo&amp;t=1005s", "Go to time")</f>
        <v/>
      </c>
    </row>
    <row r="962">
      <c r="A962">
        <f>HYPERLINK("https://www.youtube.com/watch?v=jyxA_MbfZvk", "Video")</f>
        <v/>
      </c>
      <c r="B962" t="inlineStr">
        <is>
          <t>0:17</t>
        </is>
      </c>
      <c r="C962" t="inlineStr">
        <is>
          <t>Jam director Paul hoen has a very unique</t>
        </is>
      </c>
      <c r="D962">
        <f>HYPERLINK("https://www.youtube.com/watch?v=jyxA_MbfZvk&amp;t=17s", "Go to time")</f>
        <v/>
      </c>
    </row>
    <row r="963">
      <c r="A963">
        <f>HYPERLINK("https://www.youtube.com/watch?v=1XFXtWLxWlg", "Video")</f>
        <v/>
      </c>
      <c r="B963" t="inlineStr">
        <is>
          <t>0:50</t>
        </is>
      </c>
      <c r="C963" t="inlineStr">
        <is>
          <t>Paul the director and Roser or</t>
        </is>
      </c>
      <c r="D963">
        <f>HYPERLINK("https://www.youtube.com/watch?v=1XFXtWLxWlg&amp;t=50s", "Go to time")</f>
        <v/>
      </c>
    </row>
    <row r="964">
      <c r="A964">
        <f>HYPERLINK("https://www.youtube.com/watch?v=8tsJMOdMY3c", "Video")</f>
        <v/>
      </c>
      <c r="B964" t="inlineStr">
        <is>
          <t>0:42</t>
        </is>
      </c>
      <c r="C964" t="inlineStr">
        <is>
          <t>director will decide</t>
        </is>
      </c>
      <c r="D964">
        <f>HYPERLINK("https://www.youtube.com/watch?v=8tsJMOdMY3c&amp;t=42s", "Go to time")</f>
        <v/>
      </c>
    </row>
    <row r="965">
      <c r="A965">
        <f>HYPERLINK("https://www.youtube.com/watch?v=Ry_Nz759o08", "Video")</f>
        <v/>
      </c>
      <c r="B965" t="inlineStr">
        <is>
          <t>12:33</t>
        </is>
      </c>
      <c r="C965" t="inlineStr">
        <is>
          <t>I'm just following
Miss Jones directions
not to rock the dinghy.</t>
        </is>
      </c>
      <c r="D965">
        <f>HYPERLINK("https://www.youtube.com/watch?v=Ry_Nz759o08&amp;t=753s", "Go to time")</f>
        <v/>
      </c>
    </row>
    <row r="966">
      <c r="A966">
        <f>HYPERLINK("https://www.youtube.com/watch?v=xDxo8hmTHtA", "Video")</f>
        <v/>
      </c>
      <c r="B966" t="inlineStr">
        <is>
          <t>0:37</t>
        </is>
      </c>
      <c r="C966" t="inlineStr">
        <is>
          <t>violate my prime directive</t>
        </is>
      </c>
      <c r="D966">
        <f>HYPERLINK("https://www.youtube.com/watch?v=xDxo8hmTHtA&amp;t=37s", "Go to time")</f>
        <v/>
      </c>
    </row>
    <row r="967">
      <c r="A967">
        <f>HYPERLINK("https://www.youtube.com/watch?v=nl8Pns0SaIc", "Video")</f>
        <v/>
      </c>
      <c r="B967" t="inlineStr">
        <is>
          <t>1:56</t>
        </is>
      </c>
      <c r="C967" t="inlineStr">
        <is>
          <t>director uh said that he knows somebody</t>
        </is>
      </c>
      <c r="D967">
        <f>HYPERLINK("https://www.youtube.com/watch?v=nl8Pns0SaIc&amp;t=116s", "Go to time")</f>
        <v/>
      </c>
    </row>
    <row r="968">
      <c r="A968">
        <f>HYPERLINK("https://www.youtube.com/watch?v=tzoCoTfarQA", "Video")</f>
        <v/>
      </c>
      <c r="B968" t="inlineStr">
        <is>
          <t>0:22</t>
        </is>
      </c>
      <c r="C968" t="inlineStr">
        <is>
          <t>host the dialogue director of ducktales</t>
        </is>
      </c>
      <c r="D968">
        <f>HYPERLINK("https://www.youtube.com/watch?v=tzoCoTfarQA&amp;t=22s", "Go to time")</f>
        <v/>
      </c>
    </row>
    <row r="969">
      <c r="A969">
        <f>HYPERLINK("https://www.youtube.com/watch?v=tzoCoTfarQA", "Video")</f>
        <v/>
      </c>
      <c r="B969" t="inlineStr">
        <is>
          <t>14:48</t>
        </is>
      </c>
      <c r="C969" t="inlineStr">
        <is>
          <t>may be dire</t>
        </is>
      </c>
      <c r="D969">
        <f>HYPERLINK("https://www.youtube.com/watch?v=tzoCoTfarQA&amp;t=888s", "Go to time")</f>
        <v/>
      </c>
    </row>
    <row r="970">
      <c r="A970">
        <f>HYPERLINK("https://www.youtube.com/watch?v=hdFJGEq7O_s", "Video")</f>
        <v/>
      </c>
      <c r="B970" t="inlineStr">
        <is>
          <t>4:52</t>
        </is>
      </c>
      <c r="C970" t="inlineStr">
        <is>
          <t>after lifetime i will direct obviously</t>
        </is>
      </c>
      <c r="D970">
        <f>HYPERLINK("https://www.youtube.com/watch?v=hdFJGEq7O_s&amp;t=292s", "Go to time")</f>
        <v/>
      </c>
    </row>
    <row r="971">
      <c r="A971">
        <f>HYPERLINK("https://www.youtube.com/watch?v=kcLu_CzP8Vo", "Video")</f>
        <v/>
      </c>
      <c r="B971" t="inlineStr">
        <is>
          <t>0:25</t>
        </is>
      </c>
      <c r="C971" t="inlineStr">
        <is>
          <t>hours he'll be directly above our</t>
        </is>
      </c>
      <c r="D971">
        <f>HYPERLINK("https://www.youtube.com/watch?v=kcLu_CzP8Vo&amp;t=25s", "Go to time")</f>
        <v/>
      </c>
    </row>
    <row r="972">
      <c r="A972">
        <f>HYPERLINK("https://www.youtube.com/watch?v=HeDc6gHWOjw", "Video")</f>
        <v/>
      </c>
      <c r="B972" t="inlineStr">
        <is>
          <t>16:28</t>
        </is>
      </c>
      <c r="C972" t="inlineStr">
        <is>
          <t>director</t>
        </is>
      </c>
      <c r="D972">
        <f>HYPERLINK("https://www.youtube.com/watch?v=HeDc6gHWOjw&amp;t=988s", "Go to time")</f>
        <v/>
      </c>
    </row>
    <row r="973">
      <c r="A973">
        <f>HYPERLINK("https://www.youtube.com/watch?v=vkzbGITDhIQ", "Video")</f>
        <v/>
      </c>
      <c r="B973" t="inlineStr">
        <is>
          <t>3:49</t>
        </is>
      </c>
      <c r="C973" t="inlineStr">
        <is>
          <t>Clever misdirection so that
parents let us come to camp.</t>
        </is>
      </c>
      <c r="D973">
        <f>HYPERLINK("https://www.youtube.com/watch?v=vkzbGITDhIQ&amp;t=229s", "Go to time")</f>
        <v/>
      </c>
    </row>
    <row r="974">
      <c r="A974">
        <f>HYPERLINK("https://www.youtube.com/watch?v=vkzbGITDhIQ", "Video")</f>
        <v/>
      </c>
      <c r="B974" t="inlineStr">
        <is>
          <t>3:52</t>
        </is>
      </c>
      <c r="C974" t="inlineStr">
        <is>
          <t>It's actually how I got my
clever misdirection badge.</t>
        </is>
      </c>
      <c r="D974">
        <f>HYPERLINK("https://www.youtube.com/watch?v=vkzbGITDhIQ&amp;t=232s", "Go to time")</f>
        <v/>
      </c>
    </row>
    <row r="975">
      <c r="A975">
        <f>HYPERLINK("https://www.youtube.com/watch?v=Px4ZLYxvcPE", "Video")</f>
        <v/>
      </c>
      <c r="B975" t="inlineStr">
        <is>
          <t>19:20</t>
        </is>
      </c>
      <c r="C975" t="inlineStr">
        <is>
          <t>out F directed what you don't like</t>
        </is>
      </c>
      <c r="D975">
        <f>HYPERLINK("https://www.youtube.com/watch?v=Px4ZLYxvcPE&amp;t=1160s", "Go to time")</f>
        <v/>
      </c>
    </row>
    <row r="976">
      <c r="A976">
        <f>HYPERLINK("https://www.youtube.com/watch?v=tBq1B-q3Pq0", "Video")</f>
        <v/>
      </c>
      <c r="B976" t="inlineStr">
        <is>
          <t>7:09</t>
        </is>
      </c>
      <c r="C976" t="inlineStr">
        <is>
          <t>our director we love you kenny yes</t>
        </is>
      </c>
      <c r="D976">
        <f>HYPERLINK("https://www.youtube.com/watch?v=tBq1B-q3Pq0&amp;t=429s", "Go to time")</f>
        <v/>
      </c>
    </row>
    <row r="977">
      <c r="A977">
        <f>HYPERLINK("https://www.youtube.com/watch?v=71qwgq0efxY", "Video")</f>
        <v/>
      </c>
      <c r="B977" t="inlineStr">
        <is>
          <t>1:16</t>
        </is>
      </c>
      <c r="C977" t="inlineStr">
        <is>
          <t>i'm barbarka director of camp champion</t>
        </is>
      </c>
      <c r="D977">
        <f>HYPERLINK("https://www.youtube.com/watch?v=71qwgq0efxY&amp;t=76s", "Go to time")</f>
        <v/>
      </c>
    </row>
    <row r="978">
      <c r="A978">
        <f>HYPERLINK("https://www.youtube.com/watch?v=71qwgq0efxY", "Video")</f>
        <v/>
      </c>
      <c r="B978" t="inlineStr">
        <is>
          <t>5:14</t>
        </is>
      </c>
      <c r="C978" t="inlineStr">
        <is>
          <t>assistant camp director no chance mark</t>
        </is>
      </c>
      <c r="D978">
        <f>HYPERLINK("https://www.youtube.com/watch?v=71qwgq0efxY&amp;t=314s", "Go to time")</f>
        <v/>
      </c>
    </row>
    <row r="979">
      <c r="A979">
        <f>HYPERLINK("https://www.youtube.com/watch?v=pjnsY2opXvg", "Video")</f>
        <v/>
      </c>
      <c r="B979" t="inlineStr">
        <is>
          <t>0:19</t>
        </is>
      </c>
      <c r="C979" t="inlineStr">
        <is>
          <t>to direct sunlight I'm talking Whirlwind</t>
        </is>
      </c>
      <c r="D979">
        <f>HYPERLINK("https://www.youtube.com/watch?v=pjnsY2opXvg&amp;t=19s", "Go to time")</f>
        <v/>
      </c>
    </row>
    <row r="980">
      <c r="A980">
        <f>HYPERLINK("https://www.youtube.com/watch?v=zuR1yHVkwMw", "Video")</f>
        <v/>
      </c>
      <c r="B980" t="inlineStr">
        <is>
          <t>0:14</t>
        </is>
      </c>
      <c r="C980" t="inlineStr">
        <is>
          <t>director oh no but you've been doing so</t>
        </is>
      </c>
      <c r="D980">
        <f>HYPERLINK("https://www.youtube.com/watch?v=zuR1yHVkwMw&amp;t=14s", "Go to time")</f>
        <v/>
      </c>
    </row>
    <row r="981">
      <c r="A981">
        <f>HYPERLINK("https://www.youtube.com/watch?v=s39nsXfWveU", "Video")</f>
        <v/>
      </c>
      <c r="B981" t="inlineStr">
        <is>
          <t>1:34</t>
        </is>
      </c>
      <c r="C981" t="inlineStr">
        <is>
          <t>our stage director isabella has a ball</t>
        </is>
      </c>
      <c r="D981">
        <f>HYPERLINK("https://www.youtube.com/watch?v=s39nsXfWveU&amp;t=94s", "Go to time")</f>
        <v/>
      </c>
    </row>
    <row r="982">
      <c r="A982">
        <f>HYPERLINK("https://www.youtube.com/watch?v=MIvURab_QIg", "Video")</f>
        <v/>
      </c>
      <c r="B982" t="inlineStr">
        <is>
          <t>3:15</t>
        </is>
      </c>
      <c r="C982" t="inlineStr">
        <is>
          <t>His uncle, Tyronius Rex,
is directing the video.</t>
        </is>
      </c>
      <c r="D982">
        <f>HYPERLINK("https://www.youtube.com/watch?v=MIvURab_QIg&amp;t=195s", "Go to time")</f>
        <v/>
      </c>
    </row>
    <row r="983">
      <c r="A983">
        <f>HYPERLINK("https://www.youtube.com/watch?v=MIvURab_QIg", "Video")</f>
        <v/>
      </c>
      <c r="B983" t="inlineStr">
        <is>
          <t>3:55</t>
        </is>
      </c>
      <c r="C983" t="inlineStr">
        <is>
          <t>and your uncle T-Rex
is directing. (chuckles)</t>
        </is>
      </c>
      <c r="D983">
        <f>HYPERLINK("https://www.youtube.com/watch?v=MIvURab_QIg&amp;t=235s", "Go to time")</f>
        <v/>
      </c>
    </row>
    <row r="984">
      <c r="A984">
        <f>HYPERLINK("https://www.youtube.com/watch?v=MIvURab_QIg", "Video")</f>
        <v/>
      </c>
      <c r="B984" t="inlineStr">
        <is>
          <t>14:08</t>
        </is>
      </c>
      <c r="C984" t="inlineStr">
        <is>
          <t>I'm the director of Box Heezy's
video</t>
        </is>
      </c>
      <c r="D984">
        <f>HYPERLINK("https://www.youtube.com/watch?v=MIvURab_QIg&amp;t=848s", "Go to time")</f>
        <v/>
      </c>
    </row>
    <row r="985">
      <c r="A985">
        <f>HYPERLINK("https://www.youtube.com/watch?v=KNJwVZIwsKw", "Video")</f>
        <v/>
      </c>
      <c r="B985" t="inlineStr">
        <is>
          <t>0:13</t>
        </is>
      </c>
      <c r="C985" t="inlineStr">
        <is>
          <t>your show rock I talked to my director</t>
        </is>
      </c>
      <c r="D985">
        <f>HYPERLINK("https://www.youtube.com/watch?v=KNJwVZIwsKw&amp;t=13s", "Go to time")</f>
        <v/>
      </c>
    </row>
    <row r="986">
      <c r="A986">
        <f>HYPERLINK("https://www.youtube.com/watch?v=KNJwVZIwsKw", "Video")</f>
        <v/>
      </c>
      <c r="B986" t="inlineStr">
        <is>
          <t>0:36</t>
        </is>
      </c>
      <c r="C986" t="inlineStr">
        <is>
          <t>to know about being a director ah you</t>
        </is>
      </c>
      <c r="D986">
        <f>HYPERLINK("https://www.youtube.com/watch?v=KNJwVZIwsKw&amp;t=36s", "Go to time")</f>
        <v/>
      </c>
    </row>
    <row r="987">
      <c r="A987">
        <f>HYPERLINK("https://www.youtube.com/watch?v=DioHwnHdrBs", "Video")</f>
        <v/>
      </c>
      <c r="B987" t="inlineStr">
        <is>
          <t>1:21</t>
        </is>
      </c>
      <c r="C987" t="inlineStr">
        <is>
          <t>how'd it go the director do was blown</t>
        </is>
      </c>
      <c r="D987">
        <f>HYPERLINK("https://www.youtube.com/watch?v=DioHwnHdrBs&amp;t=81s", "Go to time")</f>
        <v/>
      </c>
    </row>
    <row r="988">
      <c r="A988">
        <f>HYPERLINK("https://www.youtube.com/watch?v=1DW5zHpgFps", "Video")</f>
        <v/>
      </c>
      <c r="B988" t="inlineStr">
        <is>
          <t>0:15</t>
        </is>
      </c>
      <c r="C988" t="inlineStr">
        <is>
          <t>song in a funny direction.</t>
        </is>
      </c>
      <c r="D988">
        <f>HYPERLINK("https://www.youtube.com/watch?v=1DW5zHpgFps&amp;t=15s", "Go to time")</f>
        <v/>
      </c>
    </row>
    <row r="989">
      <c r="A989">
        <f>HYPERLINK("https://www.youtube.com/watch?v=Jg2i4vqSFxM", "Video")</f>
        <v/>
      </c>
      <c r="B989" t="inlineStr">
        <is>
          <t>53:49</t>
        </is>
      </c>
      <c r="C989" t="inlineStr">
        <is>
          <t>pluck out all the dire rats extra hits</t>
        </is>
      </c>
      <c r="D989">
        <f>HYPERLINK("https://www.youtube.com/watch?v=Jg2i4vqSFxM&amp;t=3229s", "Go to time")</f>
        <v/>
      </c>
    </row>
    <row r="990">
      <c r="A990">
        <f>HYPERLINK("https://www.youtube.com/watch?v=Jg2i4vqSFxM", "Video")</f>
        <v/>
      </c>
      <c r="B990" t="inlineStr">
        <is>
          <t>72:03</t>
        </is>
      </c>
      <c r="C990" t="inlineStr">
        <is>
          <t>close by teleporting directly into the</t>
        </is>
      </c>
      <c r="D990">
        <f>HYPERLINK("https://www.youtube.com/watch?v=Jg2i4vqSFxM&amp;t=4323s", "Go to time")</f>
        <v/>
      </c>
    </row>
    <row r="991">
      <c r="A991">
        <f>HYPERLINK("https://www.youtube.com/watch?v=wToO8F0XVcU", "Video")</f>
        <v/>
      </c>
      <c r="B991" t="inlineStr">
        <is>
          <t>7:39</t>
        </is>
      </c>
      <c r="C991" t="inlineStr">
        <is>
          <t>Director:
And, action.</t>
        </is>
      </c>
      <c r="D991">
        <f>HYPERLINK("https://www.youtube.com/watch?v=wToO8F0XVcU&amp;t=459s", "Go to time")</f>
        <v/>
      </c>
    </row>
    <row r="992">
      <c r="A992">
        <f>HYPERLINK("https://www.youtube.com/watch?v=wToO8F0XVcU", "Video")</f>
        <v/>
      </c>
      <c r="B992" t="inlineStr">
        <is>
          <t>17:48</t>
        </is>
      </c>
      <c r="C992" t="inlineStr">
        <is>
          <t>Director:
And, action!</t>
        </is>
      </c>
      <c r="D992">
        <f>HYPERLINK("https://www.youtube.com/watch?v=wToO8F0XVcU&amp;t=1068s", "Go to time")</f>
        <v/>
      </c>
    </row>
    <row r="993">
      <c r="A993">
        <f>HYPERLINK("https://www.youtube.com/watch?v=wToO8F0XVcU", "Video")</f>
        <v/>
      </c>
      <c r="B993" t="inlineStr">
        <is>
          <t>23:40</t>
        </is>
      </c>
      <c r="C993" t="inlineStr">
        <is>
          <t>Director:
And, action!</t>
        </is>
      </c>
      <c r="D993">
        <f>HYPERLINK("https://www.youtube.com/watch?v=wToO8F0XVcU&amp;t=1420s", "Go to time")</f>
        <v/>
      </c>
    </row>
    <row r="994">
      <c r="A994">
        <f>HYPERLINK("https://www.youtube.com/watch?v=wToO8F0XVcU", "Video")</f>
        <v/>
      </c>
      <c r="B994" t="inlineStr">
        <is>
          <t>28:10</t>
        </is>
      </c>
      <c r="C994" t="inlineStr">
        <is>
          <t>Director:
And, action!</t>
        </is>
      </c>
      <c r="D994">
        <f>HYPERLINK("https://www.youtube.com/watch?v=wToO8F0XVcU&amp;t=1690s", "Go to time")</f>
        <v/>
      </c>
    </row>
    <row r="995">
      <c r="A995">
        <f>HYPERLINK("https://www.youtube.com/watch?v=LBDuIlqF6JU", "Video")</f>
        <v/>
      </c>
      <c r="B995" t="inlineStr">
        <is>
          <t>53:43</t>
        </is>
      </c>
      <c r="C995" t="inlineStr">
        <is>
          <t>out fza direct it what you don't like</t>
        </is>
      </c>
      <c r="D995">
        <f>HYPERLINK("https://www.youtube.com/watch?v=LBDuIlqF6JU&amp;t=3223s", "Go to time")</f>
        <v/>
      </c>
    </row>
    <row r="996">
      <c r="A996">
        <f>HYPERLINK("https://www.youtube.com/watch?v=DTPrVjC2m10", "Video")</f>
        <v/>
      </c>
      <c r="B996" t="inlineStr">
        <is>
          <t>2:49</t>
        </is>
      </c>
      <c r="C996" t="inlineStr">
        <is>
          <t>hey uh director Helen what do you want</t>
        </is>
      </c>
      <c r="D996">
        <f>HYPERLINK("https://www.youtube.com/watch?v=DTPrVjC2m10&amp;t=169s", "Go to time")</f>
        <v/>
      </c>
    </row>
    <row r="997">
      <c r="A997">
        <f>HYPERLINK("https://www.youtube.com/watch?v=Ahn9meldt5A", "Video")</f>
        <v/>
      </c>
      <c r="B997" t="inlineStr">
        <is>
          <t>0:40</t>
        </is>
      </c>
      <c r="C997" t="inlineStr">
        <is>
          <t>luella hawkhouser director of camp</t>
        </is>
      </c>
      <c r="D997">
        <f>HYPERLINK("https://www.youtube.com/watch?v=Ahn9meldt5A&amp;t=40s", "Go to time")</f>
        <v/>
      </c>
    </row>
    <row r="998">
      <c r="A998">
        <f>HYPERLINK("https://www.youtube.com/watch?v=aF2VWn5Yszk", "Video")</f>
        <v/>
      </c>
      <c r="B998" t="inlineStr">
        <is>
          <t>0:26</t>
        </is>
      </c>
      <c r="C998" t="inlineStr">
        <is>
          <t>gonna let the director decide we have no</t>
        </is>
      </c>
      <c r="D998">
        <f>HYPERLINK("https://www.youtube.com/watch?v=aF2VWn5Yszk&amp;t=26s", "Go to time")</f>
        <v/>
      </c>
    </row>
    <row r="999">
      <c r="A999">
        <f>HYPERLINK("https://www.youtube.com/watch?v=qQy8p9v_JKg", "Video")</f>
        <v/>
      </c>
      <c r="B999" t="inlineStr">
        <is>
          <t>1:13</t>
        </is>
      </c>
      <c r="C999" t="inlineStr">
        <is>
          <t>Direction very well but I assure you sir</t>
        </is>
      </c>
      <c r="D999">
        <f>HYPERLINK("https://www.youtube.com/watch?v=qQy8p9v_JKg&amp;t=73s", "Go to time")</f>
        <v/>
      </c>
    </row>
    <row r="1000">
      <c r="A1000">
        <f>HYPERLINK("https://www.youtube.com/watch?v=kjmq-dxerwM", "Video")</f>
        <v/>
      </c>
      <c r="B1000" t="inlineStr">
        <is>
          <t>1:33</t>
        </is>
      </c>
      <c r="C1000" t="inlineStr">
        <is>
          <t>Alex is one of the best directors I've</t>
        </is>
      </c>
      <c r="D1000">
        <f>HYPERLINK("https://www.youtube.com/watch?v=kjmq-dxerwM&amp;t=93s", "Go to time")</f>
        <v/>
      </c>
    </row>
    <row r="1001">
      <c r="A1001">
        <f>HYPERLINK("https://www.youtube.com/watch?v=kjmq-dxerwM", "Video")</f>
        <v/>
      </c>
      <c r="B1001" t="inlineStr">
        <is>
          <t>2:01</t>
        </is>
      </c>
      <c r="C1001" t="inlineStr">
        <is>
          <t>director when I'm older I feel very</t>
        </is>
      </c>
      <c r="D1001">
        <f>HYPERLINK("https://www.youtube.com/watch?v=kjmq-dxerwM&amp;t=121s", "Go to time")</f>
        <v/>
      </c>
    </row>
    <row r="1002">
      <c r="A1002">
        <f>HYPERLINK("https://www.youtube.com/watch?v=kjmq-dxerwM", "Video")</f>
        <v/>
      </c>
      <c r="B1002" t="inlineStr">
        <is>
          <t>2:05</t>
        </is>
      </c>
      <c r="C1002" t="inlineStr">
        <is>
          <t>directors like Alex Sam to inspire me in</t>
        </is>
      </c>
      <c r="D1002">
        <f>HYPERLINK("https://www.youtube.com/watch?v=kjmq-dxerwM&amp;t=125s", "Go to time")</f>
        <v/>
      </c>
    </row>
    <row r="1003">
      <c r="A1003">
        <f>HYPERLINK("https://www.youtube.com/watch?v=ie315YDacWg", "Video")</f>
        <v/>
      </c>
      <c r="B1003" t="inlineStr">
        <is>
          <t>4:56</t>
        </is>
      </c>
      <c r="C1003" t="inlineStr">
        <is>
          <t>And besides,
he ran in the opposite
direction, genius!</t>
        </is>
      </c>
      <c r="D1003">
        <f>HYPERLINK("https://www.youtube.com/watch?v=ie315YDacWg&amp;t=296s", "Go to time")</f>
        <v/>
      </c>
    </row>
    <row r="1004">
      <c r="A1004">
        <f>HYPERLINK("https://www.youtube.com/watch?v=VSiASQpZGnE", "Video")</f>
        <v/>
      </c>
      <c r="B1004" t="inlineStr">
        <is>
          <t>0:17</t>
        </is>
      </c>
      <c r="C1004" t="inlineStr">
        <is>
          <t>sure the director sees me do</t>
        </is>
      </c>
      <c r="D1004">
        <f>HYPERLINK("https://www.youtube.com/watch?v=VSiASQpZGnE&amp;t=17s", "Go to time")</f>
        <v/>
      </c>
    </row>
    <row r="1005">
      <c r="A1005">
        <f>HYPERLINK("https://www.youtube.com/watch?v=jerMwDA_PMY", "Video")</f>
        <v/>
      </c>
      <c r="B1005" t="inlineStr">
        <is>
          <t>9:51</t>
        </is>
      </c>
      <c r="C1005" t="inlineStr">
        <is>
          <t>well splash in the other direction I</t>
        </is>
      </c>
      <c r="D1005">
        <f>HYPERLINK("https://www.youtube.com/watch?v=jerMwDA_PMY&amp;t=591s", "Go to time")</f>
        <v/>
      </c>
    </row>
    <row r="1006">
      <c r="A1006">
        <f>HYPERLINK("https://www.youtube.com/watch?v=PGPTxiSNix8", "Video")</f>
        <v/>
      </c>
      <c r="B1006" t="inlineStr">
        <is>
          <t>3:02</t>
        </is>
      </c>
      <c r="C1006" t="inlineStr">
        <is>
          <t>direct</t>
        </is>
      </c>
      <c r="D1006">
        <f>HYPERLINK("https://www.youtube.com/watch?v=PGPTxiSNix8&amp;t=182s", "Go to time")</f>
        <v/>
      </c>
    </row>
    <row r="1007">
      <c r="A1007">
        <f>HYPERLINK("https://www.youtube.com/watch?v=CiDKl8a8llc", "Video")</f>
        <v/>
      </c>
      <c r="B1007" t="inlineStr">
        <is>
          <t>0:13</t>
        </is>
      </c>
      <c r="C1007" t="inlineStr">
        <is>
          <t>he's, like,
a director's actor.</t>
        </is>
      </c>
      <c r="D1007">
        <f>HYPERLINK("https://www.youtube.com/watch?v=CiDKl8a8llc&amp;t=13s", "Go to time")</f>
        <v/>
      </c>
    </row>
    <row r="1008">
      <c r="A1008">
        <f>HYPERLINK("https://www.youtube.com/watch?v=-szXy0xhebA", "Video")</f>
        <v/>
      </c>
      <c r="B1008" t="inlineStr">
        <is>
          <t>0:26</t>
        </is>
      </c>
      <c r="C1008" t="inlineStr">
        <is>
          <t>But one direct hit from
this blaster and we</t>
        </is>
      </c>
      <c r="D1008">
        <f>HYPERLINK("https://www.youtube.com/watch?v=-szXy0xhebA&amp;t=26s", "Go to time")</f>
        <v/>
      </c>
    </row>
    <row r="1009">
      <c r="A1009">
        <f>HYPERLINK("https://www.youtube.com/watch?v=-szXy0xhebA", "Video")</f>
        <v/>
      </c>
      <c r="B1009" t="inlineStr">
        <is>
          <t>1:20</t>
        </is>
      </c>
      <c r="C1009" t="inlineStr">
        <is>
          <t>So let's target Nox
from every direction</t>
        </is>
      </c>
      <c r="D1009">
        <f>HYPERLINK("https://www.youtube.com/watch?v=-szXy0xhebA&amp;t=80s", "Go to time")</f>
        <v/>
      </c>
    </row>
    <row r="1010">
      <c r="A1010">
        <f>HYPERLINK("https://www.youtube.com/watch?v=0eiYhV740tQ", "Video")</f>
        <v/>
      </c>
      <c r="B1010" t="inlineStr">
        <is>
          <t>28:07</t>
        </is>
      </c>
      <c r="C1010" t="inlineStr">
        <is>
          <t>out F direct what you don't like playing</t>
        </is>
      </c>
      <c r="D1010">
        <f>HYPERLINK("https://www.youtube.com/watch?v=0eiYhV740tQ&amp;t=1687s", "Go to time")</f>
        <v/>
      </c>
    </row>
    <row r="1011">
      <c r="A1011">
        <f>HYPERLINK("https://www.youtube.com/watch?v=Jf6IokqDsUI", "Video")</f>
        <v/>
      </c>
      <c r="B1011" t="inlineStr">
        <is>
          <t>20:55</t>
        </is>
      </c>
      <c r="C1011" t="inlineStr">
        <is>
          <t>you should be direct hmm you're right</t>
        </is>
      </c>
      <c r="D1011">
        <f>HYPERLINK("https://www.youtube.com/watch?v=Jf6IokqDsUI&amp;t=1255s", "Go to time")</f>
        <v/>
      </c>
    </row>
    <row r="1012">
      <c r="A1012">
        <f>HYPERLINK("https://www.youtube.com/watch?v=jhuY88_vVxc", "Video")</f>
        <v/>
      </c>
      <c r="B1012" t="inlineStr">
        <is>
          <t>1:56</t>
        </is>
      </c>
      <c r="C1012" t="inlineStr">
        <is>
          <t>need you to pull some Stingers direct</t>
        </is>
      </c>
      <c r="D1012">
        <f>HYPERLINK("https://www.youtube.com/watch?v=jhuY88_vVxc&amp;t=116s", "Go to time")</f>
        <v/>
      </c>
    </row>
    <row r="1013">
      <c r="A1013">
        <f>HYPERLINK("https://www.youtube.com/watch?v=ns002YyMhn8", "Video")</f>
        <v/>
      </c>
      <c r="B1013" t="inlineStr">
        <is>
          <t>0:25</t>
        </is>
      </c>
      <c r="C1013" t="inlineStr">
        <is>
          <t>direction how do you fix a wax figure</t>
        </is>
      </c>
      <c r="D1013">
        <f>HYPERLINK("https://www.youtube.com/watch?v=ns002YyMhn8&amp;t=25s", "Go to time")</f>
        <v/>
      </c>
    </row>
    <row r="1014">
      <c r="A1014">
        <f>HYPERLINK("https://www.youtube.com/watch?v=seF3Yj2467A", "Video")</f>
        <v/>
      </c>
      <c r="B1014" t="inlineStr">
        <is>
          <t>47:17</t>
        </is>
      </c>
      <c r="C1014" t="inlineStr">
        <is>
          <t>the two of you it draws power directly</t>
        </is>
      </c>
      <c r="D1014">
        <f>HYPERLINK("https://www.youtube.com/watch?v=seF3Yj2467A&amp;t=2837s", "Go to time")</f>
        <v/>
      </c>
    </row>
    <row r="1015">
      <c r="A1015">
        <f>HYPERLINK("https://www.youtube.com/watch?v=0kt5EHk6FL4", "Video")</f>
        <v/>
      </c>
      <c r="B1015" t="inlineStr">
        <is>
          <t>0:54</t>
        </is>
      </c>
      <c r="C1015" t="inlineStr">
        <is>
          <t>Director: And action.</t>
        </is>
      </c>
      <c r="D1015">
        <f>HYPERLINK("https://www.youtube.com/watch?v=0kt5EHk6FL4&amp;t=54s", "Go to time")</f>
        <v/>
      </c>
    </row>
    <row r="1016">
      <c r="A1016">
        <f>HYPERLINK("https://www.youtube.com/watch?v=bX2KHWpM8UQ", "Video")</f>
        <v/>
      </c>
      <c r="B1016" t="inlineStr">
        <is>
          <t>7:20</t>
        </is>
      </c>
      <c r="C1016" t="inlineStr">
        <is>
          <t>it's just holly it's director speaker</t>
        </is>
      </c>
      <c r="D1016">
        <f>HYPERLINK("https://www.youtube.com/watch?v=bX2KHWpM8UQ&amp;t=440s", "Go to time")</f>
        <v/>
      </c>
    </row>
    <row r="1017">
      <c r="A1017">
        <f>HYPERLINK("https://www.youtube.com/watch?v=bX2KHWpM8UQ", "Video")</f>
        <v/>
      </c>
      <c r="B1017" t="inlineStr">
        <is>
          <t>8:17</t>
        </is>
      </c>
      <c r="C1017" t="inlineStr">
        <is>
          <t>technically only the director is</t>
        </is>
      </c>
      <c r="D1017">
        <f>HYPERLINK("https://www.youtube.com/watch?v=bX2KHWpM8UQ&amp;t=497s", "Go to time")</f>
        <v/>
      </c>
    </row>
    <row r="1018">
      <c r="A1018">
        <f>HYPERLINK("https://www.youtube.com/watch?v=5hAD7LSW4RA", "Video")</f>
        <v/>
      </c>
      <c r="B1018" t="inlineStr">
        <is>
          <t>18:39</t>
        </is>
      </c>
      <c r="C1018" t="inlineStr">
        <is>
          <t>No dice, director man.</t>
        </is>
      </c>
      <c r="D1018">
        <f>HYPERLINK("https://www.youtube.com/watch?v=5hAD7LSW4RA&amp;t=1119s", "Go to time")</f>
        <v/>
      </c>
    </row>
    <row r="1019">
      <c r="A1019">
        <f>HYPERLINK("https://www.youtube.com/watch?v=EJXeIQgJzeI", "Video")</f>
        <v/>
      </c>
      <c r="B1019" t="inlineStr">
        <is>
          <t>0:21</t>
        </is>
      </c>
      <c r="C1019" t="inlineStr">
        <is>
          <t>parking area directing everyone to</t>
        </is>
      </c>
      <c r="D1019">
        <f>HYPERLINK("https://www.youtube.com/watch?v=EJXeIQgJzeI&amp;t=21s", "Go to time")</f>
        <v/>
      </c>
    </row>
    <row r="1020">
      <c r="A1020">
        <f>HYPERLINK("https://www.youtube.com/watch?v=2zeDALyiZ5I", "Video")</f>
        <v/>
      </c>
      <c r="B1020" t="inlineStr">
        <is>
          <t>0:29</t>
        </is>
      </c>
      <c r="C1020" t="inlineStr">
        <is>
          <t>i gave you direct instruction and you</t>
        </is>
      </c>
      <c r="D1020">
        <f>HYPERLINK("https://www.youtube.com/watch?v=2zeDALyiZ5I&amp;t=29s", "Go to time")</f>
        <v/>
      </c>
    </row>
    <row r="1021">
      <c r="A1021">
        <f>HYPERLINK("https://www.youtube.com/watch?v=jx0cPKwzuwg", "Video")</f>
        <v/>
      </c>
      <c r="B1021" t="inlineStr">
        <is>
          <t>1:04</t>
        </is>
      </c>
      <c r="C1021" t="inlineStr">
        <is>
          <t>chore wheels this is as dire as it gets</t>
        </is>
      </c>
      <c r="D1021">
        <f>HYPERLINK("https://www.youtube.com/watch?v=jx0cPKwzuwg&amp;t=64s", "Go to time")</f>
        <v/>
      </c>
    </row>
    <row r="1022">
      <c r="A1022">
        <f>HYPERLINK("https://www.youtube.com/watch?v=Oa6sHzrtIZM", "Video")</f>
        <v/>
      </c>
      <c r="B1022" t="inlineStr">
        <is>
          <t>4:06</t>
        </is>
      </c>
      <c r="C1022" t="inlineStr">
        <is>
          <t>in a fun new direction.</t>
        </is>
      </c>
      <c r="D1022">
        <f>HYPERLINK("https://www.youtube.com/watch?v=Oa6sHzrtIZM&amp;t=246s", "Go to time")</f>
        <v/>
      </c>
    </row>
    <row r="1023">
      <c r="A1023">
        <f>HYPERLINK("https://www.youtube.com/watch?v=PtT4QHHt5N8", "Video")</f>
        <v/>
      </c>
      <c r="B1023" t="inlineStr">
        <is>
          <t>1:28</t>
        </is>
      </c>
      <c r="C1023" t="inlineStr">
        <is>
          <t>may be dire</t>
        </is>
      </c>
      <c r="D1023">
        <f>HYPERLINK("https://www.youtube.com/watch?v=PtT4QHHt5N8&amp;t=88s", "Go to time")</f>
        <v/>
      </c>
    </row>
    <row r="1024">
      <c r="A1024">
        <f>HYPERLINK("https://www.youtube.com/watch?v=Acuu8554SA8", "Video")</f>
        <v/>
      </c>
      <c r="B1024" t="inlineStr">
        <is>
          <t>2:55</t>
        </is>
      </c>
      <c r="C1024" t="inlineStr">
        <is>
          <t>and directly to the north of here lies a</t>
        </is>
      </c>
      <c r="D1024">
        <f>HYPERLINK("https://www.youtube.com/watch?v=Acuu8554SA8&amp;t=175s", "Go to time")</f>
        <v/>
      </c>
    </row>
    <row r="1025">
      <c r="A1025">
        <f>HYPERLINK("https://www.youtube.com/watch?v=Acuu8554SA8", "Video")</f>
        <v/>
      </c>
      <c r="B1025" t="inlineStr">
        <is>
          <t>8:11</t>
        </is>
      </c>
      <c r="C1025" t="inlineStr">
        <is>
          <t>directive</t>
        </is>
      </c>
      <c r="D1025">
        <f>HYPERLINK("https://www.youtube.com/watch?v=Acuu8554SA8&amp;t=491s", "Go to time")</f>
        <v/>
      </c>
    </row>
    <row r="1026">
      <c r="A1026">
        <f>HYPERLINK("https://www.youtube.com/watch?v=u7tayJpmYok", "Video")</f>
        <v/>
      </c>
      <c r="B1026" t="inlineStr">
        <is>
          <t>0:56</t>
        </is>
      </c>
      <c r="C1026" t="inlineStr">
        <is>
          <t>in a positive direction</t>
        </is>
      </c>
      <c r="D1026">
        <f>HYPERLINK("https://www.youtube.com/watch?v=u7tayJpmYok&amp;t=56s", "Go to time")</f>
        <v/>
      </c>
    </row>
    <row r="1027">
      <c r="A1027">
        <f>HYPERLINK("https://www.youtube.com/watch?v=iOMu86yxneA", "Video")</f>
        <v/>
      </c>
      <c r="B1027" t="inlineStr">
        <is>
          <t>7:17</t>
        </is>
      </c>
      <c r="C1027" t="inlineStr">
        <is>
          <t>First, you have to pluck out
all the dire rat's extra heads.</t>
        </is>
      </c>
      <c r="D1027">
        <f>HYPERLINK("https://www.youtube.com/watch?v=iOMu86yxneA&amp;t=437s", "Go to time")</f>
        <v/>
      </c>
    </row>
    <row r="1028">
      <c r="A1028">
        <f>HYPERLINK("https://www.youtube.com/watch?v=iOMu86yxneA", "Video")</f>
        <v/>
      </c>
      <c r="B1028" t="inlineStr">
        <is>
          <t>25:33</t>
        </is>
      </c>
      <c r="C1028" t="inlineStr">
        <is>
          <t>by teleporting directly
into the Titan's skull.</t>
        </is>
      </c>
      <c r="D1028">
        <f>HYPERLINK("https://www.youtube.com/watch?v=iOMu86yxneA&amp;t=1533s", "Go to time")</f>
        <v/>
      </c>
    </row>
    <row r="1029">
      <c r="A1029">
        <f>HYPERLINK("https://www.youtube.com/watch?v=v1rwbqdAoVo", "Video")</f>
        <v/>
      </c>
      <c r="B1029" t="inlineStr">
        <is>
          <t>0:29</t>
        </is>
      </c>
      <c r="C1029" t="inlineStr">
        <is>
          <t>gu and feel the power Direct in</t>
        </is>
      </c>
      <c r="D1029">
        <f>HYPERLINK("https://www.youtube.com/watch?v=v1rwbqdAoVo&amp;t=29s", "Go to time")</f>
        <v/>
      </c>
    </row>
    <row r="1030">
      <c r="A1030">
        <f>HYPERLINK("https://www.youtube.com/watch?v=avJ2SBfsUq4", "Video")</f>
        <v/>
      </c>
      <c r="B1030" t="inlineStr">
        <is>
          <t>13:43</t>
        </is>
      </c>
      <c r="C1030" t="inlineStr">
        <is>
          <t>YOU'RE JUST GOING TO SMILE
AND DIRECT CONVERSATION</t>
        </is>
      </c>
      <c r="D1030">
        <f>HYPERLINK("https://www.youtube.com/watch?v=avJ2SBfsUq4&amp;t=823s", "Go to time")</f>
        <v/>
      </c>
    </row>
    <row r="1031">
      <c r="A1031">
        <f>HYPERLINK("https://www.youtube.com/watch?v=X3NJiaZSOII", "Video")</f>
        <v/>
      </c>
      <c r="B1031" t="inlineStr">
        <is>
          <t>16:59</t>
        </is>
      </c>
      <c r="C1031" t="inlineStr">
        <is>
          <t>gives you direct access to all the</t>
        </is>
      </c>
      <c r="D1031">
        <f>HYPERLINK("https://www.youtube.com/watch?v=X3NJiaZSOII&amp;t=1019s", "Go to time")</f>
        <v/>
      </c>
    </row>
    <row r="1032">
      <c r="A1032">
        <f>HYPERLINK("https://www.youtube.com/watch?v=Pz3DIgDcFjU", "Video")</f>
        <v/>
      </c>
      <c r="B1032" t="inlineStr">
        <is>
          <t>17:33</t>
        </is>
      </c>
      <c r="C1032" t="inlineStr">
        <is>
          <t>and the director told me
to kiss the robot mask.</t>
        </is>
      </c>
      <c r="D1032">
        <f>HYPERLINK("https://www.youtube.com/watch?v=Pz3DIgDcFjU&amp;t=1053s", "Go to time")</f>
        <v/>
      </c>
    </row>
    <row r="1033">
      <c r="A1033">
        <f>HYPERLINK("https://www.youtube.com/watch?v=gJjUtlUPxLQ", "Video")</f>
        <v/>
      </c>
      <c r="B1033" t="inlineStr">
        <is>
          <t>19:56</t>
        </is>
      </c>
      <c r="C1033" t="inlineStr">
        <is>
          <t>MAYBE IT'S
A DIRECTOR'S CUT.</t>
        </is>
      </c>
      <c r="D1033">
        <f>HYPERLINK("https://www.youtube.com/watch?v=gJjUtlUPxLQ&amp;t=1196s", "Go to time")</f>
        <v/>
      </c>
    </row>
    <row r="1034">
      <c r="A1034">
        <f>HYPERLINK("https://www.youtube.com/watch?v=bfdzwzs2pyo", "Video")</f>
        <v/>
      </c>
      <c r="B1034" t="inlineStr">
        <is>
          <t>13:17</t>
        </is>
      </c>
      <c r="C1034" t="inlineStr">
        <is>
          <t>hide candy eggs. Written, directed, and</t>
        </is>
      </c>
      <c r="D1034">
        <f>HYPERLINK("https://www.youtube.com/watch?v=bfdzwzs2pyo&amp;t=797s", "Go to time")</f>
        <v/>
      </c>
    </row>
    <row r="1035">
      <c r="A1035">
        <f>HYPERLINK("https://www.youtube.com/watch?v=-HvwUZskxnI", "Video")</f>
        <v/>
      </c>
      <c r="B1035" t="inlineStr">
        <is>
          <t>0:42</t>
        </is>
      </c>
      <c r="C1035" t="inlineStr">
        <is>
          <t>mommy that's a direct quote from the do</t>
        </is>
      </c>
      <c r="D1035">
        <f>HYPERLINK("https://www.youtube.com/watch?v=-HvwUZskxnI&amp;t=42s", "Go to time")</f>
        <v/>
      </c>
    </row>
    <row r="1036">
      <c r="A1036">
        <f>HYPERLINK("https://www.youtube.com/watch?v=c58C1-sd7rk", "Video")</f>
        <v/>
      </c>
      <c r="B1036" t="inlineStr">
        <is>
          <t>3:05</t>
        </is>
      </c>
      <c r="C1036" t="inlineStr">
        <is>
          <t>that is camp director hawkhouser to you</t>
        </is>
      </c>
      <c r="D1036">
        <f>HYPERLINK("https://www.youtube.com/watch?v=c58C1-sd7rk&amp;t=185s", "Go to time")</f>
        <v/>
      </c>
    </row>
    <row r="1037">
      <c r="A1037">
        <f>HYPERLINK("https://www.youtube.com/watch?v=pCb_5Dvjazs", "Video")</f>
        <v/>
      </c>
      <c r="B1037" t="inlineStr">
        <is>
          <t>2:42</t>
        </is>
      </c>
      <c r="C1037" t="inlineStr">
        <is>
          <t>directors and I started my own Spanish</t>
        </is>
      </c>
      <c r="D1037">
        <f>HYPERLINK("https://www.youtube.com/watch?v=pCb_5Dvjazs&amp;t=162s", "Go to time")</f>
        <v/>
      </c>
    </row>
    <row r="1038">
      <c r="A1038">
        <f>HYPERLINK("https://www.youtube.com/watch?v=DrQzpJSRHww", "Video")</f>
        <v/>
      </c>
      <c r="B1038" t="inlineStr">
        <is>
          <t>1:55</t>
        </is>
      </c>
      <c r="C1038" t="inlineStr">
        <is>
          <t>put it directly on my brain we're going</t>
        </is>
      </c>
      <c r="D1038">
        <f>HYPERLINK("https://www.youtube.com/watch?v=DrQzpJSRHww&amp;t=115s", "Go to time")</f>
        <v/>
      </c>
    </row>
    <row r="1039">
      <c r="A1039">
        <f>HYPERLINK("https://www.youtube.com/watch?v=gX-xOHQD1SA", "Video")</f>
        <v/>
      </c>
      <c r="B1039" t="inlineStr">
        <is>
          <t>17:52</t>
        </is>
      </c>
      <c r="C1039" t="inlineStr">
        <is>
          <t>that's it smell is directly connected to</t>
        </is>
      </c>
      <c r="D1039">
        <f>HYPERLINK("https://www.youtube.com/watch?v=gX-xOHQD1SA&amp;t=1072s", "Go to time")</f>
        <v/>
      </c>
    </row>
    <row r="1040">
      <c r="A1040">
        <f>HYPERLINK("https://www.youtube.com/watch?v=4zOPWW0AvW0", "Video")</f>
        <v/>
      </c>
      <c r="B1040" t="inlineStr">
        <is>
          <t>0:47</t>
        </is>
      </c>
      <c r="C1040" t="inlineStr">
        <is>
          <t>Your yo-yo gives you direct
access to all the Miraculous?</t>
        </is>
      </c>
      <c r="D1040">
        <f>HYPERLINK("https://www.youtube.com/watch?v=4zOPWW0AvW0&amp;t=47s", "Go to time")</f>
        <v/>
      </c>
    </row>
    <row r="1041">
      <c r="A1041">
        <f>HYPERLINK("https://www.youtube.com/watch?v=Ce4NWw3FUPw", "Video")</f>
        <v/>
      </c>
      <c r="B1041" t="inlineStr">
        <is>
          <t>0:37</t>
        </is>
      </c>
      <c r="C1041" t="inlineStr">
        <is>
          <t>direct the main title sequence i said</t>
        </is>
      </c>
      <c r="D1041">
        <f>HYPERLINK("https://www.youtube.com/watch?v=Ce4NWw3FUPw&amp;t=37s", "Go to time")</f>
        <v/>
      </c>
    </row>
    <row r="1042">
      <c r="A1042">
        <f>HYPERLINK("https://www.youtube.com/watch?v=Ce4NWw3FUPw", "Video")</f>
        <v/>
      </c>
      <c r="B1042" t="inlineStr">
        <is>
          <t>0:48</t>
        </is>
      </c>
      <c r="C1042" t="inlineStr">
        <is>
          <t>doing he's never directed anything he</t>
        </is>
      </c>
      <c r="D1042">
        <f>HYPERLINK("https://www.youtube.com/watch?v=Ce4NWw3FUPw&amp;t=48s", "Go to time")</f>
        <v/>
      </c>
    </row>
    <row r="1043">
      <c r="A1043">
        <f>HYPERLINK("https://www.youtube.com/watch?v=Ce4NWw3FUPw", "Video")</f>
        <v/>
      </c>
      <c r="B1043" t="inlineStr">
        <is>
          <t>0:53</t>
        </is>
      </c>
      <c r="C1043" t="inlineStr">
        <is>
          <t>jason isn't like most directors</t>
        </is>
      </c>
      <c r="D1043">
        <f>HYPERLINK("https://www.youtube.com/watch?v=Ce4NWw3FUPw&amp;t=53s", "Go to time")</f>
        <v/>
      </c>
    </row>
    <row r="1044">
      <c r="A1044">
        <f>HYPERLINK("https://www.youtube.com/watch?v=Ce4NWw3FUPw", "Video")</f>
        <v/>
      </c>
      <c r="B1044" t="inlineStr">
        <is>
          <t>0:56</t>
        </is>
      </c>
      <c r="C1044" t="inlineStr">
        <is>
          <t>because he's not a director the only</t>
        </is>
      </c>
      <c r="D1044">
        <f>HYPERLINK("https://www.youtube.com/watch?v=Ce4NWw3FUPw&amp;t=56s", "Go to time")</f>
        <v/>
      </c>
    </row>
    <row r="1045">
      <c r="A1045">
        <f>HYPERLINK("https://www.youtube.com/watch?v=Ce4NWw3FUPw", "Video")</f>
        <v/>
      </c>
      <c r="B1045" t="inlineStr">
        <is>
          <t>1:08</t>
        </is>
      </c>
      <c r="C1045" t="inlineStr">
        <is>
          <t>directing what does that kumquat think</t>
        </is>
      </c>
      <c r="D1045">
        <f>HYPERLINK("https://www.youtube.com/watch?v=Ce4NWw3FUPw&amp;t=68s", "Go to time")</f>
        <v/>
      </c>
    </row>
    <row r="1046">
      <c r="A1046">
        <f>HYPERLINK("https://www.youtube.com/watch?v=Ce4NWw3FUPw", "Video")</f>
        <v/>
      </c>
      <c r="B1046" t="inlineStr">
        <is>
          <t>1:14</t>
        </is>
      </c>
      <c r="C1046" t="inlineStr">
        <is>
          <t>a director</t>
        </is>
      </c>
      <c r="D1046">
        <f>HYPERLINK("https://www.youtube.com/watch?v=Ce4NWw3FUPw&amp;t=74s", "Go to time")</f>
        <v/>
      </c>
    </row>
    <row r="1047">
      <c r="A1047">
        <f>HYPERLINK("https://www.youtube.com/watch?v=Ce4NWw3FUPw", "Video")</f>
        <v/>
      </c>
      <c r="B1047" t="inlineStr">
        <is>
          <t>1:20</t>
        </is>
      </c>
      <c r="C1047" t="inlineStr">
        <is>
          <t>him i mean if he says he's directing</t>
        </is>
      </c>
      <c r="D1047">
        <f>HYPERLINK("https://www.youtube.com/watch?v=Ce4NWw3FUPw&amp;t=80s", "Go to time")</f>
        <v/>
      </c>
    </row>
    <row r="1048">
      <c r="A1048">
        <f>HYPERLINK("https://www.youtube.com/watch?v=Ce4NWw3FUPw", "Video")</f>
        <v/>
      </c>
      <c r="B1048" t="inlineStr">
        <is>
          <t>1:27</t>
        </is>
      </c>
      <c r="C1048" t="inlineStr">
        <is>
          <t>he's not really directing right he's</t>
        </is>
      </c>
      <c r="D1048">
        <f>HYPERLINK("https://www.youtube.com/watch?v=Ce4NWw3FUPw&amp;t=87s", "Go to time")</f>
        <v/>
      </c>
    </row>
    <row r="1049">
      <c r="A1049">
        <f>HYPERLINK("https://www.youtube.com/watch?v=Ce4NWw3FUPw", "Video")</f>
        <v/>
      </c>
      <c r="B1049" t="inlineStr">
        <is>
          <t>1:39</t>
        </is>
      </c>
      <c r="C1049" t="inlineStr">
        <is>
          <t>directing this anna came up with the</t>
        </is>
      </c>
      <c r="D1049">
        <f>HYPERLINK("https://www.youtube.com/watch?v=Ce4NWw3FUPw&amp;t=99s", "Go to time")</f>
        <v/>
      </c>
    </row>
    <row r="1050">
      <c r="A1050">
        <f>HYPERLINK("https://www.youtube.com/watch?v=Ce4NWw3FUPw", "Video")</f>
        <v/>
      </c>
      <c r="B1050" t="inlineStr">
        <is>
          <t>1:55</t>
        </is>
      </c>
      <c r="C1050" t="inlineStr">
        <is>
          <t>they made me stop directing so i could</t>
        </is>
      </c>
      <c r="D1050">
        <f>HYPERLINK("https://www.youtube.com/watch?v=Ce4NWw3FUPw&amp;t=115s", "Go to time")</f>
        <v/>
      </c>
    </row>
    <row r="1051">
      <c r="A1051">
        <f>HYPERLINK("https://www.youtube.com/watch?v=Ce4NWw3FUPw", "Video")</f>
        <v/>
      </c>
      <c r="B1051" t="inlineStr">
        <is>
          <t>2:38</t>
        </is>
      </c>
      <c r="C1051" t="inlineStr">
        <is>
          <t>a happy director and that's a club on</t>
        </is>
      </c>
      <c r="D1051">
        <f>HYPERLINK("https://www.youtube.com/watch?v=Ce4NWw3FUPw&amp;t=158s", "Go to time")</f>
        <v/>
      </c>
    </row>
    <row r="1052">
      <c r="A1052">
        <f>HYPERLINK("https://www.youtube.com/watch?v=dVWyPZPRhfY", "Video")</f>
        <v/>
      </c>
      <c r="B1052" t="inlineStr">
        <is>
          <t>0:13</t>
        </is>
      </c>
      <c r="C1052" t="inlineStr">
        <is>
          <t>bringing my very own talk show directly</t>
        </is>
      </c>
      <c r="D1052">
        <f>HYPERLINK("https://www.youtube.com/watch?v=dVWyPZPRhfY&amp;t=13s", "Go to time")</f>
        <v/>
      </c>
    </row>
    <row r="1053">
      <c r="A1053">
        <f>HYPERLINK("https://www.youtube.com/watch?v=XV5OvqbXd58", "Video")</f>
        <v/>
      </c>
      <c r="B1053" t="inlineStr">
        <is>
          <t>0:36</t>
        </is>
      </c>
      <c r="C1053" t="inlineStr">
        <is>
          <t>hey I am the director nobody comes onto</t>
        </is>
      </c>
      <c r="D1053">
        <f>HYPERLINK("https://www.youtube.com/watch?v=XV5OvqbXd58&amp;t=36s", "Go to time")</f>
        <v/>
      </c>
    </row>
    <row r="1054">
      <c r="A1054">
        <f>HYPERLINK("https://www.youtube.com/watch?v=nPvX0KarghA", "Video")</f>
        <v/>
      </c>
      <c r="B1054" t="inlineStr">
        <is>
          <t>4:16</t>
        </is>
      </c>
      <c r="C1054" t="inlineStr">
        <is>
          <t>that doesn't have a photo
in the church directory.</t>
        </is>
      </c>
      <c r="D1054">
        <f>HYPERLINK("https://www.youtube.com/watch?v=nPvX0KarghA&amp;t=256s", "Go to time")</f>
        <v/>
      </c>
    </row>
    <row r="1055">
      <c r="A1055">
        <f>HYPERLINK("https://www.youtube.com/watch?v=nPvX0KarghA", "Video")</f>
        <v/>
      </c>
      <c r="B1055" t="inlineStr">
        <is>
          <t>8:28</t>
        </is>
      </c>
      <c r="C1055" t="inlineStr">
        <is>
          <t>You do understand this is for
the church directory,</t>
        </is>
      </c>
      <c r="D1055">
        <f>HYPERLINK("https://www.youtube.com/watch?v=nPvX0KarghA&amp;t=508s", "Go to time")</f>
        <v/>
      </c>
    </row>
    <row r="1056">
      <c r="A1056">
        <f>HYPERLINK("https://www.youtube.com/watch?v=li28Najr7Qg", "Video")</f>
        <v/>
      </c>
      <c r="B1056" t="inlineStr">
        <is>
          <t>4:11</t>
        </is>
      </c>
      <c r="C1056" t="inlineStr">
        <is>
          <t>If we could have
some direction?</t>
        </is>
      </c>
      <c r="D1056">
        <f>HYPERLINK("https://www.youtube.com/watch?v=li28Najr7Qg&amp;t=251s", "Go to time")</f>
        <v/>
      </c>
    </row>
    <row r="1057">
      <c r="A1057">
        <f>HYPERLINK("https://www.youtube.com/watch?v=5PGTxudghlk", "Video")</f>
        <v/>
      </c>
      <c r="B1057" t="inlineStr">
        <is>
          <t>3:29</t>
        </is>
      </c>
      <c r="C1057" t="inlineStr">
        <is>
          <t>director</t>
        </is>
      </c>
      <c r="D1057">
        <f>HYPERLINK("https://www.youtube.com/watch?v=5PGTxudghlk&amp;t=209s", "Go to time")</f>
        <v/>
      </c>
    </row>
    <row r="1058">
      <c r="A1058">
        <f>HYPERLINK("https://www.youtube.com/watch?v=5PGTxudghlk", "Video")</f>
        <v/>
      </c>
      <c r="B1058" t="inlineStr">
        <is>
          <t>3:31</t>
        </is>
      </c>
      <c r="C1058" t="inlineStr">
        <is>
          <t>assistant camp director</t>
        </is>
      </c>
      <c r="D1058">
        <f>HYPERLINK("https://www.youtube.com/watch?v=5PGTxudghlk&amp;t=211s", "Go to time")</f>
        <v/>
      </c>
    </row>
    <row r="1059">
      <c r="A1059">
        <f>HYPERLINK("https://www.youtube.com/watch?v=fHDqCQQsMX8", "Video")</f>
        <v/>
      </c>
      <c r="B1059" t="inlineStr">
        <is>
          <t>4:44</t>
        </is>
      </c>
      <c r="C1059" t="inlineStr">
        <is>
          <t>The famous movie director
and supermodel turned
business mogul?</t>
        </is>
      </c>
      <c r="D1059">
        <f>HYPERLINK("https://www.youtube.com/watch?v=fHDqCQQsMX8&amp;t=284s", "Go to time")</f>
        <v/>
      </c>
    </row>
    <row r="1060">
      <c r="A1060">
        <f>HYPERLINK("https://www.youtube.com/watch?v=-UwHJCHrs3g", "Video")</f>
        <v/>
      </c>
      <c r="B1060" t="inlineStr">
        <is>
          <t>3:41</t>
        </is>
      </c>
      <c r="C1060" t="inlineStr">
        <is>
          <t>gives you direct access to all the</t>
        </is>
      </c>
      <c r="D1060">
        <f>HYPERLINK("https://www.youtube.com/watch?v=-UwHJCHrs3g&amp;t=221s", "Go to time")</f>
        <v/>
      </c>
    </row>
    <row r="1061">
      <c r="A1061">
        <f>HYPERLINK("https://www.youtube.com/watch?v=f_eQcbozL3w", "Video")</f>
        <v/>
      </c>
      <c r="B1061" t="inlineStr">
        <is>
          <t>3:39</t>
        </is>
      </c>
      <c r="C1061" t="inlineStr">
        <is>
          <t>director really don't love how you</t>
        </is>
      </c>
      <c r="D1061">
        <f>HYPERLINK("https://www.youtube.com/watch?v=f_eQcbozL3w&amp;t=219s", "Go to time")</f>
        <v/>
      </c>
    </row>
    <row r="1062">
      <c r="A1062">
        <f>HYPERLINK("https://www.youtube.com/watch?v=B6cYjDoJU0g", "Video")</f>
        <v/>
      </c>
      <c r="B1062" t="inlineStr">
        <is>
          <t>37:33</t>
        </is>
      </c>
      <c r="C1062" t="inlineStr">
        <is>
          <t>hey uh director Helen what do you want</t>
        </is>
      </c>
      <c r="D1062">
        <f>HYPERLINK("https://www.youtube.com/watch?v=B6cYjDoJU0g&amp;t=2253s", "Go to time")</f>
        <v/>
      </c>
    </row>
    <row r="1063">
      <c r="A1063">
        <f>HYPERLINK("https://www.youtube.com/watch?v=BSnYPtZulyQ", "Video")</f>
        <v/>
      </c>
      <c r="B1063" t="inlineStr">
        <is>
          <t>30:07</t>
        </is>
      </c>
      <c r="C1063" t="inlineStr">
        <is>
          <t>music video I am the director although I</t>
        </is>
      </c>
      <c r="D1063">
        <f>HYPERLINK("https://www.youtube.com/watch?v=BSnYPtZulyQ&amp;t=1807s", "Go to time")</f>
        <v/>
      </c>
    </row>
    <row r="1064">
      <c r="A1064">
        <f>HYPERLINK("https://www.youtube.com/watch?v=BSnYPtZulyQ", "Video")</f>
        <v/>
      </c>
      <c r="B1064" t="inlineStr">
        <is>
          <t>119:45</t>
        </is>
      </c>
      <c r="C1064" t="inlineStr">
        <is>
          <t>really did was play social director for</t>
        </is>
      </c>
      <c r="D1064">
        <f>HYPERLINK("https://www.youtube.com/watch?v=BSnYPtZulyQ&amp;t=7185s", "Go to time")</f>
        <v/>
      </c>
    </row>
    <row r="1065">
      <c r="A1065">
        <f>HYPERLINK("https://www.youtube.com/watch?v=L9cmLVTx6PY", "Video")</f>
        <v/>
      </c>
      <c r="B1065" t="inlineStr">
        <is>
          <t>11:55</t>
        </is>
      </c>
      <c r="C1065" t="inlineStr">
        <is>
          <t>serious cat a little too direct silky</t>
        </is>
      </c>
      <c r="D1065">
        <f>HYPERLINK("https://www.youtube.com/watch?v=L9cmLVTx6PY&amp;t=715s", "Go to time")</f>
        <v/>
      </c>
    </row>
    <row r="1066">
      <c r="A1066">
        <f>HYPERLINK("https://www.youtube.com/watch?v=L9cmLVTx6PY", "Video")</f>
        <v/>
      </c>
      <c r="B1066" t="inlineStr">
        <is>
          <t>15:38</t>
        </is>
      </c>
      <c r="C1066" t="inlineStr">
        <is>
          <t>gives you direct access to all the</t>
        </is>
      </c>
      <c r="D1066">
        <f>HYPERLINK("https://www.youtube.com/watch?v=L9cmLVTx6PY&amp;t=938s", "Go to time")</f>
        <v/>
      </c>
    </row>
    <row r="1067">
      <c r="A1067">
        <f>HYPERLINK("https://www.youtube.com/watch?v=tgppHkBxvTk", "Video")</f>
        <v/>
      </c>
      <c r="B1067" t="inlineStr">
        <is>
          <t>0:26</t>
        </is>
      </c>
      <c r="C1067" t="inlineStr">
        <is>
          <t>directly to the fryer</t>
        </is>
      </c>
      <c r="D1067">
        <f>HYPERLINK("https://www.youtube.com/watch?v=tgppHkBxvTk&amp;t=26s", "Go to time")</f>
        <v/>
      </c>
    </row>
    <row r="1068">
      <c r="A1068">
        <f>HYPERLINK("https://www.youtube.com/watch?v=tadi_P4WIeE", "Video")</f>
        <v/>
      </c>
      <c r="B1068" t="inlineStr">
        <is>
          <t>18:19</t>
        </is>
      </c>
      <c r="C1068" t="inlineStr">
        <is>
          <t>♪ I gotta find my direction,
put my goals in perspective ♪</t>
        </is>
      </c>
      <c r="D1068">
        <f>HYPERLINK("https://www.youtube.com/watch?v=tadi_P4WIeE&amp;t=1099s", "Go to time")</f>
        <v/>
      </c>
    </row>
    <row r="1069">
      <c r="A1069">
        <f>HYPERLINK("https://www.youtube.com/watch?v=z5Lxi49qPrQ", "Video")</f>
        <v/>
      </c>
      <c r="B1069" t="inlineStr">
        <is>
          <t>4:02</t>
        </is>
      </c>
      <c r="C1069" t="inlineStr">
        <is>
          <t>angry warlord to my left,
ferocious dire wolves
to my right,</t>
        </is>
      </c>
      <c r="D1069">
        <f>HYPERLINK("https://www.youtube.com/watch?v=z5Lxi49qPrQ&amp;t=242s", "Go to time")</f>
        <v/>
      </c>
    </row>
    <row r="1070">
      <c r="A1070">
        <f>HYPERLINK("https://www.youtube.com/watch?v=2tkGrDcvFew", "Video")</f>
        <v/>
      </c>
      <c r="B1070" t="inlineStr">
        <is>
          <t>0:19</t>
        </is>
      </c>
      <c r="C1070" t="inlineStr">
        <is>
          <t>- And look at us now.
- You should be direct.</t>
        </is>
      </c>
      <c r="D1070">
        <f>HYPERLINK("https://www.youtube.com/watch?v=2tkGrDcvFew&amp;t=19s", "Go to time")</f>
        <v/>
      </c>
    </row>
    <row r="1071">
      <c r="A1071">
        <f>HYPERLINK("https://www.youtube.com/watch?v=YoU97NsQg3I", "Video")</f>
        <v/>
      </c>
      <c r="B1071" t="inlineStr">
        <is>
          <t>2:17</t>
        </is>
      </c>
      <c r="C1071" t="inlineStr">
        <is>
          <t>that you're interested in directing oh</t>
        </is>
      </c>
      <c r="D1071">
        <f>HYPERLINK("https://www.youtube.com/watch?v=YoU97NsQg3I&amp;t=137s", "Go to time")</f>
        <v/>
      </c>
    </row>
    <row r="1072">
      <c r="A1072">
        <f>HYPERLINK("https://www.youtube.com/watch?v=YoU97NsQg3I", "Video")</f>
        <v/>
      </c>
      <c r="B1072" t="inlineStr">
        <is>
          <t>2:19</t>
        </is>
      </c>
      <c r="C1072" t="inlineStr">
        <is>
          <t>maybe you'll be directing him someday</t>
        </is>
      </c>
      <c r="D1072">
        <f>HYPERLINK("https://www.youtube.com/watch?v=YoU97NsQg3I&amp;t=139s", "Go to time")</f>
        <v/>
      </c>
    </row>
    <row r="1073">
      <c r="A1073">
        <f>HYPERLINK("https://www.youtube.com/watch?v=FGN9YdaDodY", "Video")</f>
        <v/>
      </c>
      <c r="B1073" t="inlineStr">
        <is>
          <t>32:13</t>
        </is>
      </c>
      <c r="C1073" t="inlineStr">
        <is>
          <t>I need you to pull some Stingers direct</t>
        </is>
      </c>
      <c r="D1073">
        <f>HYPERLINK("https://www.youtube.com/watch?v=FGN9YdaDodY&amp;t=1933s", "Go to time")</f>
        <v/>
      </c>
    </row>
    <row r="1074">
      <c r="A1074">
        <f>HYPERLINK("https://www.youtube.com/watch?v=vsr7o-pHl9c", "Video")</f>
        <v/>
      </c>
      <c r="B1074" t="inlineStr">
        <is>
          <t>0:35</t>
        </is>
      </c>
      <c r="C1074" t="inlineStr">
        <is>
          <t>draws power directly from the City's</t>
        </is>
      </c>
      <c r="D1074">
        <f>HYPERLINK("https://www.youtube.com/watch?v=vsr7o-pHl9c&amp;t=35s", "Go to time")</f>
        <v/>
      </c>
    </row>
    <row r="1075">
      <c r="A1075">
        <f>HYPERLINK("https://www.youtube.com/watch?v=QUqZQzD4Qhk", "Video")</f>
        <v/>
      </c>
      <c r="B1075" t="inlineStr">
        <is>
          <t>12:10</t>
        </is>
      </c>
      <c r="C1075" t="inlineStr">
        <is>
          <t>Security detail?
I have moved my person
in this direction.</t>
        </is>
      </c>
      <c r="D1075">
        <f>HYPERLINK("https://www.youtube.com/watch?v=QUqZQzD4Qhk&amp;t=730s", "Go to time")</f>
        <v/>
      </c>
    </row>
    <row r="1076">
      <c r="A1076">
        <f>HYPERLINK("https://www.youtube.com/watch?v=Hc5m3F7Rfy4", "Video")</f>
        <v/>
      </c>
      <c r="B1076" t="inlineStr">
        <is>
          <t>17:14</t>
        </is>
      </c>
      <c r="C1076" t="inlineStr">
        <is>
          <t>direct and if I say so myself I was</t>
        </is>
      </c>
      <c r="D1076">
        <f>HYPERLINK("https://www.youtube.com/watch?v=Hc5m3F7Rfy4&amp;t=1034s", "Go to time")</f>
        <v/>
      </c>
    </row>
    <row r="1077">
      <c r="A1077">
        <f>HYPERLINK("https://www.youtube.com/watch?v=Gqgh7WQYKDw", "Video")</f>
        <v/>
      </c>
      <c r="B1077" t="inlineStr">
        <is>
          <t>1:57</t>
        </is>
      </c>
      <c r="C1077" t="inlineStr">
        <is>
          <t>I AM THE DIRECTOR,
ALTHOUGH I PREFER 
THE TERM FILMMAKER.</t>
        </is>
      </c>
      <c r="D1077">
        <f>HYPERLINK("https://www.youtube.com/watch?v=Gqgh7WQYKDw&amp;t=117s", "Go to time")</f>
        <v/>
      </c>
    </row>
    <row r="1078">
      <c r="A1078">
        <f>HYPERLINK("https://www.youtube.com/watch?v=ua1dE_UECiU", "Video")</f>
        <v/>
      </c>
      <c r="B1078" t="inlineStr">
        <is>
          <t>0:56</t>
        </is>
      </c>
      <c r="C1078" t="inlineStr">
        <is>
          <t>there's my favorite director hey</t>
        </is>
      </c>
      <c r="D1078">
        <f>HYPERLINK("https://www.youtube.com/watch?v=ua1dE_UECiU&amp;t=56s", "Go to time")</f>
        <v/>
      </c>
    </row>
    <row r="1079">
      <c r="A1079">
        <f>HYPERLINK("https://www.youtube.com/watch?v=ua1dE_UECiU", "Video")</f>
        <v/>
      </c>
      <c r="B1079" t="inlineStr">
        <is>
          <t>1:02</t>
        </is>
      </c>
      <c r="C1079" t="inlineStr">
        <is>
          <t>you wanted to direct are you kidding</t>
        </is>
      </c>
      <c r="D1079">
        <f>HYPERLINK("https://www.youtube.com/watch?v=ua1dE_UECiU&amp;t=62s", "Go to time")</f>
        <v/>
      </c>
    </row>
    <row r="1080">
      <c r="A1080">
        <f>HYPERLINK("https://www.youtube.com/watch?v=l6UWWCnpL38", "Video")</f>
        <v/>
      </c>
      <c r="B1080" t="inlineStr">
        <is>
          <t>6:08</t>
        </is>
      </c>
      <c r="C1080" t="inlineStr">
        <is>
          <t>director of this rainforest.</t>
        </is>
      </c>
      <c r="D1080">
        <f>HYPERLINK("https://www.youtube.com/watch?v=l6UWWCnpL38&amp;t=368s", "Go to time")</f>
        <v/>
      </c>
    </row>
    <row r="1081">
      <c r="A1081">
        <f>HYPERLINK("https://www.youtube.com/watch?v=deqwzP-KA6s", "Video")</f>
        <v/>
      </c>
      <c r="B1081" t="inlineStr">
        <is>
          <t>4:41</t>
        </is>
      </c>
      <c r="C1081" t="inlineStr">
        <is>
          <t>Would you be so kind
as to direct us
to our usual booth?</t>
        </is>
      </c>
      <c r="D1081">
        <f>HYPERLINK("https://www.youtube.com/watch?v=deqwzP-KA6s&amp;t=281s", "Go to time")</f>
        <v/>
      </c>
    </row>
    <row r="1082">
      <c r="A1082">
        <f>HYPERLINK("https://www.youtube.com/watch?v=deqwzP-KA6s", "Video")</f>
        <v/>
      </c>
      <c r="B1082" t="inlineStr">
        <is>
          <t>14:28</t>
        </is>
      </c>
      <c r="C1082" t="inlineStr">
        <is>
          <t>vice-deputy administrative
director of comedy
resources management.</t>
        </is>
      </c>
      <c r="D1082">
        <f>HYPERLINK("https://www.youtube.com/watch?v=deqwzP-KA6s&amp;t=868s", "Go to time")</f>
        <v/>
      </c>
    </row>
    <row r="1083">
      <c r="A1083">
        <f>HYPERLINK("https://www.youtube.com/watch?v=FeIAXwtLLhM", "Video")</f>
        <v/>
      </c>
      <c r="B1083" t="inlineStr">
        <is>
          <t>4:10</t>
        </is>
      </c>
      <c r="C1083" t="inlineStr">
        <is>
          <t>to me yeah and we're flying directly</t>
        </is>
      </c>
      <c r="D1083">
        <f>HYPERLINK("https://www.youtube.com/watch?v=FeIAXwtLLhM&amp;t=250s", "Go to time")</f>
        <v/>
      </c>
    </row>
    <row r="1084">
      <c r="A1084">
        <f>HYPERLINK("https://www.youtube.com/watch?v=yvMQSG7Tl68", "Video")</f>
        <v/>
      </c>
      <c r="B1084" t="inlineStr">
        <is>
          <t>2:15</t>
        </is>
      </c>
      <c r="C1084" t="inlineStr">
        <is>
          <t>this affects us directly they tried</t>
        </is>
      </c>
      <c r="D1084">
        <f>HYPERLINK("https://www.youtube.com/watch?v=yvMQSG7Tl68&amp;t=135s", "Go to time")</f>
        <v/>
      </c>
    </row>
    <row r="1085">
      <c r="A1085">
        <f>HYPERLINK("https://www.youtube.com/watch?v=3QGy0rh5fSs", "Video")</f>
        <v/>
      </c>
      <c r="B1085" t="inlineStr">
        <is>
          <t>0:10</t>
        </is>
      </c>
      <c r="C1085" t="inlineStr">
        <is>
          <t>you can't look directly at it</t>
        </is>
      </c>
      <c r="D1085">
        <f>HYPERLINK("https://www.youtube.com/watch?v=3QGy0rh5fSs&amp;t=10s", "Go to time")</f>
        <v/>
      </c>
    </row>
    <row r="1086">
      <c r="A1086">
        <f>HYPERLINK("https://www.youtube.com/watch?v=KqF1pYafMgA", "Video")</f>
        <v/>
      </c>
      <c r="B1086" t="inlineStr">
        <is>
          <t>17:25</t>
        </is>
      </c>
      <c r="C1086" t="inlineStr">
        <is>
          <t>Director:
AND...ACTION.</t>
        </is>
      </c>
      <c r="D1086">
        <f>HYPERLINK("https://www.youtube.com/watch?v=KqF1pYafMgA&amp;t=1045s", "Go to time")</f>
        <v/>
      </c>
    </row>
    <row r="1087">
      <c r="A1087">
        <f>HYPERLINK("https://www.youtube.com/watch?v=KqF1pYafMgA", "Video")</f>
        <v/>
      </c>
      <c r="B1087" t="inlineStr">
        <is>
          <t>17:40</t>
        </is>
      </c>
      <c r="C1087" t="inlineStr">
        <is>
          <t>Director: CUT!</t>
        </is>
      </c>
      <c r="D1087">
        <f>HYPERLINK("https://www.youtube.com/watch?v=KqF1pYafMgA&amp;t=1060s", "Go to time")</f>
        <v/>
      </c>
    </row>
    <row r="1088">
      <c r="A1088">
        <f>HYPERLINK("https://www.youtube.com/watch?v=KqF1pYafMgA", "Video")</f>
        <v/>
      </c>
      <c r="B1088" t="inlineStr">
        <is>
          <t>17:55</t>
        </is>
      </c>
      <c r="C1088" t="inlineStr">
        <is>
          <t>Director: CUT!</t>
        </is>
      </c>
      <c r="D1088">
        <f>HYPERLINK("https://www.youtube.com/watch?v=KqF1pYafMgA&amp;t=1075s", "Go to time")</f>
        <v/>
      </c>
    </row>
    <row r="1089">
      <c r="A1089">
        <f>HYPERLINK("https://www.youtube.com/watch?v=6VDqUua2Rvg", "Video")</f>
        <v/>
      </c>
      <c r="B1089" t="inlineStr">
        <is>
          <t>2:54</t>
        </is>
      </c>
      <c r="C1089" t="inlineStr">
        <is>
          <t>patch to look cool and directly to the</t>
        </is>
      </c>
      <c r="D1089">
        <f>HYPERLINK("https://www.youtube.com/watch?v=6VDqUua2Rvg&amp;t=174s", "Go to time")</f>
        <v/>
      </c>
    </row>
    <row r="1090">
      <c r="A1090">
        <f>HYPERLINK("https://www.youtube.com/watch?v=X4BeRb4Lues", "Video")</f>
        <v/>
      </c>
      <c r="B1090" t="inlineStr">
        <is>
          <t>19:42</t>
        </is>
      </c>
      <c r="C1090" t="inlineStr">
        <is>
          <t>I'm Kevin Randolf,
director/producer.</t>
        </is>
      </c>
      <c r="D1090">
        <f>HYPERLINK("https://www.youtube.com/watch?v=X4BeRb4Lues&amp;t=1182s", "Go to time")</f>
        <v/>
      </c>
    </row>
    <row r="1091">
      <c r="A1091">
        <f>HYPERLINK("https://www.youtube.com/watch?v=INmCBRsNdyg", "Video")</f>
        <v/>
      </c>
      <c r="B1091" t="inlineStr">
        <is>
          <t>0:07</t>
        </is>
      </c>
      <c r="C1091" t="inlineStr">
        <is>
          <t>a football player asking directions to</t>
        </is>
      </c>
      <c r="D1091">
        <f>HYPERLINK("https://www.youtube.com/watch?v=INmCBRsNdyg&amp;t=7s", "Go to time")</f>
        <v/>
      </c>
    </row>
    <row r="1092">
      <c r="A1092">
        <f>HYPERLINK("https://www.youtube.com/watch?v=sDOGW46F34s", "Video")</f>
        <v/>
      </c>
      <c r="B1092" t="inlineStr">
        <is>
          <t>1:26</t>
        </is>
      </c>
      <c r="C1092" t="inlineStr">
        <is>
          <t>going to let the director decide we have</t>
        </is>
      </c>
      <c r="D1092">
        <f>HYPERLINK("https://www.youtube.com/watch?v=sDOGW46F34s&amp;t=86s", "Go to time")</f>
        <v/>
      </c>
    </row>
    <row r="1093">
      <c r="A1093">
        <f>HYPERLINK("https://www.youtube.com/watch?v=sDOGW46F34s", "Video")</f>
        <v/>
      </c>
      <c r="B1093" t="inlineStr">
        <is>
          <t>3:34</t>
        </is>
      </c>
      <c r="C1093" t="inlineStr">
        <is>
          <t>director will decide</t>
        </is>
      </c>
      <c r="D1093">
        <f>HYPERLINK("https://www.youtube.com/watch?v=sDOGW46F34s&amp;t=214s", "Go to time")</f>
        <v/>
      </c>
    </row>
    <row r="1094">
      <c r="A1094">
        <f>HYPERLINK("https://www.youtube.com/watch?v=i3mp2ziW-tI", "Video")</f>
        <v/>
      </c>
      <c r="B1094" t="inlineStr">
        <is>
          <t>9:10</t>
        </is>
      </c>
      <c r="C1094" t="inlineStr">
        <is>
          <t>gives you direct access to all the</t>
        </is>
      </c>
      <c r="D1094">
        <f>HYPERLINK("https://www.youtube.com/watch?v=i3mp2ziW-tI&amp;t=550s", "Go to time")</f>
        <v/>
      </c>
    </row>
    <row r="1095">
      <c r="A1095">
        <f>HYPERLINK("https://www.youtube.com/watch?v=63APxajANwE", "Video")</f>
        <v/>
      </c>
      <c r="B1095" t="inlineStr">
        <is>
          <t>1:43</t>
        </is>
      </c>
      <c r="C1095" t="inlineStr">
        <is>
          <t>all with the director.</t>
        </is>
      </c>
      <c r="D1095">
        <f>HYPERLINK("https://www.youtube.com/watch?v=63APxajANwE&amp;t=103s", "Go to time")</f>
        <v/>
      </c>
    </row>
    <row r="1096">
      <c r="A1096">
        <f>HYPERLINK("https://www.youtube.com/watch?v=syhuwNidyPM", "Video")</f>
        <v/>
      </c>
      <c r="B1096" t="inlineStr">
        <is>
          <t>11:57</t>
        </is>
      </c>
      <c r="C1096" t="inlineStr">
        <is>
          <t>It draws power
directly from the
city's power grid.</t>
        </is>
      </c>
      <c r="D1096">
        <f>HYPERLINK("https://www.youtube.com/watch?v=syhuwNidyPM&amp;t=717s", "Go to time")</f>
        <v/>
      </c>
    </row>
    <row r="1097">
      <c r="A1097">
        <f>HYPERLINK("https://www.youtube.com/watch?v=syhuwNidyPM", "Video")</f>
        <v/>
      </c>
      <c r="B1097" t="inlineStr">
        <is>
          <t>19:28</t>
        </is>
      </c>
      <c r="C1097" t="inlineStr">
        <is>
          <t>We're going to use this
to change the direction
of the meteor</t>
        </is>
      </c>
      <c r="D1097">
        <f>HYPERLINK("https://www.youtube.com/watch?v=syhuwNidyPM&amp;t=1168s", "Go to time")</f>
        <v/>
      </c>
    </row>
    <row r="1098">
      <c r="A1098">
        <f>HYPERLINK("https://www.youtube.com/watch?v=T7PgiUscURA", "Video")</f>
        <v/>
      </c>
      <c r="B1098" t="inlineStr">
        <is>
          <t>4:02</t>
        </is>
      </c>
      <c r="C1098" t="inlineStr">
        <is>
          <t>yourself directly to the audience eye to</t>
        </is>
      </c>
      <c r="D1098">
        <f>HYPERLINK("https://www.youtube.com/watch?v=T7PgiUscURA&amp;t=242s", "Go to time")</f>
        <v/>
      </c>
    </row>
    <row r="1099">
      <c r="A1099">
        <f>HYPERLINK("https://www.youtube.com/watch?v=DiZsEU4KUXc", "Video")</f>
        <v/>
      </c>
      <c r="B1099" t="inlineStr">
        <is>
          <t>12:03</t>
        </is>
      </c>
      <c r="C1099" t="inlineStr">
        <is>
          <t>directions you've already read them</t>
        </is>
      </c>
      <c r="D1099">
        <f>HYPERLINK("https://www.youtube.com/watch?v=DiZsEU4KUXc&amp;t=723s", "Go to time")</f>
        <v/>
      </c>
    </row>
    <row r="1100">
      <c r="A1100">
        <f>HYPERLINK("https://www.youtube.com/watch?v=NGHNIhYPWz4", "Video")</f>
        <v/>
      </c>
      <c r="B1100" t="inlineStr">
        <is>
          <t>3:29</t>
        </is>
      </c>
      <c r="C1100" t="inlineStr">
        <is>
          <t>WAS PLAY SOCIAL DIRECTOR
FOR A SISTER</t>
        </is>
      </c>
      <c r="D1100">
        <f>HYPERLINK("https://www.youtube.com/watch?v=NGHNIhYPWz4&amp;t=209s", "Go to time")</f>
        <v/>
      </c>
    </row>
    <row r="1101">
      <c r="A1101">
        <f>HYPERLINK("https://www.youtube.com/watch?v=NGHNIhYPWz4", "Video")</f>
        <v/>
      </c>
      <c r="B1101" t="inlineStr">
        <is>
          <t>16:40</t>
        </is>
      </c>
      <c r="C1101" t="inlineStr">
        <is>
          <t>THAT WE'RE MOVING
IN THAT DIRECTION.</t>
        </is>
      </c>
      <c r="D1101">
        <f>HYPERLINK("https://www.youtube.com/watch?v=NGHNIhYPWz4&amp;t=1000s", "Go to time")</f>
        <v/>
      </c>
    </row>
    <row r="1102">
      <c r="A1102">
        <f>HYPERLINK("https://www.youtube.com/watch?v=bkSj8WJBY8E", "Video")</f>
        <v/>
      </c>
      <c r="B1102" t="inlineStr">
        <is>
          <t>2:12</t>
        </is>
      </c>
      <c r="C1102" t="inlineStr">
        <is>
          <t>meet mateo's camp director well it is so</t>
        </is>
      </c>
      <c r="D1102">
        <f>HYPERLINK("https://www.youtube.com/watch?v=bkSj8WJBY8E&amp;t=132s", "Go to time")</f>
        <v/>
      </c>
    </row>
    <row r="1103">
      <c r="A1103">
        <f>HYPERLINK("https://www.youtube.com/watch?v=q8jLyotMMVE", "Video")</f>
        <v/>
      </c>
      <c r="B1103" t="inlineStr">
        <is>
          <t>17:05</t>
        </is>
      </c>
      <c r="C1103" t="inlineStr">
        <is>
          <t>think I shouldn't look directly at</t>
        </is>
      </c>
      <c r="D1103">
        <f>HYPERLINK("https://www.youtube.com/watch?v=q8jLyotMMVE&amp;t=1025s", "Go to time")</f>
        <v/>
      </c>
    </row>
    <row r="1104">
      <c r="A1104">
        <f>HYPERLINK("https://www.youtube.com/watch?v=u-bVDIWkHSY", "Video")</f>
        <v/>
      </c>
      <c r="B1104" t="inlineStr">
        <is>
          <t>0:43</t>
        </is>
      </c>
      <c r="C1104" t="inlineStr">
        <is>
          <t>to her directly right oh see</t>
        </is>
      </c>
      <c r="D1104">
        <f>HYPERLINK("https://www.youtube.com/watch?v=u-bVDIWkHSY&amp;t=43s", "Go to time")</f>
        <v/>
      </c>
    </row>
    <row r="1105">
      <c r="A1105">
        <f>HYPERLINK("https://www.youtube.com/watch?v=ST2y17euBlc", "Video")</f>
        <v/>
      </c>
      <c r="B1105" t="inlineStr">
        <is>
          <t>10:49</t>
        </is>
      </c>
      <c r="C1105" t="inlineStr">
        <is>
          <t>me go talk to the director so must be</t>
        </is>
      </c>
      <c r="D1105">
        <f>HYPERLINK("https://www.youtube.com/watch?v=ST2y17euBlc&amp;t=649s", "Go to time")</f>
        <v/>
      </c>
    </row>
    <row r="1106">
      <c r="A1106">
        <f>HYPERLINK("https://www.youtube.com/watch?v=ST2y17euBlc", "Video")</f>
        <v/>
      </c>
      <c r="B1106" t="inlineStr">
        <is>
          <t>11:36</t>
        </is>
      </c>
      <c r="C1106" t="inlineStr">
        <is>
          <t>director thought I was an actress sure</t>
        </is>
      </c>
      <c r="D1106">
        <f>HYPERLINK("https://www.youtube.com/watch?v=ST2y17euBlc&amp;t=696s", "Go to time")</f>
        <v/>
      </c>
    </row>
    <row r="1107">
      <c r="A1107">
        <f>HYPERLINK("https://www.youtube.com/watch?v=UhNVD4RhqGU", "Video")</f>
        <v/>
      </c>
      <c r="B1107" t="inlineStr">
        <is>
          <t>0:40</t>
        </is>
      </c>
      <c r="C1107" t="inlineStr">
        <is>
          <t>in another Direction okay okay this can</t>
        </is>
      </c>
      <c r="D1107">
        <f>HYPERLINK("https://www.youtube.com/watch?v=UhNVD4RhqGU&amp;t=40s", "Go to time")</f>
        <v/>
      </c>
    </row>
    <row r="1108">
      <c r="A1108">
        <f>HYPERLINK("https://www.youtube.com/watch?v=ojTdYiBRtdU", "Video")</f>
        <v/>
      </c>
      <c r="B1108" t="inlineStr">
        <is>
          <t>16:48</t>
        </is>
      </c>
      <c r="C1108" t="inlineStr">
        <is>
          <t>the situation is much more dire than</t>
        </is>
      </c>
      <c r="D1108">
        <f>HYPERLINK("https://www.youtube.com/watch?v=ojTdYiBRtdU&amp;t=1008s", "Go to time")</f>
        <v/>
      </c>
    </row>
    <row r="1109">
      <c r="A1109">
        <f>HYPERLINK("https://www.youtube.com/watch?v=y8QEATxV-8M", "Video")</f>
        <v/>
      </c>
      <c r="B1109" t="inlineStr">
        <is>
          <t>3:29</t>
        </is>
      </c>
      <c r="C1109" t="inlineStr">
        <is>
          <t>think I shouldn't look directly at</t>
        </is>
      </c>
      <c r="D1109">
        <f>HYPERLINK("https://www.youtube.com/watch?v=y8QEATxV-8M&amp;t=209s", "Go to time")</f>
        <v/>
      </c>
    </row>
    <row r="1110">
      <c r="A1110">
        <f>HYPERLINK("https://www.youtube.com/watch?v=xT5zt93BbAg", "Video")</f>
        <v/>
      </c>
      <c r="B1110" t="inlineStr">
        <is>
          <t>2:47</t>
        </is>
      </c>
      <c r="C1110" t="inlineStr">
        <is>
          <t>direction SS your apron you're wearing</t>
        </is>
      </c>
      <c r="D1110">
        <f>HYPERLINK("https://www.youtube.com/watch?v=xT5zt93BbAg&amp;t=167s", "Go to time")</f>
        <v/>
      </c>
    </row>
    <row r="1111">
      <c r="A1111">
        <f>HYPERLINK("https://www.youtube.com/watch?v=xT5zt93BbAg", "Video")</f>
        <v/>
      </c>
      <c r="B1111" t="inlineStr">
        <is>
          <t>6:09</t>
        </is>
      </c>
      <c r="C1111" t="inlineStr">
        <is>
          <t>director oh yeah Dana Keystone she was</t>
        </is>
      </c>
      <c r="D1111">
        <f>HYPERLINK("https://www.youtube.com/watch?v=xT5zt93BbAg&amp;t=369s", "Go to time")</f>
        <v/>
      </c>
    </row>
    <row r="1112">
      <c r="A1112">
        <f>HYPERLINK("https://www.youtube.com/watch?v=xT5zt93BbAg", "Video")</f>
        <v/>
      </c>
      <c r="B1112" t="inlineStr">
        <is>
          <t>6:20</t>
        </is>
      </c>
      <c r="C1112" t="inlineStr">
        <is>
          <t>directing the new Al Pacino movie you</t>
        </is>
      </c>
      <c r="D1112">
        <f>HYPERLINK("https://www.youtube.com/watch?v=xT5zt93BbAg&amp;t=380s", "Go to time")</f>
        <v/>
      </c>
    </row>
    <row r="1113">
      <c r="A1113">
        <f>HYPERLINK("https://www.youtube.com/watch?v=UYrwmTpmz60", "Video")</f>
        <v/>
      </c>
      <c r="B1113" t="inlineStr">
        <is>
          <t>50:23</t>
        </is>
      </c>
      <c r="C1113" t="inlineStr">
        <is>
          <t>suppose we just try to not look Direct</t>
        </is>
      </c>
      <c r="D1113">
        <f>HYPERLINK("https://www.youtube.com/watch?v=UYrwmTpmz60&amp;t=3023s", "Go to time")</f>
        <v/>
      </c>
    </row>
    <row r="1114">
      <c r="A1114">
        <f>HYPERLINK("https://www.youtube.com/watch?v=rNDDTjB7Yv8", "Video")</f>
        <v/>
      </c>
      <c r="B1114" t="inlineStr">
        <is>
          <t>33:00</t>
        </is>
      </c>
      <c r="C1114" t="inlineStr">
        <is>
          <t>laughable aha here it is the direction</t>
        </is>
      </c>
      <c r="D1114">
        <f>HYPERLINK("https://www.youtube.com/watch?v=rNDDTjB7Yv8&amp;t=1980s", "Go to time")</f>
        <v/>
      </c>
    </row>
    <row r="1115">
      <c r="A1115">
        <f>HYPERLINK("https://www.youtube.com/watch?v=EQZ9wtYMfyM", "Video")</f>
        <v/>
      </c>
      <c r="B1115" t="inlineStr">
        <is>
          <t>18:06</t>
        </is>
      </c>
      <c r="C1115" t="inlineStr">
        <is>
          <t>in another Direction okay okay this can</t>
        </is>
      </c>
      <c r="D1115">
        <f>HYPERLINK("https://www.youtube.com/watch?v=EQZ9wtYMfyM&amp;t=1086s", "Go to time")</f>
        <v/>
      </c>
    </row>
    <row r="1116">
      <c r="A1116">
        <f>HYPERLINK("https://www.youtube.com/watch?v=sYR6638QMm4", "Video")</f>
        <v/>
      </c>
      <c r="B1116" t="inlineStr">
        <is>
          <t>0:57</t>
        </is>
      </c>
      <c r="C1116" t="inlineStr">
        <is>
          <t>directly and I just didn't volunteer the</t>
        </is>
      </c>
      <c r="D1116">
        <f>HYPERLINK("https://www.youtube.com/watch?v=sYR6638QMm4&amp;t=57s", "Go to time")</f>
        <v/>
      </c>
    </row>
    <row r="1117">
      <c r="A1117">
        <f>HYPERLINK("https://www.youtube.com/watch?v=FIjzl_dg2Mw", "Video")</f>
        <v/>
      </c>
      <c r="B1117" t="inlineStr">
        <is>
          <t>0:26</t>
        </is>
      </c>
      <c r="C1117" t="inlineStr">
        <is>
          <t>director is this we'll drink all the</t>
        </is>
      </c>
      <c r="D1117">
        <f>HYPERLINK("https://www.youtube.com/watch?v=FIjzl_dg2Mw&amp;t=26s", "Go to time")</f>
        <v/>
      </c>
    </row>
    <row r="1118">
      <c r="A1118">
        <f>HYPERLINK("https://www.youtube.com/watch?v=kFtuYrgZuHM", "Video")</f>
        <v/>
      </c>
      <c r="B1118" t="inlineStr">
        <is>
          <t>0:21</t>
        </is>
      </c>
      <c r="C1118" t="inlineStr">
        <is>
          <t>laughable ah here it is the direction by</t>
        </is>
      </c>
      <c r="D1118">
        <f>HYPERLINK("https://www.youtube.com/watch?v=kFtuYrgZuHM&amp;t=21s", "Go to time")</f>
        <v/>
      </c>
    </row>
    <row r="1119">
      <c r="A1119">
        <f>HYPERLINK("https://www.youtube.com/watch?v=qmgTn199WOE", "Video")</f>
        <v/>
      </c>
      <c r="B1119" t="inlineStr">
        <is>
          <t>32:46</t>
        </is>
      </c>
      <c r="C1119" t="inlineStr">
        <is>
          <t>direction shows your apron you're</t>
        </is>
      </c>
      <c r="D1119">
        <f>HYPERLINK("https://www.youtube.com/watch?v=qmgTn199WOE&amp;t=1966s", "Go to time")</f>
        <v/>
      </c>
    </row>
    <row r="1120">
      <c r="A1120">
        <f>HYPERLINK("https://www.youtube.com/watch?v=qmgTn199WOE", "Video")</f>
        <v/>
      </c>
      <c r="B1120" t="inlineStr">
        <is>
          <t>42:32</t>
        </is>
      </c>
      <c r="C1120" t="inlineStr">
        <is>
          <t>direct sunlight he'll</t>
        </is>
      </c>
      <c r="D1120">
        <f>HYPERLINK("https://www.youtube.com/watch?v=qmgTn199WOE&amp;t=2552s", "Go to time")</f>
        <v/>
      </c>
    </row>
    <row r="1121">
      <c r="A1121">
        <f>HYPERLINK("https://www.youtube.com/watch?v=Be4f3uMx0nM", "Video")</f>
        <v/>
      </c>
      <c r="B1121" t="inlineStr">
        <is>
          <t>4:17</t>
        </is>
      </c>
      <c r="C1121" t="inlineStr">
        <is>
          <t>the situation is much more dire than</t>
        </is>
      </c>
      <c r="D1121">
        <f>HYPERLINK("https://www.youtube.com/watch?v=Be4f3uMx0nM&amp;t=257s", "Go to time")</f>
        <v/>
      </c>
    </row>
    <row r="1122">
      <c r="A1122">
        <f>HYPERLINK("https://www.youtube.com/watch?v=BR8IcqZ66aI", "Video")</f>
        <v/>
      </c>
      <c r="B1122" t="inlineStr">
        <is>
          <t>24:28</t>
        </is>
      </c>
      <c r="C1122" t="inlineStr">
        <is>
          <t>talking to the director and he was</t>
        </is>
      </c>
      <c r="D1122">
        <f>HYPERLINK("https://www.youtube.com/watch?v=BR8IcqZ66aI&amp;t=1468s", "Go to time")</f>
        <v/>
      </c>
    </row>
    <row r="1123">
      <c r="A1123">
        <f>HYPERLINK("https://www.youtube.com/watch?v=GCsy4Ko5IiY", "Video")</f>
        <v/>
      </c>
      <c r="B1123" t="inlineStr">
        <is>
          <t>0:58</t>
        </is>
      </c>
      <c r="C1123" t="inlineStr">
        <is>
          <t>direct sunlight he'll die</t>
        </is>
      </c>
      <c r="D1123">
        <f>HYPERLINK("https://www.youtube.com/watch?v=GCsy4Ko5IiY&amp;t=58s", "Go to time")</f>
        <v/>
      </c>
    </row>
    <row r="1124">
      <c r="A1124">
        <f>HYPERLINK("https://www.youtube.com/watch?v=hxyLRrJpU3A", "Video")</f>
        <v/>
      </c>
      <c r="B1124" t="inlineStr">
        <is>
          <t>0:52</t>
        </is>
      </c>
      <c r="C1124" t="inlineStr">
        <is>
          <t>afraid the situation is much more dire</t>
        </is>
      </c>
      <c r="D1124">
        <f>HYPERLINK("https://www.youtube.com/watch?v=hxyLRrJpU3A&amp;t=52s", "Go to time")</f>
        <v/>
      </c>
    </row>
    <row r="1125">
      <c r="A1125">
        <f>HYPERLINK("https://www.youtube.com/watch?v=WY4ciWj_XJg", "Video")</f>
        <v/>
      </c>
      <c r="B1125" t="inlineStr">
        <is>
          <t>6:59</t>
        </is>
      </c>
      <c r="C1125" t="inlineStr">
        <is>
          <t>you got uh this casting director is deaf</t>
        </is>
      </c>
      <c r="D1125">
        <f>HYPERLINK("https://www.youtube.com/watch?v=WY4ciWj_XJg&amp;t=419s", "Go to time")</f>
        <v/>
      </c>
    </row>
    <row r="1126">
      <c r="A1126">
        <f>HYPERLINK("https://www.youtube.com/watch?v=WY4ciWj_XJg", "Video")</f>
        <v/>
      </c>
      <c r="B1126" t="inlineStr">
        <is>
          <t>8:15</t>
        </is>
      </c>
      <c r="C1126" t="inlineStr">
        <is>
          <t>casting director well the only reason I</t>
        </is>
      </c>
      <c r="D1126">
        <f>HYPERLINK("https://www.youtube.com/watch?v=WY4ciWj_XJg&amp;t=495s", "Go to time")</f>
        <v/>
      </c>
    </row>
    <row r="1127">
      <c r="A1127">
        <f>HYPERLINK("https://www.youtube.com/watch?v=WY4ciWj_XJg", "Video")</f>
        <v/>
      </c>
      <c r="B1127" t="inlineStr">
        <is>
          <t>11:34</t>
        </is>
      </c>
      <c r="C1127" t="inlineStr">
        <is>
          <t>direction of this at</t>
        </is>
      </c>
      <c r="D1127">
        <f>HYPERLINK("https://www.youtube.com/watch?v=WY4ciWj_XJg&amp;t=694s", "Go to time")</f>
        <v/>
      </c>
    </row>
    <row r="1128">
      <c r="A1128">
        <f>HYPERLINK("https://www.youtube.com/watch?v=WY4ciWj_XJg", "Video")</f>
        <v/>
      </c>
      <c r="B1128" t="inlineStr">
        <is>
          <t>13:06</t>
        </is>
      </c>
      <c r="C1128" t="inlineStr">
        <is>
          <t>heads up on this casting director she</t>
        </is>
      </c>
      <c r="D1128">
        <f>HYPERLINK("https://www.youtube.com/watch?v=WY4ciWj_XJg&amp;t=786s", "Go to time")</f>
        <v/>
      </c>
    </row>
    <row r="1129">
      <c r="A1129">
        <f>HYPERLINK("https://www.youtube.com/watch?v=WY4ciWj_XJg", "Video")</f>
        <v/>
      </c>
      <c r="B1129" t="inlineStr">
        <is>
          <t>13:43</t>
        </is>
      </c>
      <c r="C1129" t="inlineStr">
        <is>
          <t>director from yesterday doesn't think so</t>
        </is>
      </c>
      <c r="D1129">
        <f>HYPERLINK("https://www.youtube.com/watch?v=WY4ciWj_XJg&amp;t=823s", "Go to time")</f>
        <v/>
      </c>
    </row>
    <row r="1130">
      <c r="A1130">
        <f>HYPERLINK("https://www.youtube.com/watch?v=PFoJmXniLHs", "Video")</f>
        <v/>
      </c>
      <c r="B1130" t="inlineStr">
        <is>
          <t>19:03</t>
        </is>
      </c>
      <c r="C1130" t="inlineStr">
        <is>
          <t>suppose we just try to not look directly</t>
        </is>
      </c>
      <c r="D1130">
        <f>HYPERLINK("https://www.youtube.com/watch?v=PFoJmXniLHs&amp;t=1143s", "Go to time")</f>
        <v/>
      </c>
    </row>
    <row r="1131">
      <c r="A1131">
        <f>HYPERLINK("https://www.youtube.com/watch?v=YIpA9j1TVYo", "Video")</f>
        <v/>
      </c>
      <c r="B1131" t="inlineStr">
        <is>
          <t>24:56</t>
        </is>
      </c>
      <c r="C1131" t="inlineStr">
        <is>
          <t>direction and you know you got to start</t>
        </is>
      </c>
      <c r="D1131">
        <f>HYPERLINK("https://www.youtube.com/watch?v=YIpA9j1TVYo&amp;t=1496s", "Go to time")</f>
        <v/>
      </c>
    </row>
    <row r="1132">
      <c r="A1132">
        <f>HYPERLINK("https://www.youtube.com/watch?v=X5oCPvGe-4M", "Video")</f>
        <v/>
      </c>
      <c r="B1132" t="inlineStr">
        <is>
          <t>16:47</t>
        </is>
      </c>
      <c r="C1132" t="inlineStr">
        <is>
          <t>directly and I just didn't volunteer the</t>
        </is>
      </c>
      <c r="D1132">
        <f>HYPERLINK("https://www.youtube.com/watch?v=X5oCPvGe-4M&amp;t=1007s", "Go to time")</f>
        <v/>
      </c>
    </row>
    <row r="1133">
      <c r="A1133">
        <f>HYPERLINK("https://www.youtube.com/watch?v=zKvnV4ngvFg", "Video")</f>
        <v/>
      </c>
      <c r="B1133" t="inlineStr">
        <is>
          <t>1:08</t>
        </is>
      </c>
      <c r="C1133" t="inlineStr">
        <is>
          <t>direction SS your apron you're wearing</t>
        </is>
      </c>
      <c r="D1133">
        <f>HYPERLINK("https://www.youtube.com/watch?v=zKvnV4ngvFg&amp;t=68s", "Go to time")</f>
        <v/>
      </c>
    </row>
    <row r="1134">
      <c r="A1134">
        <f>HYPERLINK("https://www.youtube.com/watch?v=Pq2JYqn8YTE", "Video")</f>
        <v/>
      </c>
      <c r="B1134" t="inlineStr">
        <is>
          <t>0:53</t>
        </is>
      </c>
      <c r="C1134" t="inlineStr">
        <is>
          <t>is much more dire than we'd expected</t>
        </is>
      </c>
      <c r="D1134">
        <f>HYPERLINK("https://www.youtube.com/watch?v=Pq2JYqn8YTE&amp;t=53s", "Go to time")</f>
        <v/>
      </c>
    </row>
    <row r="1135">
      <c r="A1135">
        <f>HYPERLINK("https://www.youtube.com/watch?v=AE8wZmNHNDU", "Video")</f>
        <v/>
      </c>
      <c r="B1135" t="inlineStr">
        <is>
          <t>0:52</t>
        </is>
      </c>
      <c r="C1135" t="inlineStr">
        <is>
          <t>afraid the situation is much more dire</t>
        </is>
      </c>
      <c r="D1135">
        <f>HYPERLINK("https://www.youtube.com/watch?v=AE8wZmNHNDU&amp;t=52s", "Go to time")</f>
        <v/>
      </c>
    </row>
    <row r="1136">
      <c r="A1136">
        <f>HYPERLINK("https://www.youtube.com/watch?v=Ok5QOJMYNFI", "Video")</f>
        <v/>
      </c>
      <c r="B1136" t="inlineStr">
        <is>
          <t>0:03</t>
        </is>
      </c>
      <c r="C1136" t="inlineStr">
        <is>
          <t>director oh yeah Dana Keystone she was</t>
        </is>
      </c>
      <c r="D1136">
        <f>HYPERLINK("https://www.youtube.com/watch?v=Ok5QOJMYNFI&amp;t=3s", "Go to time")</f>
        <v/>
      </c>
    </row>
    <row r="1137">
      <c r="A1137">
        <f>HYPERLINK("https://www.youtube.com/watch?v=Ok5QOJMYNFI", "Video")</f>
        <v/>
      </c>
      <c r="B1137" t="inlineStr">
        <is>
          <t>0:14</t>
        </is>
      </c>
      <c r="C1137" t="inlineStr">
        <is>
          <t>directing the new Al Pacino movie you</t>
        </is>
      </c>
      <c r="D1137">
        <f>HYPERLINK("https://www.youtube.com/watch?v=Ok5QOJMYNFI&amp;t=14s", "Go to time")</f>
        <v/>
      </c>
    </row>
    <row r="1138">
      <c r="A1138">
        <f>HYPERLINK("https://www.youtube.com/watch?v=07SF59M1uvo", "Video")</f>
        <v/>
      </c>
      <c r="B1138" t="inlineStr">
        <is>
          <t>1:37</t>
        </is>
      </c>
      <c r="C1138" t="inlineStr">
        <is>
          <t>just try to not look directly at it</t>
        </is>
      </c>
      <c r="D1138">
        <f>HYPERLINK("https://www.youtube.com/watch?v=07SF59M1uvo&amp;t=97s", "Go to time")</f>
        <v/>
      </c>
    </row>
    <row r="1139">
      <c r="A1139">
        <f>HYPERLINK("https://www.youtube.com/watch?v=YhylhwtjVDg", "Video")</f>
        <v/>
      </c>
      <c r="B1139" t="inlineStr">
        <is>
          <t>1:17</t>
        </is>
      </c>
      <c r="C1139" t="inlineStr">
        <is>
          <t>direction SS your apron you're wearing</t>
        </is>
      </c>
      <c r="D1139">
        <f>HYPERLINK("https://www.youtube.com/watch?v=YhylhwtjVDg&amp;t=77s", "Go to time")</f>
        <v/>
      </c>
    </row>
    <row r="1140">
      <c r="A1140">
        <f>HYPERLINK("https://www.youtube.com/watch?v=EpV9NGD6ayg", "Video")</f>
        <v/>
      </c>
      <c r="B1140" t="inlineStr">
        <is>
          <t>29:08</t>
        </is>
      </c>
      <c r="C1140" t="inlineStr">
        <is>
          <t>dire need of a project you want to work</t>
        </is>
      </c>
      <c r="D1140">
        <f>HYPERLINK("https://www.youtube.com/watch?v=EpV9NGD6ayg&amp;t=1748s", "Go to time")</f>
        <v/>
      </c>
    </row>
    <row r="1141">
      <c r="A1141">
        <f>HYPERLINK("https://www.youtube.com/watch?v=hm8EX_PpQN0", "Video")</f>
        <v/>
      </c>
      <c r="B1141" t="inlineStr">
        <is>
          <t>6:32</t>
        </is>
      </c>
      <c r="C1141" t="inlineStr">
        <is>
          <t>director Wow Yeah Joey's a class of 91</t>
        </is>
      </c>
      <c r="D1141">
        <f>HYPERLINK("https://www.youtube.com/watch?v=hm8EX_PpQN0&amp;t=392s", "Go to time")</f>
        <v/>
      </c>
    </row>
    <row r="1142">
      <c r="A1142">
        <f>HYPERLINK("https://www.youtube.com/watch?v=USP05bEL6iU", "Video")</f>
        <v/>
      </c>
      <c r="B1142" t="inlineStr">
        <is>
          <t>15:54</t>
        </is>
      </c>
      <c r="C1142" t="inlineStr">
        <is>
          <t>direct sunlight he'll</t>
        </is>
      </c>
      <c r="D1142">
        <f>HYPERLINK("https://www.youtube.com/watch?v=USP05bEL6iU&amp;t=954s", "Go to time")</f>
        <v/>
      </c>
    </row>
    <row r="1143">
      <c r="A1143">
        <f>HYPERLINK("https://www.youtube.com/watch?v=cTRxKYd6GAo", "Video")</f>
        <v/>
      </c>
      <c r="B1143" t="inlineStr">
        <is>
          <t>0:11</t>
        </is>
      </c>
      <c r="C1143" t="inlineStr">
        <is>
          <t>the director is supposed to be the next</t>
        </is>
      </c>
      <c r="D1143">
        <f>HYPERLINK("https://www.youtube.com/watch?v=cTRxKYd6GAo&amp;t=11s", "Go to time")</f>
        <v/>
      </c>
    </row>
    <row r="1144">
      <c r="A1144">
        <f>HYPERLINK("https://www.youtube.com/watch?v=lhy_Ux0ySwU", "Video")</f>
        <v/>
      </c>
      <c r="B1144" t="inlineStr">
        <is>
          <t>0:22</t>
        </is>
      </c>
      <c r="C1144" t="inlineStr">
        <is>
          <t>direction and you know you got to start</t>
        </is>
      </c>
      <c r="D1144">
        <f>HYPERLINK("https://www.youtube.com/watch?v=lhy_Ux0ySwU&amp;t=22s", "Go to time")</f>
        <v/>
      </c>
    </row>
    <row r="1145">
      <c r="A1145">
        <f>HYPERLINK("https://www.youtube.com/watch?v=G5dm9yB5vwo", "Video")</f>
        <v/>
      </c>
      <c r="B1145" t="inlineStr">
        <is>
          <t>6:01</t>
        </is>
      </c>
      <c r="C1145" t="inlineStr">
        <is>
          <t>is the direction I want
this magazine to go.</t>
        </is>
      </c>
      <c r="D1145">
        <f>HYPERLINK("https://www.youtube.com/watch?v=G5dm9yB5vwo&amp;t=361s", "Go to time")</f>
        <v/>
      </c>
    </row>
    <row r="1146">
      <c r="A1146">
        <f>HYPERLINK("https://www.youtube.com/watch?v=jzqOLoorgOs", "Video")</f>
        <v/>
      </c>
      <c r="B1146" t="inlineStr">
        <is>
          <t>4:20</t>
        </is>
      </c>
      <c r="C1146" t="inlineStr">
        <is>
          <t>12, can you tell me
about my direct reports?</t>
        </is>
      </c>
      <c r="D1146">
        <f>HYPERLINK("https://www.youtube.com/watch?v=jzqOLoorgOs&amp;t=260s", "Go to time")</f>
        <v/>
      </c>
    </row>
    <row r="1147">
      <c r="A1147">
        <f>HYPERLINK("https://www.youtube.com/watch?v=jzqOLoorgOs", "Video")</f>
        <v/>
      </c>
      <c r="B1147" t="inlineStr">
        <is>
          <t>6:34</t>
        </is>
      </c>
      <c r="C1147" t="inlineStr">
        <is>
          <t>That's why slightly indirect
questions like number 22,</t>
        </is>
      </c>
      <c r="D1147">
        <f>HYPERLINK("https://www.youtube.com/watch?v=jzqOLoorgOs&amp;t=394s", "Go to time")</f>
        <v/>
      </c>
    </row>
    <row r="1148">
      <c r="A1148">
        <f>HYPERLINK("https://www.youtube.com/watch?v=kNGr99LoTsg", "Video")</f>
        <v/>
      </c>
      <c r="B1148" t="inlineStr">
        <is>
          <t>20:00</t>
        </is>
      </c>
      <c r="C1148" t="inlineStr">
        <is>
          <t>your Waze access,
your directions,</t>
        </is>
      </c>
      <c r="D1148">
        <f>HYPERLINK("https://www.youtube.com/watch?v=kNGr99LoTsg&amp;t=1200s", "Go to time")</f>
        <v/>
      </c>
    </row>
    <row r="1149">
      <c r="A1149">
        <f>HYPERLINK("https://www.youtube.com/watch?v=_6Nf6Ijgals", "Video")</f>
        <v/>
      </c>
      <c r="B1149" t="inlineStr">
        <is>
          <t>8:24</t>
        </is>
      </c>
      <c r="C1149" t="inlineStr">
        <is>
          <t>not really directed at eBay's
customers in the first place.</t>
        </is>
      </c>
      <c r="D1149">
        <f>HYPERLINK("https://www.youtube.com/watch?v=_6Nf6Ijgals&amp;t=504s", "Go to time")</f>
        <v/>
      </c>
    </row>
    <row r="1150">
      <c r="A1150">
        <f>HYPERLINK("https://www.youtube.com/watch?v=_6Nf6Ijgals", "Video")</f>
        <v/>
      </c>
      <c r="B1150" t="inlineStr">
        <is>
          <t>26:23</t>
        </is>
      </c>
      <c r="C1150" t="inlineStr">
        <is>
          <t>It's much less common
to really directly take</t>
        </is>
      </c>
      <c r="D1150">
        <f>HYPERLINK("https://www.youtube.com/watch?v=_6Nf6Ijgals&amp;t=1583s", "Go to time")</f>
        <v/>
      </c>
    </row>
    <row r="1151">
      <c r="A1151">
        <f>HYPERLINK("https://www.youtube.com/watch?v=drOUyWaeNGQ", "Video")</f>
        <v/>
      </c>
      <c r="B1151" t="inlineStr">
        <is>
          <t>0:51</t>
        </is>
      </c>
      <c r="C1151" t="inlineStr">
        <is>
          <t>who is the managing director of the</t>
        </is>
      </c>
      <c r="D1151">
        <f>HYPERLINK("https://www.youtube.com/watch?v=drOUyWaeNGQ&amp;t=51s", "Go to time")</f>
        <v/>
      </c>
    </row>
    <row r="1152">
      <c r="A1152">
        <f>HYPERLINK("https://www.youtube.com/watch?v=drOUyWaeNGQ", "Video")</f>
        <v/>
      </c>
      <c r="B1152" t="inlineStr">
        <is>
          <t>5:14</t>
        </is>
      </c>
      <c r="C1152" t="inlineStr">
        <is>
          <t>Georgieva whose managing director of the</t>
        </is>
      </c>
      <c r="D1152">
        <f>HYPERLINK("https://www.youtube.com/watch?v=drOUyWaeNGQ&amp;t=314s", "Go to time")</f>
        <v/>
      </c>
    </row>
    <row r="1153">
      <c r="A1153">
        <f>HYPERLINK("https://www.youtube.com/watch?v=drOUyWaeNGQ", "Video")</f>
        <v/>
      </c>
      <c r="B1153" t="inlineStr">
        <is>
          <t>12:52</t>
        </is>
      </c>
      <c r="C1153" t="inlineStr">
        <is>
          <t>director of the International Monetary</t>
        </is>
      </c>
      <c r="D1153">
        <f>HYPERLINK("https://www.youtube.com/watch?v=drOUyWaeNGQ&amp;t=772s", "Go to time")</f>
        <v/>
      </c>
    </row>
    <row r="1154">
      <c r="A1154">
        <f>HYPERLINK("https://www.youtube.com/watch?v=drOUyWaeNGQ", "Video")</f>
        <v/>
      </c>
      <c r="B1154" t="inlineStr">
        <is>
          <t>15:32</t>
        </is>
      </c>
      <c r="C1154" t="inlineStr">
        <is>
          <t>strategic about the direction to travel</t>
        </is>
      </c>
      <c r="D1154">
        <f>HYPERLINK("https://www.youtube.com/watch?v=drOUyWaeNGQ&amp;t=932s", "Go to time")</f>
        <v/>
      </c>
    </row>
    <row r="1155">
      <c r="A1155">
        <f>HYPERLINK("https://www.youtube.com/watch?v=drOUyWaeNGQ", "Video")</f>
        <v/>
      </c>
      <c r="B1155" t="inlineStr">
        <is>
          <t>26:48</t>
        </is>
      </c>
      <c r="C1155" t="inlineStr">
        <is>
          <t>money directly into the hands of people</t>
        </is>
      </c>
      <c r="D1155">
        <f>HYPERLINK("https://www.youtube.com/watch?v=drOUyWaeNGQ&amp;t=1608s", "Go to time")</f>
        <v/>
      </c>
    </row>
    <row r="1156">
      <c r="A1156">
        <f>HYPERLINK("https://www.youtube.com/watch?v=drOUyWaeNGQ", "Video")</f>
        <v/>
      </c>
      <c r="B1156" t="inlineStr">
        <is>
          <t>27:37</t>
        </is>
      </c>
      <c r="C1156" t="inlineStr">
        <is>
          <t>in the hands of people is directly is</t>
        </is>
      </c>
      <c r="D1156">
        <f>HYPERLINK("https://www.youtube.com/watch?v=drOUyWaeNGQ&amp;t=1657s", "Go to time")</f>
        <v/>
      </c>
    </row>
    <row r="1157">
      <c r="A1157">
        <f>HYPERLINK("https://www.youtube.com/watch?v=drOUyWaeNGQ", "Video")</f>
        <v/>
      </c>
      <c r="B1157" t="inlineStr">
        <is>
          <t>36:24</t>
        </is>
      </c>
      <c r="C1157" t="inlineStr">
        <is>
          <t>difficult place in a dire situation but</t>
        </is>
      </c>
      <c r="D1157">
        <f>HYPERLINK("https://www.youtube.com/watch?v=drOUyWaeNGQ&amp;t=2184s", "Go to time")</f>
        <v/>
      </c>
    </row>
    <row r="1158">
      <c r="A1158">
        <f>HYPERLINK("https://www.youtube.com/watch?v=ME5arjlSTGQ", "Video")</f>
        <v/>
      </c>
      <c r="B1158" t="inlineStr">
        <is>
          <t>0:11</t>
        </is>
      </c>
      <c r="C1158" t="inlineStr">
        <is>
          <t>great leadership was really
about setting direction</t>
        </is>
      </c>
      <c r="D1158">
        <f>HYPERLINK("https://www.youtube.com/watch?v=ME5arjlSTGQ&amp;t=11s", "Go to time")</f>
        <v/>
      </c>
    </row>
    <row r="1159">
      <c r="A1159">
        <f>HYPERLINK("https://www.youtube.com/watch?v=ME5arjlSTGQ", "Video")</f>
        <v/>
      </c>
      <c r="B1159" t="inlineStr">
        <is>
          <t>0:13</t>
        </is>
      </c>
      <c r="C1159" t="inlineStr">
        <is>
          <t>and making sure that people
went in that direction.</t>
        </is>
      </c>
      <c r="D1159">
        <f>HYPERLINK("https://www.youtube.com/watch?v=ME5arjlSTGQ&amp;t=13s", "Go to time")</f>
        <v/>
      </c>
    </row>
    <row r="1160">
      <c r="A1160">
        <f>HYPERLINK("https://www.youtube.com/watch?v=QH8-P-Q8g50", "Video")</f>
        <v/>
      </c>
      <c r="B1160" t="inlineStr">
        <is>
          <t>17:36</t>
        </is>
      </c>
      <c r="C1160" t="inlineStr">
        <is>
          <t>we found that if a manager's
boss, like at the director</t>
        </is>
      </c>
      <c r="D1160">
        <f>HYPERLINK("https://www.youtube.com/watch?v=QH8-P-Q8g50&amp;t=1056s", "Go to time")</f>
        <v/>
      </c>
    </row>
    <row r="1161">
      <c r="A1161">
        <f>HYPERLINK("https://www.youtube.com/watch?v=LBNF6l2n3YM", "Video")</f>
        <v/>
      </c>
      <c r="B1161" t="inlineStr">
        <is>
          <t>1:14</t>
        </is>
      </c>
      <c r="C1161" t="inlineStr">
        <is>
          <t>So, the next time you email your direct reports
a status update, try using the subject line:</t>
        </is>
      </c>
      <c r="D1161">
        <f>HYPERLINK("https://www.youtube.com/watch?v=LBNF6l2n3YM&amp;t=74s", "Go to time")</f>
        <v/>
      </c>
    </row>
    <row r="1162">
      <c r="A1162">
        <f>HYPERLINK("https://www.youtube.com/watch?v=j2lJiOp9yMI", "Video")</f>
        <v/>
      </c>
      <c r="B1162" t="inlineStr">
        <is>
          <t>5:22</t>
        </is>
      </c>
      <c r="C1162" t="inlineStr">
        <is>
          <t>people direct feedback right as managers</t>
        </is>
      </c>
      <c r="D1162">
        <f>HYPERLINK("https://www.youtube.com/watch?v=j2lJiOp9yMI&amp;t=322s", "Go to time")</f>
        <v/>
      </c>
    </row>
    <row r="1163">
      <c r="A1163">
        <f>HYPERLINK("https://www.youtube.com/watch?v=j2lJiOp9yMI", "Video")</f>
        <v/>
      </c>
      <c r="B1163" t="inlineStr">
        <is>
          <t>8:01</t>
        </is>
      </c>
      <c r="C1163" t="inlineStr">
        <is>
          <t>to address it directly just isn't going</t>
        </is>
      </c>
      <c r="D1163">
        <f>HYPERLINK("https://www.youtube.com/watch?v=j2lJiOp9yMI&amp;t=481s", "Go to time")</f>
        <v/>
      </c>
    </row>
    <row r="1164">
      <c r="A1164">
        <f>HYPERLINK("https://www.youtube.com/watch?v=j2lJiOp9yMI", "Video")</f>
        <v/>
      </c>
      <c r="B1164" t="inlineStr">
        <is>
          <t>8:48</t>
        </is>
      </c>
      <c r="C1164" t="inlineStr">
        <is>
          <t>in and have a more direct conversation</t>
        </is>
      </c>
      <c r="D1164">
        <f>HYPERLINK("https://www.youtube.com/watch?v=j2lJiOp9yMI&amp;t=528s", "Go to time")</f>
        <v/>
      </c>
    </row>
    <row r="1165">
      <c r="A1165">
        <f>HYPERLINK("https://www.youtube.com/watch?v=j2lJiOp9yMI", "Video")</f>
        <v/>
      </c>
      <c r="B1165" t="inlineStr">
        <is>
          <t>13:15</t>
        </is>
      </c>
      <c r="C1165" t="inlineStr">
        <is>
          <t>directly is so that you can feel proud</t>
        </is>
      </c>
      <c r="D1165">
        <f>HYPERLINK("https://www.youtube.com/watch?v=j2lJiOp9yMI&amp;t=795s", "Go to time")</f>
        <v/>
      </c>
    </row>
    <row r="1166">
      <c r="A1166">
        <f>HYPERLINK("https://www.youtube.com/watch?v=j2lJiOp9yMI", "Video")</f>
        <v/>
      </c>
      <c r="B1166" t="inlineStr">
        <is>
          <t>14:56</t>
        </is>
      </c>
      <c r="C1166" t="inlineStr">
        <is>
          <t>with peers rather than direct reports or</t>
        </is>
      </c>
      <c r="D1166">
        <f>HYPERLINK("https://www.youtube.com/watch?v=j2lJiOp9yMI&amp;t=896s", "Go to time")</f>
        <v/>
      </c>
    </row>
    <row r="1167">
      <c r="A1167">
        <f>HYPERLINK("https://www.youtube.com/watch?v=j2lJiOp9yMI", "Video")</f>
        <v/>
      </c>
      <c r="B1167" t="inlineStr">
        <is>
          <t>18:45</t>
        </is>
      </c>
      <c r="C1167" t="inlineStr">
        <is>
          <t>direct reports right can you create a</t>
        </is>
      </c>
      <c r="D1167">
        <f>HYPERLINK("https://www.youtube.com/watch?v=j2lJiOp9yMI&amp;t=1125s", "Go to time")</f>
        <v/>
      </c>
    </row>
    <row r="1168">
      <c r="A1168">
        <f>HYPERLINK("https://www.youtube.com/watch?v=j2lJiOp9yMI", "Video")</f>
        <v/>
      </c>
      <c r="B1168" t="inlineStr">
        <is>
          <t>23:29</t>
        </is>
      </c>
      <c r="C1168" t="inlineStr">
        <is>
          <t>you're addressing it directly honestly</t>
        </is>
      </c>
      <c r="D1168">
        <f>HYPERLINK("https://www.youtube.com/watch?v=j2lJiOp9yMI&amp;t=1409s", "Go to time")</f>
        <v/>
      </c>
    </row>
    <row r="1169">
      <c r="A1169">
        <f>HYPERLINK("https://www.youtube.com/watch?v=j2lJiOp9yMI", "Video")</f>
        <v/>
      </c>
      <c r="B1169" t="inlineStr">
        <is>
          <t>33:56</t>
        </is>
      </c>
      <c r="C1169" t="inlineStr">
        <is>
          <t>is the direction we're going then it's</t>
        </is>
      </c>
      <c r="D1169">
        <f>HYPERLINK("https://www.youtube.com/watch?v=j2lJiOp9yMI&amp;t=2036s", "Go to time")</f>
        <v/>
      </c>
    </row>
    <row r="1170">
      <c r="A1170">
        <f>HYPERLINK("https://www.youtube.com/watch?v=Qhr7Cy7YLrM", "Video")</f>
        <v/>
      </c>
      <c r="B1170" t="inlineStr">
        <is>
          <t>2:03</t>
        </is>
      </c>
      <c r="C1170" t="inlineStr">
        <is>
          <t>Strategy number one,
redirect the conversation.</t>
        </is>
      </c>
      <c r="D1170">
        <f>HYPERLINK("https://www.youtube.com/watch?v=Qhr7Cy7YLrM&amp;t=123s", "Go to time")</f>
        <v/>
      </c>
    </row>
    <row r="1171">
      <c r="A1171">
        <f>HYPERLINK("https://www.youtube.com/watch?v=Qhr7Cy7YLrM", "Video")</f>
        <v/>
      </c>
      <c r="B1171" t="inlineStr">
        <is>
          <t>2:10</t>
        </is>
      </c>
      <c r="C1171" t="inlineStr">
        <is>
          <t>directly.</t>
        </is>
      </c>
      <c r="D1171">
        <f>HYPERLINK("https://www.youtube.com/watch?v=Qhr7Cy7YLrM&amp;t=130s", "Go to time")</f>
        <v/>
      </c>
    </row>
    <row r="1172">
      <c r="A1172">
        <f>HYPERLINK("https://www.youtube.com/watch?v=Qhr7Cy7YLrM", "Video")</f>
        <v/>
      </c>
      <c r="B1172" t="inlineStr">
        <is>
          <t>3:01</t>
        </is>
      </c>
      <c r="C1172" t="inlineStr">
        <is>
          <t>Here are two ways to
redirect the conversation</t>
        </is>
      </c>
      <c r="D1172">
        <f>HYPERLINK("https://www.youtube.com/watch?v=Qhr7Cy7YLrM&amp;t=181s", "Go to time")</f>
        <v/>
      </c>
    </row>
    <row r="1173">
      <c r="A1173">
        <f>HYPERLINK("https://www.youtube.com/watch?v=Qhr7Cy7YLrM", "Video")</f>
        <v/>
      </c>
      <c r="B1173" t="inlineStr">
        <is>
          <t>5:00</t>
        </is>
      </c>
      <c r="C1173" t="inlineStr">
        <is>
          <t>from them directly.</t>
        </is>
      </c>
      <c r="D1173">
        <f>HYPERLINK("https://www.youtube.com/watch?v=Qhr7Cy7YLrM&amp;t=300s", "Go to time")</f>
        <v/>
      </c>
    </row>
    <row r="1174">
      <c r="A1174">
        <f>HYPERLINK("https://www.youtube.com/watch?v=f-weOItc80E", "Video")</f>
        <v/>
      </c>
      <c r="B1174" t="inlineStr">
        <is>
          <t>2:36</t>
        </is>
      </c>
      <c r="C1174" t="inlineStr">
        <is>
          <t>The executive director of
On Our Sleeves, Marti Post,</t>
        </is>
      </c>
      <c r="D1174">
        <f>HYPERLINK("https://www.youtube.com/watch?v=f-weOItc80E&amp;t=156s", "Go to time")</f>
        <v/>
      </c>
    </row>
    <row r="1175">
      <c r="A1175">
        <f>HYPERLINK("https://www.youtube.com/watch?v=f-weOItc80E", "Video")</f>
        <v/>
      </c>
      <c r="B1175" t="inlineStr">
        <is>
          <t>6:37</t>
        </is>
      </c>
      <c r="C1175" t="inlineStr">
        <is>
          <t>and I just redirect
my attention.</t>
        </is>
      </c>
      <c r="D1175">
        <f>HYPERLINK("https://www.youtube.com/watch?v=f-weOItc80E&amp;t=397s", "Go to time")</f>
        <v/>
      </c>
    </row>
    <row r="1176">
      <c r="A1176">
        <f>HYPERLINK("https://www.youtube.com/watch?v=f-weOItc80E", "Video")</f>
        <v/>
      </c>
      <c r="B1176" t="inlineStr">
        <is>
          <t>7:50</t>
        </is>
      </c>
      <c r="C1176" t="inlineStr">
        <is>
          <t>their direct reports.</t>
        </is>
      </c>
      <c r="D1176">
        <f>HYPERLINK("https://www.youtube.com/watch?v=f-weOItc80E&amp;t=470s", "Go to time")</f>
        <v/>
      </c>
    </row>
    <row r="1177">
      <c r="A1177">
        <f>HYPERLINK("https://www.youtube.com/watch?v=f-weOItc80E", "Video")</f>
        <v/>
      </c>
      <c r="B1177" t="inlineStr">
        <is>
          <t>13:08</t>
        </is>
      </c>
      <c r="C1177" t="inlineStr">
        <is>
          <t>stock of where is my team and my
direct manager on this culture</t>
        </is>
      </c>
      <c r="D1177">
        <f>HYPERLINK("https://www.youtube.com/watch?v=f-weOItc80E&amp;t=788s", "Go to time")</f>
        <v/>
      </c>
    </row>
    <row r="1178">
      <c r="A1178">
        <f>HYPERLINK("https://www.youtube.com/watch?v=f-weOItc80E", "Video")</f>
        <v/>
      </c>
      <c r="B1178" t="inlineStr">
        <is>
          <t>20:57</t>
        </is>
      </c>
      <c r="C1178" t="inlineStr">
        <is>
          <t>right, or at least moving
in the right direction.</t>
        </is>
      </c>
      <c r="D1178">
        <f>HYPERLINK("https://www.youtube.com/watch?v=f-weOItc80E&amp;t=1257s", "Go to time")</f>
        <v/>
      </c>
    </row>
    <row r="1179">
      <c r="A1179">
        <f>HYPERLINK("https://www.youtube.com/watch?v=f-weOItc80E", "Video")</f>
        <v/>
      </c>
      <c r="B1179" t="inlineStr">
        <is>
          <t>21:50</t>
        </is>
      </c>
      <c r="C1179" t="inlineStr">
        <is>
          <t>and then be directed to
either a set of courses</t>
        </is>
      </c>
      <c r="D1179">
        <f>HYPERLINK("https://www.youtube.com/watch?v=f-weOItc80E&amp;t=1310s", "Go to time")</f>
        <v/>
      </c>
    </row>
    <row r="1180">
      <c r="A1180">
        <f>HYPERLINK("https://www.youtube.com/watch?v=f-weOItc80E", "Video")</f>
        <v/>
      </c>
      <c r="B1180" t="inlineStr">
        <is>
          <t>22:15</t>
        </is>
      </c>
      <c r="C1180" t="inlineStr">
        <is>
          <t>might direct you to for manage.</t>
        </is>
      </c>
      <c r="D1180">
        <f>HYPERLINK("https://www.youtube.com/watch?v=f-weOItc80E&amp;t=1335s", "Go to time")</f>
        <v/>
      </c>
    </row>
    <row r="1181">
      <c r="A1181">
        <f>HYPERLINK("https://www.youtube.com/watch?v=f-weOItc80E", "Video")</f>
        <v/>
      </c>
      <c r="B1181" t="inlineStr">
        <is>
          <t>22:42</t>
        </is>
      </c>
      <c r="C1181" t="inlineStr">
        <is>
          <t>wavering on the edge of
that concern hear directly</t>
        </is>
      </c>
      <c r="D1181">
        <f>HYPERLINK("https://www.youtube.com/watch?v=f-weOItc80E&amp;t=1362s", "Go to time")</f>
        <v/>
      </c>
    </row>
    <row r="1182">
      <c r="A1182">
        <f>HYPERLINK("https://www.youtube.com/watch?v=f-weOItc80E", "Video")</f>
        <v/>
      </c>
      <c r="B1182" t="inlineStr">
        <is>
          <t>26:42</t>
        </is>
      </c>
      <c r="C1182" t="inlineStr">
        <is>
          <t>See, even I, as the executive
director of On Our Sleeves,</t>
        </is>
      </c>
      <c r="D1182">
        <f>HYPERLINK("https://www.youtube.com/watch?v=f-weOItc80E&amp;t=1602s", "Go to time")</f>
        <v/>
      </c>
    </row>
    <row r="1183">
      <c r="A1183">
        <f>HYPERLINK("https://www.youtube.com/watch?v=f-weOItc80E", "Video")</f>
        <v/>
      </c>
      <c r="B1183" t="inlineStr">
        <is>
          <t>28:05</t>
        </is>
      </c>
      <c r="C1183" t="inlineStr">
        <is>
          <t>And you don't know which
direction they'll change</t>
        </is>
      </c>
      <c r="D1183">
        <f>HYPERLINK("https://www.youtube.com/watch?v=f-weOItc80E&amp;t=1685s", "Go to time")</f>
        <v/>
      </c>
    </row>
    <row r="1184">
      <c r="A1184">
        <f>HYPERLINK("https://www.youtube.com/watch?v=ZU9x1vFx5lI", "Video")</f>
        <v/>
      </c>
      <c r="B1184" t="inlineStr">
        <is>
          <t>6:35</t>
        </is>
      </c>
      <c r="C1184" t="inlineStr">
        <is>
          <t>Lack of direct experience--</t>
        </is>
      </c>
      <c r="D1184">
        <f>HYPERLINK("https://www.youtube.com/watch?v=ZU9x1vFx5lI&amp;t=395s", "Go to time")</f>
        <v/>
      </c>
    </row>
    <row r="1185">
      <c r="A1185">
        <f>HYPERLINK("https://www.youtube.com/watch?v=ZU9x1vFx5lI", "Video")</f>
        <v/>
      </c>
      <c r="B1185" t="inlineStr">
        <is>
          <t>6:37</t>
        </is>
      </c>
      <c r="C1185" t="inlineStr">
        <is>
          <t>If there are areas where your
past achievements don't directly</t>
        </is>
      </c>
      <c r="D1185">
        <f>HYPERLINK("https://www.youtube.com/watch?v=ZU9x1vFx5lI&amp;t=397s", "Go to time")</f>
        <v/>
      </c>
    </row>
    <row r="1186">
      <c r="A1186">
        <f>HYPERLINK("https://www.youtube.com/watch?v=ZU9x1vFx5lI", "Video")</f>
        <v/>
      </c>
      <c r="B1186" t="inlineStr">
        <is>
          <t>6:41</t>
        </is>
      </c>
      <c r="C1186" t="inlineStr">
        <is>
          <t>correlate to the job,
redirect the focus</t>
        </is>
      </c>
      <c r="D1186">
        <f>HYPERLINK("https://www.youtube.com/watch?v=ZU9x1vFx5lI&amp;t=401s", "Go to time")</f>
        <v/>
      </c>
    </row>
    <row r="1187">
      <c r="A1187">
        <f>HYPERLINK("https://www.youtube.com/watch?v=ZU9x1vFx5lI", "Video")</f>
        <v/>
      </c>
      <c r="B1187" t="inlineStr">
        <is>
          <t>7:58</t>
        </is>
      </c>
      <c r="C1187" t="inlineStr">
        <is>
          <t>with direct work experience.</t>
        </is>
      </c>
      <c r="D1187">
        <f>HYPERLINK("https://www.youtube.com/watch?v=ZU9x1vFx5lI&amp;t=478s", "Go to time")</f>
        <v/>
      </c>
    </row>
    <row r="1188">
      <c r="A1188">
        <f>HYPERLINK("https://www.youtube.com/watch?v=NToNTG73JsQ", "Video")</f>
        <v/>
      </c>
      <c r="B1188" t="inlineStr">
        <is>
          <t>3:27</t>
        </is>
      </c>
      <c r="C1188" t="inlineStr">
        <is>
          <t>maybe I'm not assertive, maybe
I am a little too direct.</t>
        </is>
      </c>
      <c r="D1188">
        <f>HYPERLINK("https://www.youtube.com/watch?v=NToNTG73JsQ&amp;t=207s", "Go to time")</f>
        <v/>
      </c>
    </row>
    <row r="1189">
      <c r="A1189">
        <f>HYPERLINK("https://www.youtube.com/watch?v=NToNTG73JsQ", "Video")</f>
        <v/>
      </c>
      <c r="B1189" t="inlineStr">
        <is>
          <t>5:06</t>
        </is>
      </c>
      <c r="C1189" t="inlineStr">
        <is>
          <t>What we'll find is they'll
say, well, I'm just direct.</t>
        </is>
      </c>
      <c r="D1189">
        <f>HYPERLINK("https://www.youtube.com/watch?v=NToNTG73JsQ&amp;t=306s", "Go to time")</f>
        <v/>
      </c>
    </row>
    <row r="1190">
      <c r="A1190">
        <f>HYPERLINK("https://www.youtube.com/watch?v=NToNTG73JsQ", "Video")</f>
        <v/>
      </c>
      <c r="B1190" t="inlineStr">
        <is>
          <t>5:11</t>
        </is>
      </c>
      <c r="C1190" t="inlineStr">
        <is>
          <t>not that they were
direct or had a comment</t>
        </is>
      </c>
      <c r="D1190">
        <f>HYPERLINK("https://www.youtube.com/watch?v=NToNTG73JsQ&amp;t=311s", "Go to time")</f>
        <v/>
      </c>
    </row>
    <row r="1191">
      <c r="A1191">
        <f>HYPERLINK("https://www.youtube.com/watch?v=NToNTG73JsQ", "Video")</f>
        <v/>
      </c>
      <c r="B1191" t="inlineStr">
        <is>
          <t>7:36</t>
        </is>
      </c>
      <c r="C1191" t="inlineStr">
        <is>
          <t>But I think to answer your
question more directly,</t>
        </is>
      </c>
      <c r="D1191">
        <f>HYPERLINK("https://www.youtube.com/watch?v=NToNTG73JsQ&amp;t=456s", "Go to time")</f>
        <v/>
      </c>
    </row>
    <row r="1192">
      <c r="A1192">
        <f>HYPERLINK("https://www.youtube.com/watch?v=5vljHeCB4ok", "Video")</f>
        <v/>
      </c>
      <c r="B1192" t="inlineStr">
        <is>
          <t>21:28</t>
        </is>
      </c>
      <c r="C1192" t="inlineStr">
        <is>
          <t>cares about the well-being
of his or her direct reports</t>
        </is>
      </c>
      <c r="D1192">
        <f>HYPERLINK("https://www.youtube.com/watch?v=5vljHeCB4ok&amp;t=1288s", "Go to time")</f>
        <v/>
      </c>
    </row>
    <row r="1193">
      <c r="A1193">
        <f>HYPERLINK("https://www.youtube.com/watch?v=5vljHeCB4ok", "Video")</f>
        <v/>
      </c>
      <c r="B1193" t="inlineStr">
        <is>
          <t>37:49</t>
        </is>
      </c>
      <c r="C1193" t="inlineStr">
        <is>
          <t>quite sure what
direction to go in.</t>
        </is>
      </c>
      <c r="D1193">
        <f>HYPERLINK("https://www.youtube.com/watch?v=5vljHeCB4ok&amp;t=2269s", "Go to time")</f>
        <v/>
      </c>
    </row>
    <row r="1194">
      <c r="A1194">
        <f>HYPERLINK("https://www.youtube.com/watch?v=5vljHeCB4ok", "Video")</f>
        <v/>
      </c>
      <c r="B1194" t="inlineStr">
        <is>
          <t>46:40</t>
        </is>
      </c>
      <c r="C1194" t="inlineStr">
        <is>
          <t>this would be both my direct
team and also the support</t>
        </is>
      </c>
      <c r="D1194">
        <f>HYPERLINK("https://www.youtube.com/watch?v=5vljHeCB4ok&amp;t=2800s", "Go to time")</f>
        <v/>
      </c>
    </row>
    <row r="1195">
      <c r="A1195">
        <f>HYPERLINK("https://www.youtube.com/watch?v=5vljHeCB4ok", "Video")</f>
        <v/>
      </c>
      <c r="B1195" t="inlineStr">
        <is>
          <t>51:56</t>
        </is>
      </c>
      <c r="C1195" t="inlineStr">
        <is>
          <t>Channel your energy into
a different direction.</t>
        </is>
      </c>
      <c r="D1195">
        <f>HYPERLINK("https://www.youtube.com/watch?v=5vljHeCB4ok&amp;t=3116s", "Go to time")</f>
        <v/>
      </c>
    </row>
    <row r="1196">
      <c r="A1196">
        <f>HYPERLINK("https://www.youtube.com/watch?v=CDe1g1IsEGY", "Video")</f>
        <v/>
      </c>
      <c r="B1196" t="inlineStr">
        <is>
          <t>6:55</t>
        </is>
      </c>
      <c r="C1196" t="inlineStr">
        <is>
          <t>you don't actually
have a direct role.</t>
        </is>
      </c>
      <c r="D1196">
        <f>HYPERLINK("https://www.youtube.com/watch?v=CDe1g1IsEGY&amp;t=415s", "Go to time")</f>
        <v/>
      </c>
    </row>
    <row r="1197">
      <c r="A1197">
        <f>HYPERLINK("https://www.youtube.com/watch?v=YUwN9dI8MIc", "Video")</f>
        <v/>
      </c>
      <c r="B1197" t="inlineStr">
        <is>
          <t>2:39</t>
        </is>
      </c>
      <c r="C1197" t="inlineStr">
        <is>
          <t>So we're truly in a race
between the dire consequences</t>
        </is>
      </c>
      <c r="D1197">
        <f>HYPERLINK("https://www.youtube.com/watch?v=YUwN9dI8MIc&amp;t=159s", "Go to time")</f>
        <v/>
      </c>
    </row>
    <row r="1198">
      <c r="A1198">
        <f>HYPERLINK("https://www.youtube.com/watch?v=YUwN9dI8MIc", "Video")</f>
        <v/>
      </c>
      <c r="B1198" t="inlineStr">
        <is>
          <t>36:39</t>
        </is>
      </c>
      <c r="C1198" t="inlineStr">
        <is>
          <t>and that's another form
of indirect collaboration.</t>
        </is>
      </c>
      <c r="D1198">
        <f>HYPERLINK("https://www.youtube.com/watch?v=YUwN9dI8MIc&amp;t=2199s", "Go to time")</f>
        <v/>
      </c>
    </row>
    <row r="1199">
      <c r="A1199">
        <f>HYPERLINK("https://www.youtube.com/watch?v=n_-S8paMO2I", "Video")</f>
        <v/>
      </c>
      <c r="B1199" t="inlineStr">
        <is>
          <t>5:33</t>
        </is>
      </c>
      <c r="C1199" t="inlineStr">
        <is>
          <t>Then I'm going to be a
director, and then I'm</t>
        </is>
      </c>
      <c r="D1199">
        <f>HYPERLINK("https://www.youtube.com/watch?v=n_-S8paMO2I&amp;t=333s", "Go to time")</f>
        <v/>
      </c>
    </row>
    <row r="1200">
      <c r="A1200">
        <f>HYPERLINK("https://www.youtube.com/watch?v=jbj4wwchkcE", "Video")</f>
        <v/>
      </c>
      <c r="B1200" t="inlineStr">
        <is>
          <t>34:46</t>
        </is>
      </c>
      <c r="C1200" t="inlineStr">
        <is>
          <t>Once it hits the turf, it can
go in all kinds of directions.</t>
        </is>
      </c>
      <c r="D1200">
        <f>HYPERLINK("https://www.youtube.com/watch?v=jbj4wwchkcE&amp;t=2086s", "Go to time")</f>
        <v/>
      </c>
    </row>
    <row r="1201">
      <c r="A1201">
        <f>HYPERLINK("https://www.youtube.com/watch?v=CKuY8x2gcpE", "Video")</f>
        <v/>
      </c>
      <c r="B1201" t="inlineStr">
        <is>
          <t>3:38</t>
        </is>
      </c>
      <c r="C1201" t="inlineStr">
        <is>
          <t>are ones where you're looking
directly at the camera</t>
        </is>
      </c>
      <c r="D1201">
        <f>HYPERLINK("https://www.youtube.com/watch?v=CKuY8x2gcpE&amp;t=218s", "Go to time")</f>
        <v/>
      </c>
    </row>
    <row r="1202">
      <c r="A1202">
        <f>HYPERLINK("https://www.youtube.com/watch?v=LKKkaqsd_iQ", "Video")</f>
        <v/>
      </c>
      <c r="B1202" t="inlineStr">
        <is>
          <t>20:15</t>
        </is>
      </c>
      <c r="C1202" t="inlineStr">
        <is>
          <t>with her direct reports--
not just the good parts,</t>
        </is>
      </c>
      <c r="D1202">
        <f>HYPERLINK("https://www.youtube.com/watch?v=LKKkaqsd_iQ&amp;t=1215s", "Go to time")</f>
        <v/>
      </c>
    </row>
    <row r="1203">
      <c r="A1203">
        <f>HYPERLINK("https://www.youtube.com/watch?v=Cz3dV0TTSQc", "Video")</f>
        <v/>
      </c>
      <c r="B1203" t="inlineStr">
        <is>
          <t>14:48</t>
        </is>
      </c>
      <c r="C1203" t="inlineStr">
        <is>
          <t>to begin moving in the
direction that you thought</t>
        </is>
      </c>
      <c r="D1203">
        <f>HYPERLINK("https://www.youtube.com/watch?v=Cz3dV0TTSQc&amp;t=888s", "Go to time")</f>
        <v/>
      </c>
    </row>
    <row r="1204">
      <c r="A1204">
        <f>HYPERLINK("https://www.youtube.com/watch?v=Cz3dV0TTSQc", "Video")</f>
        <v/>
      </c>
      <c r="B1204" t="inlineStr">
        <is>
          <t>23:38</t>
        </is>
      </c>
      <c r="C1204" t="inlineStr">
        <is>
          <t>When you talk to those
managers' direct reports,</t>
        </is>
      </c>
      <c r="D1204">
        <f>HYPERLINK("https://www.youtube.com/watch?v=Cz3dV0TTSQc&amp;t=1418s", "Go to time")</f>
        <v/>
      </c>
    </row>
    <row r="1205">
      <c r="A1205">
        <f>HYPERLINK("https://www.youtube.com/watch?v=oq3FR3IyLR0", "Video")</f>
        <v/>
      </c>
      <c r="B1205" t="inlineStr">
        <is>
          <t>5:45</t>
        </is>
      </c>
      <c r="C1205" t="inlineStr">
        <is>
          <t>moved to the front burner,
and directly linked</t>
        </is>
      </c>
      <c r="D1205">
        <f>HYPERLINK("https://www.youtube.com/watch?v=oq3FR3IyLR0&amp;t=345s", "Go to time")</f>
        <v/>
      </c>
    </row>
    <row r="1206">
      <c r="A1206">
        <f>HYPERLINK("https://www.youtube.com/watch?v=oq3FR3IyLR0", "Video")</f>
        <v/>
      </c>
      <c r="B1206" t="inlineStr">
        <is>
          <t>12:48</t>
        </is>
      </c>
      <c r="C1206" t="inlineStr">
        <is>
          <t>make a real direct difference
to our levels of stress</t>
        </is>
      </c>
      <c r="D1206">
        <f>HYPERLINK("https://www.youtube.com/watch?v=oq3FR3IyLR0&amp;t=768s", "Go to time")</f>
        <v/>
      </c>
    </row>
    <row r="1207">
      <c r="A1207">
        <f>HYPERLINK("https://www.youtube.com/watch?v=oq3FR3IyLR0", "Video")</f>
        <v/>
      </c>
      <c r="B1207" t="inlineStr">
        <is>
          <t>32:52</t>
        </is>
      </c>
      <c r="C1207" t="inlineStr">
        <is>
          <t>our broadcast
director, Karen Player</t>
        </is>
      </c>
      <c r="D1207">
        <f>HYPERLINK("https://www.youtube.com/watch?v=oq3FR3IyLR0&amp;t=1972s", "Go to time")</f>
        <v/>
      </c>
    </row>
    <row r="1208">
      <c r="A1208">
        <f>HYPERLINK("https://www.youtube.com/watch?v=kbxz5WYiLZQ", "Video")</f>
        <v/>
      </c>
      <c r="B1208" t="inlineStr">
        <is>
          <t>0:48</t>
        </is>
      </c>
      <c r="C1208" t="inlineStr">
        <is>
          <t>to hear directly from you, or
ask you questions, or whatever.</t>
        </is>
      </c>
      <c r="D1208">
        <f>HYPERLINK("https://www.youtube.com/watch?v=kbxz5WYiLZQ&amp;t=48s", "Go to time")</f>
        <v/>
      </c>
    </row>
    <row r="1209">
      <c r="A1209">
        <f>HYPERLINK("https://www.youtube.com/watch?v=kbxz5WYiLZQ", "Video")</f>
        <v/>
      </c>
      <c r="B1209" t="inlineStr">
        <is>
          <t>20:48</t>
        </is>
      </c>
      <c r="C1209" t="inlineStr">
        <is>
          <t>I think retirement is a
change in your direction.</t>
        </is>
      </c>
      <c r="D1209">
        <f>HYPERLINK("https://www.youtube.com/watch?v=kbxz5WYiLZQ&amp;t=1248s", "Go to time")</f>
        <v/>
      </c>
    </row>
    <row r="1210">
      <c r="A1210">
        <f>HYPERLINK("https://www.youtube.com/watch?v=QMu5xiEHlRs", "Video")</f>
        <v/>
      </c>
      <c r="B1210" t="inlineStr">
        <is>
          <t>16:59</t>
        </is>
      </c>
      <c r="C1210" t="inlineStr">
        <is>
          <t>that are issued directly by a government</t>
        </is>
      </c>
      <c r="D1210">
        <f>HYPERLINK("https://www.youtube.com/watch?v=QMu5xiEHlRs&amp;t=1019s", "Go to time")</f>
        <v/>
      </c>
    </row>
    <row r="1211">
      <c r="A1211">
        <f>HYPERLINK("https://www.youtube.com/watch?v=wjy_GCrZTnQ", "Video")</f>
        <v/>
      </c>
      <c r="B1211" t="inlineStr">
        <is>
          <t>13:34</t>
        </is>
      </c>
      <c r="C1211" t="inlineStr">
        <is>
          <t>so which direction would you like to go</t>
        </is>
      </c>
      <c r="D1211">
        <f>HYPERLINK("https://www.youtube.com/watch?v=wjy_GCrZTnQ&amp;t=814s", "Go to time")</f>
        <v/>
      </c>
    </row>
    <row r="1212">
      <c r="A1212">
        <f>HYPERLINK("https://www.youtube.com/watch?v=wjy_GCrZTnQ", "Video")</f>
        <v/>
      </c>
      <c r="B1212" t="inlineStr">
        <is>
          <t>34:51</t>
        </is>
      </c>
      <c r="C1212" t="inlineStr">
        <is>
          <t>different direction you refuse to go</t>
        </is>
      </c>
      <c r="D1212">
        <f>HYPERLINK("https://www.youtube.com/watch?v=wjy_GCrZTnQ&amp;t=2091s", "Go to time")</f>
        <v/>
      </c>
    </row>
    <row r="1213">
      <c r="A1213">
        <f>HYPERLINK("https://www.youtube.com/watch?v=uXyF_ZGkzWA", "Video")</f>
        <v/>
      </c>
      <c r="B1213" t="inlineStr">
        <is>
          <t>0:58</t>
        </is>
      </c>
      <c r="C1213" t="inlineStr">
        <is>
          <t>bucket is going to be directly attended</t>
        </is>
      </c>
      <c r="D1213">
        <f>HYPERLINK("https://www.youtube.com/watch?v=uXyF_ZGkzWA&amp;t=58s", "Go to time")</f>
        <v/>
      </c>
    </row>
    <row r="1214">
      <c r="A1214">
        <f>HYPERLINK("https://www.youtube.com/watch?v=IXKcAwZKjTk", "Video")</f>
        <v/>
      </c>
      <c r="B1214" t="inlineStr">
        <is>
          <t>0:12</t>
        </is>
      </c>
      <c r="C1214" t="inlineStr">
        <is>
          <t>Wei Song is a director at
R&amp;S overseeing greater China</t>
        </is>
      </c>
      <c r="D1214">
        <f>HYPERLINK("https://www.youtube.com/watch?v=IXKcAwZKjTk&amp;t=12s", "Go to time")</f>
        <v/>
      </c>
    </row>
    <row r="1215">
      <c r="A1215">
        <f>HYPERLINK("https://www.youtube.com/watch?v=IXKcAwZKjTk", "Video")</f>
        <v/>
      </c>
      <c r="B1215" t="inlineStr">
        <is>
          <t>3:43</t>
        </is>
      </c>
      <c r="C1215" t="inlineStr">
        <is>
          <t>considering a new direction.</t>
        </is>
      </c>
      <c r="D1215">
        <f>HYPERLINK("https://www.youtube.com/watch?v=IXKcAwZKjTk&amp;t=223s", "Go to time")</f>
        <v/>
      </c>
    </row>
    <row r="1216">
      <c r="A1216">
        <f>HYPERLINK("https://www.youtube.com/watch?v=qRSrgLtok7I", "Video")</f>
        <v/>
      </c>
      <c r="B1216" t="inlineStr">
        <is>
          <t>3:29</t>
        </is>
      </c>
      <c r="C1216" t="inlineStr">
        <is>
          <t>shift a bit and not in a good direction</t>
        </is>
      </c>
      <c r="D1216">
        <f>HYPERLINK("https://www.youtube.com/watch?v=qRSrgLtok7I&amp;t=209s", "Go to time")</f>
        <v/>
      </c>
    </row>
    <row r="1217">
      <c r="A1217">
        <f>HYPERLINK("https://www.youtube.com/watch?v=qRSrgLtok7I", "Video")</f>
        <v/>
      </c>
      <c r="B1217" t="inlineStr">
        <is>
          <t>4:58</t>
        </is>
      </c>
      <c r="C1217" t="inlineStr">
        <is>
          <t>that is heard they set the direction the</t>
        </is>
      </c>
      <c r="D1217">
        <f>HYPERLINK("https://www.youtube.com/watch?v=qRSrgLtok7I&amp;t=298s", "Go to time")</f>
        <v/>
      </c>
    </row>
    <row r="1218">
      <c r="A1218">
        <f>HYPERLINK("https://www.youtube.com/watch?v=oc6hDUZPXmQ", "Video")</f>
        <v/>
      </c>
      <c r="B1218" t="inlineStr">
        <is>
          <t>1:27</t>
        </is>
      </c>
      <c r="C1218" t="inlineStr">
        <is>
          <t>watching the director.</t>
        </is>
      </c>
      <c r="D1218">
        <f>HYPERLINK("https://www.youtube.com/watch?v=oc6hDUZPXmQ&amp;t=87s", "Go to time")</f>
        <v/>
      </c>
    </row>
    <row r="1219">
      <c r="A1219">
        <f>HYPERLINK("https://www.youtube.com/watch?v=oc6hDUZPXmQ", "Video")</f>
        <v/>
      </c>
      <c r="B1219" t="inlineStr">
        <is>
          <t>11:15</t>
        </is>
      </c>
      <c r="C1219" t="inlineStr">
        <is>
          <t>I like when I'm speaking
directly to someone,</t>
        </is>
      </c>
      <c r="D1219">
        <f>HYPERLINK("https://www.youtube.com/watch?v=oc6hDUZPXmQ&amp;t=675s", "Go to time")</f>
        <v/>
      </c>
    </row>
    <row r="1220">
      <c r="A1220">
        <f>HYPERLINK("https://www.youtube.com/watch?v=8yPmAMt9IkQ", "Video")</f>
        <v/>
      </c>
      <c r="B1220" t="inlineStr">
        <is>
          <t>1:52</t>
        </is>
      </c>
      <c r="C1220" t="inlineStr">
        <is>
          <t>osterholm the director of the center of</t>
        </is>
      </c>
      <c r="D1220">
        <f>HYPERLINK("https://www.youtube.com/watch?v=8yPmAMt9IkQ&amp;t=112s", "Go to time")</f>
        <v/>
      </c>
    </row>
    <row r="1221">
      <c r="A1221">
        <f>HYPERLINK("https://www.youtube.com/watch?v=kUurHa9i7oQ", "Video")</f>
        <v/>
      </c>
      <c r="B1221" t="inlineStr">
        <is>
          <t>3:11</t>
        </is>
      </c>
      <c r="C1221" t="inlineStr">
        <is>
          <t>now belong in “Delegate”. If people still come 
to you for these tasks, redirect them graciously.</t>
        </is>
      </c>
      <c r="D1221">
        <f>HYPERLINK("https://www.youtube.com/watch?v=kUurHa9i7oQ&amp;t=191s", "Go to time")</f>
        <v/>
      </c>
    </row>
    <row r="1222">
      <c r="A1222">
        <f>HYPERLINK("https://www.youtube.com/watch?v=qFhaQDikLWE", "Video")</f>
        <v/>
      </c>
      <c r="B1222" t="inlineStr">
        <is>
          <t>16:36</t>
        </is>
      </c>
      <c r="C1222" t="inlineStr">
        <is>
          <t>use direct democracy that
can put final five voting</t>
        </is>
      </c>
      <c r="D1222">
        <f>HYPERLINK("https://www.youtube.com/watch?v=qFhaQDikLWE&amp;t=996s", "Go to time")</f>
        <v/>
      </c>
    </row>
    <row r="1223">
      <c r="A1223">
        <f>HYPERLINK("https://www.youtube.com/watch?v=qFhaQDikLWE", "Video")</f>
        <v/>
      </c>
      <c r="B1223" t="inlineStr">
        <is>
          <t>19:06</t>
        </is>
      </c>
      <c r="C1223" t="inlineStr">
        <is>
          <t>tied directly to
value to the customer</t>
        </is>
      </c>
      <c r="D1223">
        <f>HYPERLINK("https://www.youtube.com/watch?v=qFhaQDikLWE&amp;t=1146s", "Go to time")</f>
        <v/>
      </c>
    </row>
    <row r="1224">
      <c r="A1224">
        <f>HYPERLINK("https://www.youtube.com/watch?v=6Y-LzLCv_tE", "Video")</f>
        <v/>
      </c>
      <c r="B1224" t="inlineStr">
        <is>
          <t>0:58</t>
        </is>
      </c>
      <c r="C1224" t="inlineStr">
        <is>
          <t>At PayPal, she was director of
Corporate Strategy and Product</t>
        </is>
      </c>
      <c r="D1224">
        <f>HYPERLINK("https://www.youtube.com/watch?v=6Y-LzLCv_tE&amp;t=58s", "Go to time")</f>
        <v/>
      </c>
    </row>
    <row r="1225">
      <c r="A1225">
        <f>HYPERLINK("https://www.youtube.com/watch?v=mYF2_FBCvXw", "Video")</f>
        <v/>
      </c>
      <c r="B1225" t="inlineStr">
        <is>
          <t>0:01</t>
        </is>
      </c>
      <c r="C1225" t="inlineStr">
        <is>
          <t>&gt;&gt; THOMAS STEWART: I am Tom Stewart, Editor
and Managing Director of the Harvard Business</t>
        </is>
      </c>
      <c r="D1225">
        <f>HYPERLINK("https://www.youtube.com/watch?v=mYF2_FBCvXw&amp;t=1s", "Go to time")</f>
        <v/>
      </c>
    </row>
    <row r="1226">
      <c r="A1226">
        <f>HYPERLINK("https://www.youtube.com/watch?v=mYF2_FBCvXw", "Video")</f>
        <v/>
      </c>
      <c r="B1226" t="inlineStr">
        <is>
          <t>0:53</t>
        </is>
      </c>
      <c r="C1226" t="inlineStr">
        <is>
          <t>say that, yes you are competing with your
direct competitors, but you are also in a</t>
        </is>
      </c>
      <c r="D1226">
        <f>HYPERLINK("https://www.youtube.com/watch?v=mYF2_FBCvXw&amp;t=53s", "Go to time")</f>
        <v/>
      </c>
    </row>
    <row r="1227">
      <c r="A1227">
        <f>HYPERLINK("https://www.youtube.com/watch?v=58Lgm5i1pRE", "Video")</f>
        <v/>
      </c>
      <c r="B1227" t="inlineStr">
        <is>
          <t>48:10</t>
        </is>
      </c>
      <c r="C1227" t="inlineStr">
        <is>
          <t>very direct way</t>
        </is>
      </c>
      <c r="D1227">
        <f>HYPERLINK("https://www.youtube.com/watch?v=58Lgm5i1pRE&amp;t=2890s", "Go to time")</f>
        <v/>
      </c>
    </row>
    <row r="1228">
      <c r="A1228">
        <f>HYPERLINK("https://www.youtube.com/watch?v=58Lgm5i1pRE", "Video")</f>
        <v/>
      </c>
      <c r="B1228" t="inlineStr">
        <is>
          <t>52:05</t>
        </is>
      </c>
      <c r="C1228" t="inlineStr">
        <is>
          <t>the extent to which the direction of</t>
        </is>
      </c>
      <c r="D1228">
        <f>HYPERLINK("https://www.youtube.com/watch?v=58Lgm5i1pRE&amp;t=3125s", "Go to time")</f>
        <v/>
      </c>
    </row>
    <row r="1229">
      <c r="A1229">
        <f>HYPERLINK("https://www.youtube.com/watch?v=58Lgm5i1pRE", "Video")</f>
        <v/>
      </c>
      <c r="B1229" t="inlineStr">
        <is>
          <t>52:20</t>
        </is>
      </c>
      <c r="C1229" t="inlineStr">
        <is>
          <t>but the direction and the purpose</t>
        </is>
      </c>
      <c r="D1229">
        <f>HYPERLINK("https://www.youtube.com/watch?v=58Lgm5i1pRE&amp;t=3140s", "Go to time")</f>
        <v/>
      </c>
    </row>
    <row r="1230">
      <c r="A1230">
        <f>HYPERLINK("https://www.youtube.com/watch?v=58Lgm5i1pRE", "Video")</f>
        <v/>
      </c>
      <c r="B1230" t="inlineStr">
        <is>
          <t>54:09</t>
        </is>
      </c>
      <c r="C1230" t="inlineStr">
        <is>
          <t>about the direction of technology and</t>
        </is>
      </c>
      <c r="D1230">
        <f>HYPERLINK("https://www.youtube.com/watch?v=58Lgm5i1pRE&amp;t=3249s", "Go to time")</f>
        <v/>
      </c>
    </row>
    <row r="1231">
      <c r="A1231">
        <f>HYPERLINK("https://www.youtube.com/watch?v=58Lgm5i1pRE", "Video")</f>
        <v/>
      </c>
      <c r="B1231" t="inlineStr">
        <is>
          <t>55:09</t>
        </is>
      </c>
      <c r="C1231" t="inlineStr">
        <is>
          <t>in the direction</t>
        </is>
      </c>
      <c r="D1231">
        <f>HYPERLINK("https://www.youtube.com/watch?v=58Lgm5i1pRE&amp;t=3309s", "Go to time")</f>
        <v/>
      </c>
    </row>
    <row r="1232">
      <c r="A1232">
        <f>HYPERLINK("https://www.youtube.com/watch?v=oogtaawdbuM", "Video")</f>
        <v/>
      </c>
      <c r="B1232" t="inlineStr">
        <is>
          <t>5:00</t>
        </is>
      </c>
      <c r="C1232" t="inlineStr">
        <is>
          <t>directly, but it's
more like evocative.</t>
        </is>
      </c>
      <c r="D1232">
        <f>HYPERLINK("https://www.youtube.com/watch?v=oogtaawdbuM&amp;t=300s", "Go to time")</f>
        <v/>
      </c>
    </row>
    <row r="1233">
      <c r="A1233">
        <f>HYPERLINK("https://www.youtube.com/watch?v=oogtaawdbuM", "Video")</f>
        <v/>
      </c>
      <c r="B1233" t="inlineStr">
        <is>
          <t>7:50</t>
        </is>
      </c>
      <c r="C1233" t="inlineStr">
        <is>
          <t>like information directly
without asking people</t>
        </is>
      </c>
      <c r="D1233">
        <f>HYPERLINK("https://www.youtube.com/watch?v=oogtaawdbuM&amp;t=470s", "Go to time")</f>
        <v/>
      </c>
    </row>
    <row r="1234">
      <c r="A1234">
        <f>HYPERLINK("https://www.youtube.com/watch?v=GuzSM88qWko", "Video")</f>
        <v/>
      </c>
      <c r="B1234" t="inlineStr">
        <is>
          <t>1:22</t>
        </is>
      </c>
      <c r="C1234" t="inlineStr">
        <is>
          <t>relates directly to
the ideas in your book.</t>
        </is>
      </c>
      <c r="D1234">
        <f>HYPERLINK("https://www.youtube.com/watch?v=GuzSM88qWko&amp;t=82s", "Go to time")</f>
        <v/>
      </c>
    </row>
    <row r="1235">
      <c r="A1235">
        <f>HYPERLINK("https://www.youtube.com/watch?v=GuzSM88qWko", "Video")</f>
        <v/>
      </c>
      <c r="B1235" t="inlineStr">
        <is>
          <t>1:33</t>
        </is>
      </c>
      <c r="C1235" t="inlineStr">
        <is>
          <t>lean in one direction
or the other.</t>
        </is>
      </c>
      <c r="D1235">
        <f>HYPERLINK("https://www.youtube.com/watch?v=GuzSM88qWko&amp;t=93s", "Go to time")</f>
        <v/>
      </c>
    </row>
    <row r="1236">
      <c r="A1236">
        <f>HYPERLINK("https://www.youtube.com/watch?v=GuzSM88qWko", "Video")</f>
        <v/>
      </c>
      <c r="B1236" t="inlineStr">
        <is>
          <t>23:35</t>
        </is>
      </c>
      <c r="C1236" t="inlineStr">
        <is>
          <t>I call directional.</t>
        </is>
      </c>
      <c r="D1236">
        <f>HYPERLINK("https://www.youtube.com/watch?v=GuzSM88qWko&amp;t=1415s", "Go to time")</f>
        <v/>
      </c>
    </row>
    <row r="1237">
      <c r="A1237">
        <f>HYPERLINK("https://www.youtube.com/watch?v=GuzSM88qWko", "Video")</f>
        <v/>
      </c>
      <c r="B1237" t="inlineStr">
        <is>
          <t>23:37</t>
        </is>
      </c>
      <c r="C1237" t="inlineStr">
        <is>
          <t>a directional benefit,
clarity of strategy,</t>
        </is>
      </c>
      <c r="D1237">
        <f>HYPERLINK("https://www.youtube.com/watch?v=GuzSM88qWko&amp;t=1417s", "Go to time")</f>
        <v/>
      </c>
    </row>
    <row r="1238">
      <c r="A1238">
        <f>HYPERLINK("https://www.youtube.com/watch?v=5lWQ_YXeVVQ", "Video")</f>
        <v/>
      </c>
      <c r="B1238" t="inlineStr">
        <is>
          <t>1:41</t>
        </is>
      </c>
      <c r="C1238" t="inlineStr">
        <is>
          <t>people in a direct way.</t>
        </is>
      </c>
      <c r="D1238">
        <f>HYPERLINK("https://www.youtube.com/watch?v=5lWQ_YXeVVQ&amp;t=101s", "Go to time")</f>
        <v/>
      </c>
    </row>
    <row r="1239">
      <c r="A1239">
        <f>HYPERLINK("https://www.youtube.com/watch?v=5lWQ_YXeVVQ", "Video")</f>
        <v/>
      </c>
      <c r="B1239" t="inlineStr">
        <is>
          <t>2:12</t>
        </is>
      </c>
      <c r="C1239" t="inlineStr">
        <is>
          <t>bringing me on as the
executive director,</t>
        </is>
      </c>
      <c r="D1239">
        <f>HYPERLINK("https://www.youtube.com/watch?v=5lWQ_YXeVVQ&amp;t=132s", "Go to time")</f>
        <v/>
      </c>
    </row>
    <row r="1240">
      <c r="A1240">
        <f>HYPERLINK("https://www.youtube.com/watch?v=5lWQ_YXeVVQ", "Video")</f>
        <v/>
      </c>
      <c r="B1240" t="inlineStr">
        <is>
          <t>4:07</t>
        </is>
      </c>
      <c r="C1240" t="inlineStr">
        <is>
          <t>I had been trying so
hard to be direct.</t>
        </is>
      </c>
      <c r="D1240">
        <f>HYPERLINK("https://www.youtube.com/watch?v=5lWQ_YXeVVQ&amp;t=247s", "Go to time")</f>
        <v/>
      </c>
    </row>
    <row r="1241">
      <c r="A1241">
        <f>HYPERLINK("https://www.youtube.com/watch?v=5lWQ_YXeVVQ", "Video")</f>
        <v/>
      </c>
      <c r="B1241" t="inlineStr">
        <is>
          <t>4:30</t>
        </is>
      </c>
      <c r="C1241" t="inlineStr">
        <is>
          <t>I did every-- direct
conversations, finally,</t>
        </is>
      </c>
      <c r="D1241">
        <f>HYPERLINK("https://www.youtube.com/watch?v=5lWQ_YXeVVQ&amp;t=270s", "Go to time")</f>
        <v/>
      </c>
    </row>
    <row r="1242">
      <c r="A1242">
        <f>HYPERLINK("https://www.youtube.com/watch?v=5lWQ_YXeVVQ", "Video")</f>
        <v/>
      </c>
      <c r="B1242" t="inlineStr">
        <is>
          <t>14:13</t>
        </is>
      </c>
      <c r="C1242" t="inlineStr">
        <is>
          <t>and this is what I'm seeing from
a lot of executive directors</t>
        </is>
      </c>
      <c r="D1242">
        <f>HYPERLINK("https://www.youtube.com/watch?v=5lWQ_YXeVVQ&amp;t=853s", "Go to time")</f>
        <v/>
      </c>
    </row>
    <row r="1243">
      <c r="A1243">
        <f>HYPERLINK("https://www.youtube.com/watch?v=5lWQ_YXeVVQ", "Video")</f>
        <v/>
      </c>
      <c r="B1243" t="inlineStr">
        <is>
          <t>19:06</t>
        </is>
      </c>
      <c r="C1243" t="inlineStr">
        <is>
          <t>in a certain direction.</t>
        </is>
      </c>
      <c r="D1243">
        <f>HYPERLINK("https://www.youtube.com/watch?v=5lWQ_YXeVVQ&amp;t=1146s", "Go to time")</f>
        <v/>
      </c>
    </row>
    <row r="1244">
      <c r="A1244">
        <f>HYPERLINK("https://www.youtube.com/watch?v=5lWQ_YXeVVQ", "Video")</f>
        <v/>
      </c>
      <c r="B1244" t="inlineStr">
        <is>
          <t>19:42</t>
        </is>
      </c>
      <c r="C1244" t="inlineStr">
        <is>
          <t>to the direct impact work that
you've done as a humanitarian,</t>
        </is>
      </c>
      <c r="D1244">
        <f>HYPERLINK("https://www.youtube.com/watch?v=5lWQ_YXeVVQ&amp;t=1182s", "Go to time")</f>
        <v/>
      </c>
    </row>
    <row r="1245">
      <c r="A1245">
        <f>HYPERLINK("https://www.youtube.com/watch?v=5lWQ_YXeVVQ", "Video")</f>
        <v/>
      </c>
      <c r="B1245" t="inlineStr">
        <is>
          <t>26:44</t>
        </is>
      </c>
      <c r="C1245" t="inlineStr">
        <is>
          <t>and beyond the program
director and just--</t>
        </is>
      </c>
      <c r="D1245">
        <f>HYPERLINK("https://www.youtube.com/watch?v=5lWQ_YXeVVQ&amp;t=1604s", "Go to time")</f>
        <v/>
      </c>
    </row>
    <row r="1246">
      <c r="A1246">
        <f>HYPERLINK("https://www.youtube.com/watch?v=5lWQ_YXeVVQ", "Video")</f>
        <v/>
      </c>
      <c r="B1246" t="inlineStr">
        <is>
          <t>33:39</t>
        </is>
      </c>
      <c r="C1246" t="inlineStr">
        <is>
          <t>to now the leader as
executive director,</t>
        </is>
      </c>
      <c r="D1246">
        <f>HYPERLINK("https://www.youtube.com/watch?v=5lWQ_YXeVVQ&amp;t=2019s", "Go to time")</f>
        <v/>
      </c>
    </row>
    <row r="1247">
      <c r="A1247">
        <f>HYPERLINK("https://www.youtube.com/watch?v=5lWQ_YXeVVQ", "Video")</f>
        <v/>
      </c>
      <c r="B1247" t="inlineStr">
        <is>
          <t>33:48</t>
        </is>
      </c>
      <c r="C1247" t="inlineStr">
        <is>
          <t>been the founder and
executive director</t>
        </is>
      </c>
      <c r="D1247">
        <f>HYPERLINK("https://www.youtube.com/watch?v=5lWQ_YXeVVQ&amp;t=2028s", "Go to time")</f>
        <v/>
      </c>
    </row>
    <row r="1248">
      <c r="A1248">
        <f>HYPERLINK("https://www.youtube.com/watch?v=5lWQ_YXeVVQ", "Video")</f>
        <v/>
      </c>
      <c r="B1248" t="inlineStr">
        <is>
          <t>41:09</t>
        </is>
      </c>
      <c r="C1248" t="inlineStr">
        <is>
          <t>because I'm clearly not giving
you any type of direct answer,</t>
        </is>
      </c>
      <c r="D1248">
        <f>HYPERLINK("https://www.youtube.com/watch?v=5lWQ_YXeVVQ&amp;t=2469s", "Go to time")</f>
        <v/>
      </c>
    </row>
    <row r="1249">
      <c r="A1249">
        <f>HYPERLINK("https://www.youtube.com/watch?v=5lWQ_YXeVVQ", "Video")</f>
        <v/>
      </c>
      <c r="B1249" t="inlineStr">
        <is>
          <t>42:46</t>
        </is>
      </c>
      <c r="C1249" t="inlineStr">
        <is>
          <t>until they're really ready
for an executive director?</t>
        </is>
      </c>
      <c r="D1249">
        <f>HYPERLINK("https://www.youtube.com/watch?v=5lWQ_YXeVVQ&amp;t=2566s", "Go to time")</f>
        <v/>
      </c>
    </row>
    <row r="1250">
      <c r="A1250">
        <f>HYPERLINK("https://www.youtube.com/watch?v=5lWQ_YXeVVQ", "Video")</f>
        <v/>
      </c>
      <c r="B1250" t="inlineStr">
        <is>
          <t>43:00</t>
        </is>
      </c>
      <c r="C1250" t="inlineStr">
        <is>
          <t>I don't think that I should be
getting an executive director's</t>
        </is>
      </c>
      <c r="D1250">
        <f>HYPERLINK("https://www.youtube.com/watch?v=5lWQ_YXeVVQ&amp;t=2580s", "Go to time")</f>
        <v/>
      </c>
    </row>
    <row r="1251">
      <c r="A1251">
        <f>HYPERLINK("https://www.youtube.com/watch?v=5lWQ_YXeVVQ", "Video")</f>
        <v/>
      </c>
      <c r="B1251" t="inlineStr">
        <is>
          <t>43:06</t>
        </is>
      </c>
      <c r="C1251" t="inlineStr">
        <is>
          <t>have an executive director
that's got a very clear vision.</t>
        </is>
      </c>
      <c r="D1251">
        <f>HYPERLINK("https://www.youtube.com/watch?v=5lWQ_YXeVVQ&amp;t=2586s", "Go to time")</f>
        <v/>
      </c>
    </row>
    <row r="1252">
      <c r="A1252">
        <f>HYPERLINK("https://www.youtube.com/watch?v=5lWQ_YXeVVQ", "Video")</f>
        <v/>
      </c>
      <c r="B1252" t="inlineStr">
        <is>
          <t>47:45</t>
        </is>
      </c>
      <c r="C1252" t="inlineStr">
        <is>
          <t>moving in the right direction?</t>
        </is>
      </c>
      <c r="D1252">
        <f>HYPERLINK("https://www.youtube.com/watch?v=5lWQ_YXeVVQ&amp;t=2865s", "Go to time")</f>
        <v/>
      </c>
    </row>
    <row r="1253">
      <c r="A1253">
        <f>HYPERLINK("https://www.youtube.com/watch?v=5lWQ_YXeVVQ", "Video")</f>
        <v/>
      </c>
      <c r="B1253" t="inlineStr">
        <is>
          <t>48:36</t>
        </is>
      </c>
      <c r="C1253" t="inlineStr">
        <is>
          <t>And that is the role of
an executive director.</t>
        </is>
      </c>
      <c r="D1253">
        <f>HYPERLINK("https://www.youtube.com/watch?v=5lWQ_YXeVVQ&amp;t=2916s", "Go to time")</f>
        <v/>
      </c>
    </row>
    <row r="1254">
      <c r="A1254">
        <f>HYPERLINK("https://www.youtube.com/watch?v=5lWQ_YXeVVQ", "Video")</f>
        <v/>
      </c>
      <c r="B1254" t="inlineStr">
        <is>
          <t>48:50</t>
        </is>
      </c>
      <c r="C1254" t="inlineStr">
        <is>
          <t>personality style, if
the executive director</t>
        </is>
      </c>
      <c r="D1254">
        <f>HYPERLINK("https://www.youtube.com/watch?v=5lWQ_YXeVVQ&amp;t=2930s", "Go to time")</f>
        <v/>
      </c>
    </row>
    <row r="1255">
      <c r="A1255">
        <f>HYPERLINK("https://www.youtube.com/watch?v=5lWQ_YXeVVQ", "Video")</f>
        <v/>
      </c>
      <c r="B1255" t="inlineStr">
        <is>
          <t>49:47</t>
        </is>
      </c>
      <c r="C1255" t="inlineStr">
        <is>
          <t>all facing the right
direction, the same direction,</t>
        </is>
      </c>
      <c r="D1255">
        <f>HYPERLINK("https://www.youtube.com/watch?v=5lWQ_YXeVVQ&amp;t=2987s", "Go to time")</f>
        <v/>
      </c>
    </row>
    <row r="1256">
      <c r="A1256">
        <f>HYPERLINK("https://www.youtube.com/watch?v=5lWQ_YXeVVQ", "Video")</f>
        <v/>
      </c>
      <c r="B1256" t="inlineStr">
        <is>
          <t>49:51</t>
        </is>
      </c>
      <c r="C1256" t="inlineStr">
        <is>
          <t>not even the right direction?</t>
        </is>
      </c>
      <c r="D1256">
        <f>HYPERLINK("https://www.youtube.com/watch?v=5lWQ_YXeVVQ&amp;t=2991s", "Go to time")</f>
        <v/>
      </c>
    </row>
    <row r="1257">
      <c r="A1257">
        <f>HYPERLINK("https://www.youtube.com/watch?v=5lWQ_YXeVVQ", "Video")</f>
        <v/>
      </c>
      <c r="B1257" t="inlineStr">
        <is>
          <t>49:52</t>
        </is>
      </c>
      <c r="C1257" t="inlineStr">
        <is>
          <t>Are we all facing
the same direction?</t>
        </is>
      </c>
      <c r="D1257">
        <f>HYPERLINK("https://www.youtube.com/watch?v=5lWQ_YXeVVQ&amp;t=2992s", "Go to time")</f>
        <v/>
      </c>
    </row>
    <row r="1258">
      <c r="A1258">
        <f>HYPERLINK("https://www.youtube.com/watch?v=5lWQ_YXeVVQ", "Video")</f>
        <v/>
      </c>
      <c r="B1258" t="inlineStr">
        <is>
          <t>50:47</t>
        </is>
      </c>
      <c r="C1258" t="inlineStr">
        <is>
          <t>And how much of a role
does the executive director</t>
        </is>
      </c>
      <c r="D1258">
        <f>HYPERLINK("https://www.youtube.com/watch?v=5lWQ_YXeVVQ&amp;t=3047s", "Go to time")</f>
        <v/>
      </c>
    </row>
    <row r="1259">
      <c r="A1259">
        <f>HYPERLINK("https://www.youtube.com/watch?v=DnlT43lxjSg", "Video")</f>
        <v/>
      </c>
      <c r="B1259" t="inlineStr">
        <is>
          <t>0:56</t>
        </is>
      </c>
      <c r="C1259" t="inlineStr">
        <is>
          <t>but while these daily directives reduce</t>
        </is>
      </c>
      <c r="D1259">
        <f>HYPERLINK("https://www.youtube.com/watch?v=DnlT43lxjSg&amp;t=56s", "Go to time")</f>
        <v/>
      </c>
    </row>
    <row r="1260">
      <c r="A1260">
        <f>HYPERLINK("https://www.youtube.com/watch?v=H9-JUHrEgF0", "Video")</f>
        <v/>
      </c>
      <c r="B1260" t="inlineStr">
        <is>
          <t>6:14</t>
        </is>
      </c>
      <c r="C1260" t="inlineStr">
        <is>
          <t>direction, you can see that, OK,
all clear, I got your feedback.</t>
        </is>
      </c>
      <c r="D1260">
        <f>HYPERLINK("https://www.youtube.com/watch?v=H9-JUHrEgF0&amp;t=374s", "Go to time")</f>
        <v/>
      </c>
    </row>
    <row r="1261">
      <c r="A1261">
        <f>HYPERLINK("https://www.youtube.com/watch?v=JrwuTl4Igic", "Video")</f>
        <v/>
      </c>
      <c r="B1261" t="inlineStr">
        <is>
          <t>17:41</t>
        </is>
      </c>
      <c r="C1261" t="inlineStr">
        <is>
          <t>Let me go to one that really
relates directly to what</t>
        </is>
      </c>
      <c r="D1261">
        <f>HYPERLINK("https://www.youtube.com/watch?v=JrwuTl4Igic&amp;t=1061s", "Go to time")</f>
        <v/>
      </c>
    </row>
    <row r="1262">
      <c r="A1262">
        <f>HYPERLINK("https://www.youtube.com/watch?v=JrwuTl4Igic", "Video")</f>
        <v/>
      </c>
      <c r="B1262" t="inlineStr">
        <is>
          <t>30:50</t>
        </is>
      </c>
      <c r="C1262" t="inlineStr">
        <is>
          <t>Dave Di Iulio, who is
our broadcast director.</t>
        </is>
      </c>
      <c r="D1262">
        <f>HYPERLINK("https://www.youtube.com/watch?v=JrwuTl4Igic&amp;t=1850s", "Go to time")</f>
        <v/>
      </c>
    </row>
    <row r="1263">
      <c r="A1263">
        <f>HYPERLINK("https://www.youtube.com/watch?v=rVtY_fyS9kI", "Video")</f>
        <v/>
      </c>
      <c r="B1263" t="inlineStr">
        <is>
          <t>22:37</t>
        </is>
      </c>
      <c r="C1263" t="inlineStr">
        <is>
          <t>power if that isn't directly overlapping</t>
        </is>
      </c>
      <c r="D1263">
        <f>HYPERLINK("https://www.youtube.com/watch?v=rVtY_fyS9kI&amp;t=1357s", "Go to time")</f>
        <v/>
      </c>
    </row>
    <row r="1264">
      <c r="A1264">
        <f>HYPERLINK("https://www.youtube.com/watch?v=rVtY_fyS9kI", "Video")</f>
        <v/>
      </c>
      <c r="B1264" t="inlineStr">
        <is>
          <t>22:45</t>
        </is>
      </c>
      <c r="C1264" t="inlineStr">
        <is>
          <t>recognize that and directly support</t>
        </is>
      </c>
      <c r="D1264">
        <f>HYPERLINK("https://www.youtube.com/watch?v=rVtY_fyS9kI&amp;t=1365s", "Go to time")</f>
        <v/>
      </c>
    </row>
    <row r="1265">
      <c r="A1265">
        <f>HYPERLINK("https://www.youtube.com/watch?v=rVtY_fyS9kI", "Video")</f>
        <v/>
      </c>
      <c r="B1265" t="inlineStr">
        <is>
          <t>29:51</t>
        </is>
      </c>
      <c r="C1265" t="inlineStr">
        <is>
          <t>direct their companies towards taking</t>
        </is>
      </c>
      <c r="D1265">
        <f>HYPERLINK("https://www.youtube.com/watch?v=rVtY_fyS9kI&amp;t=1791s", "Go to time")</f>
        <v/>
      </c>
    </row>
    <row r="1266">
      <c r="A1266">
        <f>HYPERLINK("https://www.youtube.com/watch?v=rVtY_fyS9kI", "Video")</f>
        <v/>
      </c>
      <c r="B1266" t="inlineStr">
        <is>
          <t>30:10</t>
        </is>
      </c>
      <c r="C1266" t="inlineStr">
        <is>
          <t>quickly or or with as much direction as</t>
        </is>
      </c>
      <c r="D1266">
        <f>HYPERLINK("https://www.youtube.com/watch?v=rVtY_fyS9kI&amp;t=1810s", "Go to time")</f>
        <v/>
      </c>
    </row>
    <row r="1267">
      <c r="A1267">
        <f>HYPERLINK("https://www.youtube.com/watch?v=rVtY_fyS9kI", "Video")</f>
        <v/>
      </c>
      <c r="B1267" t="inlineStr">
        <is>
          <t>30:40</t>
        </is>
      </c>
      <c r="C1267" t="inlineStr">
        <is>
          <t>the direction or the end game whatever</t>
        </is>
      </c>
      <c r="D1267">
        <f>HYPERLINK("https://www.youtube.com/watch?v=rVtY_fyS9kI&amp;t=1840s", "Go to time")</f>
        <v/>
      </c>
    </row>
    <row r="1268">
      <c r="A1268">
        <f>HYPERLINK("https://www.youtube.com/watch?v=4HzZXoOPObg", "Video")</f>
        <v/>
      </c>
      <c r="B1268" t="inlineStr">
        <is>
          <t>0:47</t>
        </is>
      </c>
      <c r="C1268" t="inlineStr">
        <is>
          <t>steer the conversation in the direction</t>
        </is>
      </c>
      <c r="D1268">
        <f>HYPERLINK("https://www.youtube.com/watch?v=4HzZXoOPObg&amp;t=47s", "Go to time")</f>
        <v/>
      </c>
    </row>
    <row r="1269">
      <c r="A1269">
        <f>HYPERLINK("https://www.youtube.com/watch?v=1ZDWkl7nA-4", "Video")</f>
        <v/>
      </c>
      <c r="B1269" t="inlineStr">
        <is>
          <t>2:39</t>
        </is>
      </c>
      <c r="C1269" t="inlineStr">
        <is>
          <t>directory that were pulling
1,000 people, 2000 people.</t>
        </is>
      </c>
      <c r="D1269">
        <f>HYPERLINK("https://www.youtube.com/watch?v=1ZDWkl7nA-4&amp;t=159s", "Go to time")</f>
        <v/>
      </c>
    </row>
    <row r="1270">
      <c r="A1270">
        <f>HYPERLINK("https://www.youtube.com/watch?v=aJsmJsd6GIw", "Video")</f>
        <v/>
      </c>
      <c r="B1270" t="inlineStr">
        <is>
          <t>7:48</t>
        </is>
      </c>
      <c r="C1270" t="inlineStr">
        <is>
          <t>percentage of our labor that's directly</t>
        </is>
      </c>
      <c r="D1270">
        <f>HYPERLINK("https://www.youtube.com/watch?v=aJsmJsd6GIw&amp;t=468s", "Go to time")</f>
        <v/>
      </c>
    </row>
    <row r="1271">
      <c r="A1271">
        <f>HYPERLINK("https://www.youtube.com/watch?v=aJsmJsd6GIw", "Video")</f>
        <v/>
      </c>
      <c r="B1271" t="inlineStr">
        <is>
          <t>7:54</t>
        </is>
      </c>
      <c r="C1271" t="inlineStr">
        <is>
          <t>every direct hour we spend now that in</t>
        </is>
      </c>
      <c r="D1271">
        <f>HYPERLINK("https://www.youtube.com/watch?v=aJsmJsd6GIw&amp;t=474s", "Go to time")</f>
        <v/>
      </c>
    </row>
    <row r="1272">
      <c r="A1272">
        <f>HYPERLINK("https://www.youtube.com/watch?v=aJsmJsd6GIw", "Video")</f>
        <v/>
      </c>
      <c r="B1272" t="inlineStr">
        <is>
          <t>8:02</t>
        </is>
      </c>
      <c r="C1272" t="inlineStr">
        <is>
          <t>and percentage of Labor direct is a</t>
        </is>
      </c>
      <c r="D1272">
        <f>HYPERLINK("https://www.youtube.com/watch?v=aJsmJsd6GIw&amp;t=482s", "Go to time")</f>
        <v/>
      </c>
    </row>
    <row r="1273">
      <c r="A1273">
        <f>HYPERLINK("https://www.youtube.com/watch?v=4zdMH2Qmobk", "Video")</f>
        <v/>
      </c>
      <c r="B1273" t="inlineStr">
        <is>
          <t>9:49</t>
        </is>
      </c>
      <c r="C1273" t="inlineStr">
        <is>
          <t>that this can go in
the right direction,</t>
        </is>
      </c>
      <c r="D1273">
        <f>HYPERLINK("https://www.youtube.com/watch?v=4zdMH2Qmobk&amp;t=589s", "Go to time")</f>
        <v/>
      </c>
    </row>
    <row r="1274">
      <c r="A1274">
        <f>HYPERLINK("https://www.youtube.com/watch?v=4zdMH2Qmobk", "Video")</f>
        <v/>
      </c>
      <c r="B1274" t="inlineStr">
        <is>
          <t>13:43</t>
        </is>
      </c>
      <c r="C1274" t="inlineStr">
        <is>
          <t>do kick-start things,
so it may be a direction</t>
        </is>
      </c>
      <c r="D1274">
        <f>HYPERLINK("https://www.youtube.com/watch?v=4zdMH2Qmobk&amp;t=823s", "Go to time")</f>
        <v/>
      </c>
    </row>
    <row r="1275">
      <c r="A1275">
        <f>HYPERLINK("https://www.youtube.com/watch?v=MQIQgqhiAy8", "Video")</f>
        <v/>
      </c>
      <c r="B1275" t="inlineStr">
        <is>
          <t>24:18</t>
        </is>
      </c>
      <c r="C1275" t="inlineStr">
        <is>
          <t>close close to half my direct reports</t>
        </is>
      </c>
      <c r="D1275">
        <f>HYPERLINK("https://www.youtube.com/watch?v=MQIQgqhiAy8&amp;t=1458s", "Go to time")</f>
        <v/>
      </c>
    </row>
    <row r="1276">
      <c r="A1276">
        <f>HYPERLINK("https://www.youtube.com/watch?v=dm8bOd9yHOE", "Video")</f>
        <v/>
      </c>
      <c r="B1276" t="inlineStr">
        <is>
          <t>3:46</t>
        </is>
      </c>
      <c r="C1276" t="inlineStr">
        <is>
          <t>And I liked that direct
application of skills,</t>
        </is>
      </c>
      <c r="D1276">
        <f>HYPERLINK("https://www.youtube.com/watch?v=dm8bOd9yHOE&amp;t=226s", "Go to time")</f>
        <v/>
      </c>
    </row>
    <row r="1277">
      <c r="A1277">
        <f>HYPERLINK("https://www.youtube.com/watch?v=XOA6s6YCKnQ", "Video")</f>
        <v/>
      </c>
      <c r="B1277" t="inlineStr">
        <is>
          <t>1:07</t>
        </is>
      </c>
      <c r="C1277" t="inlineStr">
        <is>
          <t>new directions altogether
without the expected hierarchy</t>
        </is>
      </c>
      <c r="D1277">
        <f>HYPERLINK("https://www.youtube.com/watch?v=XOA6s6YCKnQ&amp;t=67s", "Go to time")</f>
        <v/>
      </c>
    </row>
    <row r="1278">
      <c r="A1278">
        <f>HYPERLINK("https://www.youtube.com/watch?v=vZ1YjAlcbVE", "Video")</f>
        <v/>
      </c>
      <c r="B1278" t="inlineStr">
        <is>
          <t>14:11</t>
        </is>
      </c>
      <c r="C1278" t="inlineStr">
        <is>
          <t>is a huge step in
the right direction.</t>
        </is>
      </c>
      <c r="D1278">
        <f>HYPERLINK("https://www.youtube.com/watch?v=vZ1YjAlcbVE&amp;t=851s", "Go to time")</f>
        <v/>
      </c>
    </row>
    <row r="1279">
      <c r="A1279">
        <f>HYPERLINK("https://www.youtube.com/watch?v=HwhkU0pXM4U", "Video")</f>
        <v/>
      </c>
      <c r="B1279" t="inlineStr">
        <is>
          <t>12:51</t>
        </is>
      </c>
      <c r="C1279" t="inlineStr">
        <is>
          <t>direct</t>
        </is>
      </c>
      <c r="D1279">
        <f>HYPERLINK("https://www.youtube.com/watch?v=HwhkU0pXM4U&amp;t=771s", "Go to time")</f>
        <v/>
      </c>
    </row>
    <row r="1280">
      <c r="A1280">
        <f>HYPERLINK("https://www.youtube.com/watch?v=xWKtw4uwZXk", "Video")</f>
        <v/>
      </c>
      <c r="B1280" t="inlineStr">
        <is>
          <t>3:10</t>
        </is>
      </c>
      <c r="C1280" t="inlineStr">
        <is>
          <t>And I'll quote them
directly, because it really</t>
        </is>
      </c>
      <c r="D1280">
        <f>HYPERLINK("https://www.youtube.com/watch?v=xWKtw4uwZXk&amp;t=190s", "Go to time")</f>
        <v/>
      </c>
    </row>
    <row r="1281">
      <c r="A1281">
        <f>HYPERLINK("https://www.youtube.com/watch?v=xWKtw4uwZXk", "Video")</f>
        <v/>
      </c>
      <c r="B1281" t="inlineStr">
        <is>
          <t>3:15</t>
        </is>
      </c>
      <c r="C1281" t="inlineStr">
        <is>
          <t>But she says on the site, for
people not directly impacted</t>
        </is>
      </c>
      <c r="D1281">
        <f>HYPERLINK("https://www.youtube.com/watch?v=xWKtw4uwZXk&amp;t=195s", "Go to time")</f>
        <v/>
      </c>
    </row>
    <row r="1282">
      <c r="A1282">
        <f>HYPERLINK("https://www.youtube.com/watch?v=xWKtw4uwZXk", "Video")</f>
        <v/>
      </c>
      <c r="B1282" t="inlineStr">
        <is>
          <t>4:38</t>
        </is>
      </c>
      <c r="C1282" t="inlineStr">
        <is>
          <t>How how do we walk in a
positive direction together</t>
        </is>
      </c>
      <c r="D1282">
        <f>HYPERLINK("https://www.youtube.com/watch?v=xWKtw4uwZXk&amp;t=278s", "Go to time")</f>
        <v/>
      </c>
    </row>
    <row r="1283">
      <c r="A1283">
        <f>HYPERLINK("https://www.youtube.com/watch?v=xWKtw4uwZXk", "Video")</f>
        <v/>
      </c>
      <c r="B1283" t="inlineStr">
        <is>
          <t>14:31</t>
        </is>
      </c>
      <c r="C1283" t="inlineStr">
        <is>
          <t>and discomfort, a
redirection of resources</t>
        </is>
      </c>
      <c r="D1283">
        <f>HYPERLINK("https://www.youtube.com/watch?v=xWKtw4uwZXk&amp;t=871s", "Go to time")</f>
        <v/>
      </c>
    </row>
    <row r="1284">
      <c r="A1284">
        <f>HYPERLINK("https://www.youtube.com/watch?v=jhtwqK3iOV8", "Video")</f>
        <v/>
      </c>
      <c r="B1284" t="inlineStr">
        <is>
          <t>8:16</t>
        </is>
      </c>
      <c r="C1284" t="inlineStr">
        <is>
          <t>on kelsey alpeo she's one of my direct</t>
        </is>
      </c>
      <c r="D1284">
        <f>HYPERLINK("https://www.youtube.com/watch?v=jhtwqK3iOV8&amp;t=496s", "Go to time")</f>
        <v/>
      </c>
    </row>
    <row r="1285">
      <c r="A1285">
        <f>HYPERLINK("https://www.youtube.com/watch?v=mrVbkfnZyDw", "Video")</f>
        <v/>
      </c>
      <c r="B1285" t="inlineStr">
        <is>
          <t>14:57</t>
        </is>
      </c>
      <c r="C1285" t="inlineStr">
        <is>
          <t>move in that direction.</t>
        </is>
      </c>
      <c r="D1285">
        <f>HYPERLINK("https://www.youtube.com/watch?v=mrVbkfnZyDw&amp;t=897s", "Go to time")</f>
        <v/>
      </c>
    </row>
    <row r="1286">
      <c r="A1286">
        <f>HYPERLINK("https://www.youtube.com/watch?v=mrVbkfnZyDw", "Video")</f>
        <v/>
      </c>
      <c r="B1286" t="inlineStr">
        <is>
          <t>18:06</t>
        </is>
      </c>
      <c r="C1286" t="inlineStr">
        <is>
          <t>I think we have to continue
to move in that direction.</t>
        </is>
      </c>
      <c r="D1286">
        <f>HYPERLINK("https://www.youtube.com/watch?v=mrVbkfnZyDw&amp;t=1086s", "Go to time")</f>
        <v/>
      </c>
    </row>
    <row r="1287">
      <c r="A1287">
        <f>HYPERLINK("https://www.youtube.com/watch?v=mrVbkfnZyDw", "Video")</f>
        <v/>
      </c>
      <c r="B1287" t="inlineStr">
        <is>
          <t>20:33</t>
        </is>
      </c>
      <c r="C1287" t="inlineStr">
        <is>
          <t>sector where there's
direct interactions.</t>
        </is>
      </c>
      <c r="D1287">
        <f>HYPERLINK("https://www.youtube.com/watch?v=mrVbkfnZyDw&amp;t=1233s", "Go to time")</f>
        <v/>
      </c>
    </row>
    <row r="1288">
      <c r="A1288">
        <f>HYPERLINK("https://www.youtube.com/watch?v=mrVbkfnZyDw", "Video")</f>
        <v/>
      </c>
      <c r="B1288" t="inlineStr">
        <is>
          <t>20:41</t>
        </is>
      </c>
      <c r="C1288" t="inlineStr">
        <is>
          <t>relationship, it goes
in the other direction.</t>
        </is>
      </c>
      <c r="D1288">
        <f>HYPERLINK("https://www.youtube.com/watch?v=mrVbkfnZyDw&amp;t=1241s", "Go to time")</f>
        <v/>
      </c>
    </row>
    <row r="1289">
      <c r="A1289">
        <f>HYPERLINK("https://www.youtube.com/watch?v=B8mQvdYodS8", "Video")</f>
        <v/>
      </c>
      <c r="B1289" t="inlineStr">
        <is>
          <t>0:41</t>
        </is>
      </c>
      <c r="C1289" t="inlineStr">
        <is>
          <t>associate director of career services at</t>
        </is>
      </c>
      <c r="D1289">
        <f>HYPERLINK("https://www.youtube.com/watch?v=B8mQvdYodS8&amp;t=41s", "Go to time")</f>
        <v/>
      </c>
    </row>
    <row r="1290">
      <c r="A1290">
        <f>HYPERLINK("https://www.youtube.com/watch?v=i4hb1TnAlJM", "Video")</f>
        <v/>
      </c>
      <c r="B1290" t="inlineStr">
        <is>
          <t>11:59</t>
        </is>
      </c>
      <c r="C1290" t="inlineStr">
        <is>
          <t>you're being clear and direct about a</t>
        </is>
      </c>
      <c r="D1290">
        <f>HYPERLINK("https://www.youtube.com/watch?v=i4hb1TnAlJM&amp;t=719s", "Go to time")</f>
        <v/>
      </c>
    </row>
    <row r="1291">
      <c r="A1291">
        <f>HYPERLINK("https://www.youtube.com/watch?v=i4hb1TnAlJM", "Video")</f>
        <v/>
      </c>
      <c r="B1291" t="inlineStr">
        <is>
          <t>32:52</t>
        </is>
      </c>
      <c r="C1291" t="inlineStr">
        <is>
          <t>Bartholomew our director of product</t>
        </is>
      </c>
      <c r="D1291">
        <f>HYPERLINK("https://www.youtube.com/watch?v=i4hb1TnAlJM&amp;t=1972s", "Go to time")</f>
        <v/>
      </c>
    </row>
    <row r="1292">
      <c r="A1292">
        <f>HYPERLINK("https://www.youtube.com/watch?v=0RNmy2aE-cE", "Video")</f>
        <v/>
      </c>
      <c r="B1292" t="inlineStr">
        <is>
          <t>32:22</t>
        </is>
      </c>
      <c r="C1292" t="inlineStr">
        <is>
          <t>Do you have to deal directly
with this person or are you</t>
        </is>
      </c>
      <c r="D1292">
        <f>HYPERLINK("https://www.youtube.com/watch?v=0RNmy2aE-cE&amp;t=1942s", "Go to time")</f>
        <v/>
      </c>
    </row>
    <row r="1293">
      <c r="A1293">
        <f>HYPERLINK("https://www.youtube.com/watch?v=0RNmy2aE-cE", "Video")</f>
        <v/>
      </c>
      <c r="B1293" t="inlineStr">
        <is>
          <t>37:39</t>
        </is>
      </c>
      <c r="C1293" t="inlineStr">
        <is>
          <t>AUDIENCE: Because there's
been direct conversations</t>
        </is>
      </c>
      <c r="D1293">
        <f>HYPERLINK("https://www.youtube.com/watch?v=0RNmy2aE-cE&amp;t=2259s", "Go to time")</f>
        <v/>
      </c>
    </row>
    <row r="1294">
      <c r="A1294">
        <f>HYPERLINK("https://www.youtube.com/watch?v=0RNmy2aE-cE", "Video")</f>
        <v/>
      </c>
      <c r="B1294" t="inlineStr">
        <is>
          <t>41:39</t>
        </is>
      </c>
      <c r="C1294" t="inlineStr">
        <is>
          <t>And how to be effective and
still give direct feedback</t>
        </is>
      </c>
      <c r="D1294">
        <f>HYPERLINK("https://www.youtube.com/watch?v=0RNmy2aE-cE&amp;t=2499s", "Go to time")</f>
        <v/>
      </c>
    </row>
    <row r="1295">
      <c r="A1295">
        <f>HYPERLINK("https://www.youtube.com/watch?v=Rk1y7Yahtic", "Video")</f>
        <v/>
      </c>
      <c r="B1295" t="inlineStr">
        <is>
          <t>23:57</t>
        </is>
      </c>
      <c r="C1295" t="inlineStr">
        <is>
          <t>like how do i direct this question so we</t>
        </is>
      </c>
      <c r="D1295">
        <f>HYPERLINK("https://www.youtube.com/watch?v=Rk1y7Yahtic&amp;t=1437s", "Go to time")</f>
        <v/>
      </c>
    </row>
    <row r="1296">
      <c r="A1296">
        <f>HYPERLINK("https://www.youtube.com/watch?v=bPBsnygQiXA", "Video")</f>
        <v/>
      </c>
      <c r="B1296" t="inlineStr">
        <is>
          <t>25:59</t>
        </is>
      </c>
      <c r="C1296" t="inlineStr">
        <is>
          <t>moving in the direction of positivity</t>
        </is>
      </c>
      <c r="D1296">
        <f>HYPERLINK("https://www.youtube.com/watch?v=bPBsnygQiXA&amp;t=1559s", "Go to time")</f>
        <v/>
      </c>
    </row>
    <row r="1297">
      <c r="A1297">
        <f>HYPERLINK("https://www.youtube.com/watch?v=bPBsnygQiXA", "Video")</f>
        <v/>
      </c>
      <c r="B1297" t="inlineStr">
        <is>
          <t>27:58</t>
        </is>
      </c>
      <c r="C1297" t="inlineStr">
        <is>
          <t>director who was you know you always</t>
        </is>
      </c>
      <c r="D1297">
        <f>HYPERLINK("https://www.youtube.com/watch?v=bPBsnygQiXA&amp;t=1678s", "Go to time")</f>
        <v/>
      </c>
    </row>
    <row r="1298">
      <c r="A1298">
        <f>HYPERLINK("https://www.youtube.com/watch?v=2vGLLhMhRsQ", "Video")</f>
        <v/>
      </c>
      <c r="B1298" t="inlineStr">
        <is>
          <t>3:32</t>
        </is>
      </c>
      <c r="C1298" t="inlineStr">
        <is>
          <t>So our development
direction was simply wrong.</t>
        </is>
      </c>
      <c r="D1298">
        <f>HYPERLINK("https://www.youtube.com/watch?v=2vGLLhMhRsQ&amp;t=212s", "Go to time")</f>
        <v/>
      </c>
    </row>
    <row r="1299">
      <c r="A1299">
        <f>HYPERLINK("https://www.youtube.com/watch?v=1cBoiDwRyi8", "Video")</f>
        <v/>
      </c>
      <c r="B1299" t="inlineStr">
        <is>
          <t>25:19</t>
        </is>
      </c>
      <c r="C1299" t="inlineStr">
        <is>
          <t>But those trend lines have gone
in a negative direction in part</t>
        </is>
      </c>
      <c r="D1299">
        <f>HYPERLINK("https://www.youtube.com/watch?v=1cBoiDwRyi8&amp;t=1519s", "Go to time")</f>
        <v/>
      </c>
    </row>
    <row r="1300">
      <c r="A1300">
        <f>HYPERLINK("https://www.youtube.com/watch?v=1cBoiDwRyi8", "Video")</f>
        <v/>
      </c>
      <c r="B1300" t="inlineStr">
        <is>
          <t>31:31</t>
        </is>
      </c>
      <c r="C1300" t="inlineStr">
        <is>
          <t>was trending in a liberal
democratic direction.</t>
        </is>
      </c>
      <c r="D1300">
        <f>HYPERLINK("https://www.youtube.com/watch?v=1cBoiDwRyi8&amp;t=1891s", "Go to time")</f>
        <v/>
      </c>
    </row>
    <row r="1301">
      <c r="A1301">
        <f>HYPERLINK("https://www.youtube.com/watch?v=1cBoiDwRyi8", "Video")</f>
        <v/>
      </c>
      <c r="B1301" t="inlineStr">
        <is>
          <t>37:02</t>
        </is>
      </c>
      <c r="C1301" t="inlineStr">
        <is>
          <t>that cut in a pretty
traditional status direction,</t>
        </is>
      </c>
      <c r="D1301">
        <f>HYPERLINK("https://www.youtube.com/watch?v=1cBoiDwRyi8&amp;t=2222s", "Go to time")</f>
        <v/>
      </c>
    </row>
    <row r="1302">
      <c r="A1302">
        <f>HYPERLINK("https://www.youtube.com/watch?v=1cBoiDwRyi8", "Video")</f>
        <v/>
      </c>
      <c r="B1302" t="inlineStr">
        <is>
          <t>44:23</t>
        </is>
      </c>
      <c r="C1302" t="inlineStr">
        <is>
          <t>People will be walking
in one direction,</t>
        </is>
      </c>
      <c r="D1302">
        <f>HYPERLINK("https://www.youtube.com/watch?v=1cBoiDwRyi8&amp;t=2663s", "Go to time")</f>
        <v/>
      </c>
    </row>
    <row r="1303">
      <c r="A1303">
        <f>HYPERLINK("https://www.youtube.com/watch?v=2Qc2ZEO5rjg", "Video")</f>
        <v/>
      </c>
      <c r="B1303" t="inlineStr">
        <is>
          <t>18:30</t>
        </is>
      </c>
      <c r="C1303" t="inlineStr">
        <is>
          <t>More directly, you
write in the book</t>
        </is>
      </c>
      <c r="D1303">
        <f>HYPERLINK("https://www.youtube.com/watch?v=2Qc2ZEO5rjg&amp;t=1110s", "Go to time")</f>
        <v/>
      </c>
    </row>
    <row r="1304">
      <c r="A1304">
        <f>HYPERLINK("https://www.youtube.com/watch?v=2Qc2ZEO5rjg", "Video")</f>
        <v/>
      </c>
      <c r="B1304" t="inlineStr">
        <is>
          <t>27:45</t>
        </is>
      </c>
      <c r="C1304" t="inlineStr">
        <is>
          <t>And in times when I had to
tilt the water in one direction</t>
        </is>
      </c>
      <c r="D1304">
        <f>HYPERLINK("https://www.youtube.com/watch?v=2Qc2ZEO5rjg&amp;t=1665s", "Go to time")</f>
        <v/>
      </c>
    </row>
    <row r="1305">
      <c r="A1305">
        <f>HYPERLINK("https://www.youtube.com/watch?v=ST8h_qR29qo", "Video")</f>
        <v/>
      </c>
      <c r="B1305" t="inlineStr">
        <is>
          <t>8:33</t>
        </is>
      </c>
      <c r="C1305" t="inlineStr">
        <is>
          <t>with direct reports and that
leadership responsibility.</t>
        </is>
      </c>
      <c r="D1305">
        <f>HYPERLINK("https://www.youtube.com/watch?v=ST8h_qR29qo&amp;t=513s", "Go to time")</f>
        <v/>
      </c>
    </row>
    <row r="1306">
      <c r="A1306">
        <f>HYPERLINK("https://www.youtube.com/watch?v=ST8h_qR29qo", "Video")</f>
        <v/>
      </c>
      <c r="B1306" t="inlineStr">
        <is>
          <t>9:57</t>
        </is>
      </c>
      <c r="C1306" t="inlineStr">
        <is>
          <t>SUBJECT: Having a
direct responsibility</t>
        </is>
      </c>
      <c r="D1306">
        <f>HYPERLINK("https://www.youtube.com/watch?v=ST8h_qR29qo&amp;t=597s", "Go to time")</f>
        <v/>
      </c>
    </row>
    <row r="1307">
      <c r="A1307">
        <f>HYPERLINK("https://www.youtube.com/watch?v=ST8h_qR29qo", "Video")</f>
        <v/>
      </c>
      <c r="B1307" t="inlineStr">
        <is>
          <t>18:37</t>
        </is>
      </c>
      <c r="C1307" t="inlineStr">
        <is>
          <t>Even though I've veered
in a different direction</t>
        </is>
      </c>
      <c r="D1307">
        <f>HYPERLINK("https://www.youtube.com/watch?v=ST8h_qR29qo&amp;t=1117s", "Go to time")</f>
        <v/>
      </c>
    </row>
    <row r="1308">
      <c r="A1308">
        <f>HYPERLINK("https://www.youtube.com/watch?v=ST8h_qR29qo", "Video")</f>
        <v/>
      </c>
      <c r="B1308" t="inlineStr">
        <is>
          <t>24:14</t>
        </is>
      </c>
      <c r="C1308" t="inlineStr">
        <is>
          <t>but to boldly say we're going
to go in this direction.</t>
        </is>
      </c>
      <c r="D1308">
        <f>HYPERLINK("https://www.youtube.com/watch?v=ST8h_qR29qo&amp;t=1454s", "Go to time")</f>
        <v/>
      </c>
    </row>
    <row r="1309">
      <c r="A1309">
        <f>HYPERLINK("https://www.youtube.com/watch?v=ST8h_qR29qo", "Video")</f>
        <v/>
      </c>
      <c r="B1309" t="inlineStr">
        <is>
          <t>25:07</t>
        </is>
      </c>
      <c r="C1309" t="inlineStr">
        <is>
          <t>I was always kindly redirected.</t>
        </is>
      </c>
      <c r="D1309">
        <f>HYPERLINK("https://www.youtube.com/watch?v=ST8h_qR29qo&amp;t=1507s", "Go to time")</f>
        <v/>
      </c>
    </row>
    <row r="1310">
      <c r="A1310">
        <f>HYPERLINK("https://www.youtube.com/watch?v=ST8h_qR29qo", "Video")</f>
        <v/>
      </c>
      <c r="B1310" t="inlineStr">
        <is>
          <t>28:40</t>
        </is>
      </c>
      <c r="C1310" t="inlineStr">
        <is>
          <t>and say that was me,
there's a direct line</t>
        </is>
      </c>
      <c r="D1310">
        <f>HYPERLINK("https://www.youtube.com/watch?v=ST8h_qR29qo&amp;t=1720s", "Go to time")</f>
        <v/>
      </c>
    </row>
    <row r="1311">
      <c r="A1311">
        <f>HYPERLINK("https://www.youtube.com/watch?v=ST8h_qR29qo", "Video")</f>
        <v/>
      </c>
      <c r="B1311" t="inlineStr">
        <is>
          <t>45:35</t>
        </is>
      </c>
      <c r="C1311" t="inlineStr">
        <is>
          <t>mindset waiting for
direction from the owner.</t>
        </is>
      </c>
      <c r="D1311">
        <f>HYPERLINK("https://www.youtube.com/watch?v=ST8h_qR29qo&amp;t=2735s", "Go to time")</f>
        <v/>
      </c>
    </row>
    <row r="1312">
      <c r="A1312">
        <f>HYPERLINK("https://www.youtube.com/watch?v=LyOdsxM-GCo", "Video")</f>
        <v/>
      </c>
      <c r="B1312" t="inlineStr">
        <is>
          <t>3:10</t>
        </is>
      </c>
      <c r="C1312" t="inlineStr">
        <is>
          <t>especially their directors.</t>
        </is>
      </c>
      <c r="D1312">
        <f>HYPERLINK("https://www.youtube.com/watch?v=LyOdsxM-GCo&amp;t=190s", "Go to time")</f>
        <v/>
      </c>
    </row>
    <row r="1313">
      <c r="A1313">
        <f>HYPERLINK("https://www.youtube.com/watch?v=KtiUMAYOcG8", "Video")</f>
        <v/>
      </c>
      <c r="B1313" t="inlineStr">
        <is>
          <t>14:36</t>
        </is>
      </c>
      <c r="C1313" t="inlineStr">
        <is>
          <t>directive because i have no interest in</t>
        </is>
      </c>
      <c r="D1313">
        <f>HYPERLINK("https://www.youtube.com/watch?v=KtiUMAYOcG8&amp;t=876s", "Go to time")</f>
        <v/>
      </c>
    </row>
    <row r="1314">
      <c r="A1314">
        <f>HYPERLINK("https://www.youtube.com/watch?v=KtiUMAYOcG8", "Video")</f>
        <v/>
      </c>
      <c r="B1314" t="inlineStr">
        <is>
          <t>28:08</t>
        </is>
      </c>
      <c r="C1314" t="inlineStr">
        <is>
          <t>right direction we also know from</t>
        </is>
      </c>
      <c r="D1314">
        <f>HYPERLINK("https://www.youtube.com/watch?v=KtiUMAYOcG8&amp;t=1688s", "Go to time")</f>
        <v/>
      </c>
    </row>
    <row r="1315">
      <c r="A1315">
        <f>HYPERLINK("https://www.youtube.com/watch?v=KtiUMAYOcG8", "Video")</f>
        <v/>
      </c>
      <c r="B1315" t="inlineStr">
        <is>
          <t>29:14</t>
        </is>
      </c>
      <c r="C1315" t="inlineStr">
        <is>
          <t>i think that's the direction</t>
        </is>
      </c>
      <c r="D1315">
        <f>HYPERLINK("https://www.youtube.com/watch?v=KtiUMAYOcG8&amp;t=1754s", "Go to time")</f>
        <v/>
      </c>
    </row>
    <row r="1316">
      <c r="A1316">
        <f>HYPERLINK("https://www.youtube.com/watch?v=d4dk5lr0B5A", "Video")</f>
        <v/>
      </c>
      <c r="B1316" t="inlineStr">
        <is>
          <t>5:57</t>
        </is>
      </c>
      <c r="C1316" t="inlineStr">
        <is>
          <t>direct and clear with your manager in a</t>
        </is>
      </c>
      <c r="D1316">
        <f>HYPERLINK("https://www.youtube.com/watch?v=d4dk5lr0B5A&amp;t=357s", "Go to time")</f>
        <v/>
      </c>
    </row>
    <row r="1317">
      <c r="A1317">
        <f>HYPERLINK("https://www.youtube.com/watch?v=Bnrf-al2ZVU", "Video")</f>
        <v/>
      </c>
      <c r="B1317" t="inlineStr">
        <is>
          <t>3:38</t>
        </is>
      </c>
      <c r="C1317" t="inlineStr">
        <is>
          <t>You probably have pressures
from your board of directors who</t>
        </is>
      </c>
      <c r="D1317">
        <f>HYPERLINK("https://www.youtube.com/watch?v=Bnrf-al2ZVU&amp;t=218s", "Go to time")</f>
        <v/>
      </c>
    </row>
    <row r="1318">
      <c r="A1318">
        <f>HYPERLINK("https://www.youtube.com/watch?v=FFzUt9xGEKE", "Video")</f>
        <v/>
      </c>
      <c r="B1318" t="inlineStr">
        <is>
          <t>0:26</t>
        </is>
      </c>
      <c r="C1318" t="inlineStr">
        <is>
          <t>of racism directed at Black
Americans, Latinos, Asians,</t>
        </is>
      </c>
      <c r="D1318">
        <f>HYPERLINK("https://www.youtube.com/watch?v=FFzUt9xGEKE&amp;t=26s", "Go to time")</f>
        <v/>
      </c>
    </row>
    <row r="1319">
      <c r="A1319">
        <f>HYPERLINK("https://www.youtube.com/watch?v=AXI9Ni5uy4w", "Video")</f>
        <v/>
      </c>
      <c r="B1319" t="inlineStr">
        <is>
          <t>19:24</t>
        </is>
      </c>
      <c r="C1319" t="inlineStr">
        <is>
          <t>direction that you believe is important</t>
        </is>
      </c>
      <c r="D1319">
        <f>HYPERLINK("https://www.youtube.com/watch?v=AXI9Ni5uy4w&amp;t=1164s", "Go to time")</f>
        <v/>
      </c>
    </row>
    <row r="1320">
      <c r="A1320">
        <f>HYPERLINK("https://www.youtube.com/watch?v=AXI9Ni5uy4w", "Video")</f>
        <v/>
      </c>
      <c r="B1320" t="inlineStr">
        <is>
          <t>48:58</t>
        </is>
      </c>
      <c r="C1320" t="inlineStr">
        <is>
          <t>funds it's a misdirection and also in</t>
        </is>
      </c>
      <c r="D1320">
        <f>HYPERLINK("https://www.youtube.com/watch?v=AXI9Ni5uy4w&amp;t=2938s", "Go to time")</f>
        <v/>
      </c>
    </row>
    <row r="1321">
      <c r="A1321">
        <f>HYPERLINK("https://www.youtube.com/watch?v=hczW4Bqf3Qk", "Video")</f>
        <v/>
      </c>
      <c r="B1321" t="inlineStr">
        <is>
          <t>0:41</t>
        </is>
      </c>
      <c r="C1321" t="inlineStr">
        <is>
          <t>VPs and directors below
the executive team.</t>
        </is>
      </c>
      <c r="D1321">
        <f>HYPERLINK("https://www.youtube.com/watch?v=hczW4Bqf3Qk&amp;t=41s", "Go to time")</f>
        <v/>
      </c>
    </row>
    <row r="1322">
      <c r="A1322">
        <f>HYPERLINK("https://www.youtube.com/watch?v=oAgMKap9Cv8", "Video")</f>
        <v/>
      </c>
      <c r="B1322" t="inlineStr">
        <is>
          <t>0:26</t>
        </is>
      </c>
      <c r="C1322" t="inlineStr">
        <is>
          <t>Ladder-- there's really
only one kind of direction</t>
        </is>
      </c>
      <c r="D1322">
        <f>HYPERLINK("https://www.youtube.com/watch?v=oAgMKap9Cv8&amp;t=26s", "Go to time")</f>
        <v/>
      </c>
    </row>
    <row r="1323">
      <c r="A1323">
        <f>HYPERLINK("https://www.youtube.com/watch?v=5XikR_aN0Hk", "Video")</f>
        <v/>
      </c>
      <c r="B1323" t="inlineStr">
        <is>
          <t>2:57</t>
        </is>
      </c>
      <c r="C1323" t="inlineStr">
        <is>
          <t>Develop an individual, direct
connection with others.</t>
        </is>
      </c>
      <c r="D1323">
        <f>HYPERLINK("https://www.youtube.com/watch?v=5XikR_aN0Hk&amp;t=177s", "Go to time")</f>
        <v/>
      </c>
    </row>
    <row r="1324">
      <c r="A1324">
        <f>HYPERLINK("https://www.youtube.com/watch?v=nKRgweXEawg", "Video")</f>
        <v/>
      </c>
      <c r="B1324" t="inlineStr">
        <is>
          <t>3:00</t>
        </is>
      </c>
      <c r="C1324" t="inlineStr">
        <is>
          <t>directly through their website.</t>
        </is>
      </c>
      <c r="D1324">
        <f>HYPERLINK("https://www.youtube.com/watch?v=nKRgweXEawg&amp;t=180s", "Go to time")</f>
        <v/>
      </c>
    </row>
    <row r="1325">
      <c r="A1325">
        <f>HYPERLINK("https://www.youtube.com/watch?v=sQzD3st8mTk", "Video")</f>
        <v/>
      </c>
      <c r="B1325" t="inlineStr">
        <is>
          <t>1:32</t>
        </is>
      </c>
      <c r="C1325" t="inlineStr">
        <is>
          <t>been design director for
a lot of publications.</t>
        </is>
      </c>
      <c r="D1325">
        <f>HYPERLINK("https://www.youtube.com/watch?v=sQzD3st8mTk&amp;t=92s", "Go to time")</f>
        <v/>
      </c>
    </row>
    <row r="1326">
      <c r="A1326">
        <f>HYPERLINK("https://www.youtube.com/watch?v=iJve-5wHrio", "Video")</f>
        <v/>
      </c>
      <c r="B1326" t="inlineStr">
        <is>
          <t>1:36</t>
        </is>
      </c>
      <c r="C1326" t="inlineStr">
        <is>
          <t>Basically, you get a few minutes
to show the casting director</t>
        </is>
      </c>
      <c r="D1326">
        <f>HYPERLINK("https://www.youtube.com/watch?v=iJve-5wHrio&amp;t=96s", "Go to time")</f>
        <v/>
      </c>
    </row>
    <row r="1327">
      <c r="A1327">
        <f>HYPERLINK("https://www.youtube.com/watch?v=iJve-5wHrio", "Video")</f>
        <v/>
      </c>
      <c r="B1327" t="inlineStr">
        <is>
          <t>7:38</t>
        </is>
      </c>
      <c r="C1327" t="inlineStr">
        <is>
          <t>a different type of direction,
I froze and I didn't take it</t>
        </is>
      </c>
      <c r="D1327">
        <f>HYPERLINK("https://www.youtube.com/watch?v=iJve-5wHrio&amp;t=458s", "Go to time")</f>
        <v/>
      </c>
    </row>
    <row r="1328">
      <c r="A1328">
        <f>HYPERLINK("https://www.youtube.com/watch?v=oJmaxqUqIPE", "Video")</f>
        <v/>
      </c>
      <c r="B1328" t="inlineStr">
        <is>
          <t>5:20</t>
        </is>
      </c>
      <c r="C1328" t="inlineStr">
        <is>
          <t>They are not direct
reports to me.</t>
        </is>
      </c>
      <c r="D1328">
        <f>HYPERLINK("https://www.youtube.com/watch?v=oJmaxqUqIPE&amp;t=320s", "Go to time")</f>
        <v/>
      </c>
    </row>
    <row r="1329">
      <c r="A1329">
        <f>HYPERLINK("https://www.youtube.com/watch?v=oJmaxqUqIPE", "Video")</f>
        <v/>
      </c>
      <c r="B1329" t="inlineStr">
        <is>
          <t>5:22</t>
        </is>
      </c>
      <c r="C1329" t="inlineStr">
        <is>
          <t>I have five direct
reports to me.</t>
        </is>
      </c>
      <c r="D1329">
        <f>HYPERLINK("https://www.youtube.com/watch?v=oJmaxqUqIPE&amp;t=322s", "Go to time")</f>
        <v/>
      </c>
    </row>
    <row r="1330">
      <c r="A1330">
        <f>HYPERLINK("https://www.youtube.com/watch?v=oJmaxqUqIPE", "Video")</f>
        <v/>
      </c>
      <c r="B1330" t="inlineStr">
        <is>
          <t>5:32</t>
        </is>
      </c>
      <c r="C1330" t="inlineStr">
        <is>
          <t>ALEX: Within those
five direct reports,</t>
        </is>
      </c>
      <c r="D1330">
        <f>HYPERLINK("https://www.youtube.com/watch?v=oJmaxqUqIPE&amp;t=332s", "Go to time")</f>
        <v/>
      </c>
    </row>
    <row r="1331">
      <c r="A1331">
        <f>HYPERLINK("https://www.youtube.com/watch?v=oJmaxqUqIPE", "Video")</f>
        <v/>
      </c>
      <c r="B1331" t="inlineStr">
        <is>
          <t>6:44</t>
        </is>
      </c>
      <c r="C1331" t="inlineStr">
        <is>
          <t>got to manage through
the direct reports.</t>
        </is>
      </c>
      <c r="D1331">
        <f>HYPERLINK("https://www.youtube.com/watch?v=oJmaxqUqIPE&amp;t=404s", "Go to time")</f>
        <v/>
      </c>
    </row>
    <row r="1332">
      <c r="A1332">
        <f>HYPERLINK("https://www.youtube.com/watch?v=oJmaxqUqIPE", "Video")</f>
        <v/>
      </c>
      <c r="B1332" t="inlineStr">
        <is>
          <t>9:08</t>
        </is>
      </c>
      <c r="C1332" t="inlineStr">
        <is>
          <t>is that your direct reports or
some of the people on your team</t>
        </is>
      </c>
      <c r="D1332">
        <f>HYPERLINK("https://www.youtube.com/watch?v=oJmaxqUqIPE&amp;t=548s", "Go to time")</f>
        <v/>
      </c>
    </row>
    <row r="1333">
      <c r="A1333">
        <f>HYPERLINK("https://www.youtube.com/watch?v=oJmaxqUqIPE", "Video")</f>
        <v/>
      </c>
      <c r="B1333" t="inlineStr">
        <is>
          <t>12:14</t>
        </is>
      </c>
      <c r="C1333" t="inlineStr">
        <is>
          <t>One of my direct reports
has 40 employees of his own.</t>
        </is>
      </c>
      <c r="D1333">
        <f>HYPERLINK("https://www.youtube.com/watch?v=oJmaxqUqIPE&amp;t=734s", "Go to time")</f>
        <v/>
      </c>
    </row>
    <row r="1334">
      <c r="A1334">
        <f>HYPERLINK("https://www.youtube.com/watch?v=oJmaxqUqIPE", "Video")</f>
        <v/>
      </c>
      <c r="B1334" t="inlineStr">
        <is>
          <t>14:09</t>
        </is>
      </c>
      <c r="C1334" t="inlineStr">
        <is>
          <t>and his direct reports.</t>
        </is>
      </c>
      <c r="D1334">
        <f>HYPERLINK("https://www.youtube.com/watch?v=oJmaxqUqIPE&amp;t=849s", "Go to time")</f>
        <v/>
      </c>
    </row>
    <row r="1335">
      <c r="A1335">
        <f>HYPERLINK("https://www.youtube.com/watch?v=oJmaxqUqIPE", "Video")</f>
        <v/>
      </c>
      <c r="B1335" t="inlineStr">
        <is>
          <t>16:42</t>
        </is>
      </c>
      <c r="C1335" t="inlineStr">
        <is>
          <t>except the direct report
he had was my client.</t>
        </is>
      </c>
      <c r="D1335">
        <f>HYPERLINK("https://www.youtube.com/watch?v=oJmaxqUqIPE&amp;t=1002s", "Go to time")</f>
        <v/>
      </c>
    </row>
    <row r="1336">
      <c r="A1336">
        <f>HYPERLINK("https://www.youtube.com/watch?v=oJmaxqUqIPE", "Video")</f>
        <v/>
      </c>
      <c r="B1336" t="inlineStr">
        <is>
          <t>17:39</t>
        </is>
      </c>
      <c r="C1336" t="inlineStr">
        <is>
          <t>been in where one of
your direct reports</t>
        </is>
      </c>
      <c r="D1336">
        <f>HYPERLINK("https://www.youtube.com/watch?v=oJmaxqUqIPE&amp;t=1059s", "Go to time")</f>
        <v/>
      </c>
    </row>
    <row r="1337">
      <c r="A1337">
        <f>HYPERLINK("https://www.youtube.com/watch?v=oJmaxqUqIPE", "Video")</f>
        <v/>
      </c>
      <c r="B1337" t="inlineStr">
        <is>
          <t>18:39</t>
        </is>
      </c>
      <c r="C1337" t="inlineStr">
        <is>
          <t>And it would continue to build
your direct reports' capacity</t>
        </is>
      </c>
      <c r="D1337">
        <f>HYPERLINK("https://www.youtube.com/watch?v=oJmaxqUqIPE&amp;t=1119s", "Go to time")</f>
        <v/>
      </c>
    </row>
    <row r="1338">
      <c r="A1338">
        <f>HYPERLINK("https://www.youtube.com/watch?v=oJmaxqUqIPE", "Video")</f>
        <v/>
      </c>
      <c r="B1338" t="inlineStr">
        <is>
          <t>19:30</t>
        </is>
      </c>
      <c r="C1338" t="inlineStr">
        <is>
          <t>When you look across
your direct reports,</t>
        </is>
      </c>
      <c r="D1338">
        <f>HYPERLINK("https://www.youtube.com/watch?v=oJmaxqUqIPE&amp;t=1170s", "Go to time")</f>
        <v/>
      </c>
    </row>
    <row r="1339">
      <c r="A1339">
        <f>HYPERLINK("https://www.youtube.com/watch?v=oJmaxqUqIPE", "Video")</f>
        <v/>
      </c>
      <c r="B1339" t="inlineStr">
        <is>
          <t>22:31</t>
        </is>
      </c>
      <c r="C1339" t="inlineStr">
        <is>
          <t>thinking about the
direct reports I have</t>
        </is>
      </c>
      <c r="D1339">
        <f>HYPERLINK("https://www.youtube.com/watch?v=oJmaxqUqIPE&amp;t=1351s", "Go to time")</f>
        <v/>
      </c>
    </row>
    <row r="1340">
      <c r="A1340">
        <f>HYPERLINK("https://www.youtube.com/watch?v=oJmaxqUqIPE", "Video")</f>
        <v/>
      </c>
      <c r="B1340" t="inlineStr">
        <is>
          <t>22:42</t>
        </is>
      </c>
      <c r="C1340" t="inlineStr">
        <is>
          <t>their direct reports do.</t>
        </is>
      </c>
      <c r="D1340">
        <f>HYPERLINK("https://www.youtube.com/watch?v=oJmaxqUqIPE&amp;t=1362s", "Go to time")</f>
        <v/>
      </c>
    </row>
    <row r="1341">
      <c r="A1341">
        <f>HYPERLINK("https://www.youtube.com/watch?v=oJmaxqUqIPE", "Video")</f>
        <v/>
      </c>
      <c r="B1341" t="inlineStr">
        <is>
          <t>25:25</t>
        </is>
      </c>
      <c r="C1341" t="inlineStr">
        <is>
          <t>ALEX: There is a
direct report of mine</t>
        </is>
      </c>
      <c r="D1341">
        <f>HYPERLINK("https://www.youtube.com/watch?v=oJmaxqUqIPE&amp;t=1525s", "Go to time")</f>
        <v/>
      </c>
    </row>
    <row r="1342">
      <c r="A1342">
        <f>HYPERLINK("https://www.youtube.com/watch?v=oJmaxqUqIPE", "Video")</f>
        <v/>
      </c>
      <c r="B1342" t="inlineStr">
        <is>
          <t>30:01</t>
        </is>
      </c>
      <c r="C1342" t="inlineStr">
        <is>
          <t>ALEX: I have a direct report
and his direct report--</t>
        </is>
      </c>
      <c r="D1342">
        <f>HYPERLINK("https://www.youtube.com/watch?v=oJmaxqUqIPE&amp;t=1801s", "Go to time")</f>
        <v/>
      </c>
    </row>
    <row r="1343">
      <c r="A1343">
        <f>HYPERLINK("https://www.youtube.com/watch?v=oJmaxqUqIPE", "Video")</f>
        <v/>
      </c>
      <c r="B1343" t="inlineStr">
        <is>
          <t>31:37</t>
        </is>
      </c>
      <c r="C1343" t="inlineStr">
        <is>
          <t>super directive, you
didn't tell them,</t>
        </is>
      </c>
      <c r="D1343">
        <f>HYPERLINK("https://www.youtube.com/watch?v=oJmaxqUqIPE&amp;t=1897s", "Go to time")</f>
        <v/>
      </c>
    </row>
    <row r="1344">
      <c r="A1344">
        <f>HYPERLINK("https://www.youtube.com/watch?v=oJmaxqUqIPE", "Video")</f>
        <v/>
      </c>
      <c r="B1344" t="inlineStr">
        <is>
          <t>32:53</t>
        </is>
      </c>
      <c r="C1344" t="inlineStr">
        <is>
          <t>So you will be more directive.</t>
        </is>
      </c>
      <c r="D1344">
        <f>HYPERLINK("https://www.youtube.com/watch?v=oJmaxqUqIPE&amp;t=1973s", "Go to time")</f>
        <v/>
      </c>
    </row>
    <row r="1345">
      <c r="A1345">
        <f>HYPERLINK("https://www.youtube.com/watch?v=oJmaxqUqIPE", "Video")</f>
        <v/>
      </c>
      <c r="B1345" t="inlineStr">
        <is>
          <t>34:30</t>
        </is>
      </c>
      <c r="C1345" t="inlineStr">
        <is>
          <t>of my five direct
reports, this person is</t>
        </is>
      </c>
      <c r="D1345">
        <f>HYPERLINK("https://www.youtube.com/watch?v=oJmaxqUqIPE&amp;t=2070s", "Go to time")</f>
        <v/>
      </c>
    </row>
    <row r="1346">
      <c r="A1346">
        <f>HYPERLINK("https://www.youtube.com/watch?v=oJmaxqUqIPE", "Video")</f>
        <v/>
      </c>
      <c r="B1346" t="inlineStr">
        <is>
          <t>37:51</t>
        </is>
      </c>
      <c r="C1346" t="inlineStr">
        <is>
          <t>To shift away from directly
solving problems themselves.</t>
        </is>
      </c>
      <c r="D1346">
        <f>HYPERLINK("https://www.youtube.com/watch?v=oJmaxqUqIPE&amp;t=2271s", "Go to time")</f>
        <v/>
      </c>
    </row>
    <row r="1347">
      <c r="A1347">
        <f>HYPERLINK("https://www.youtube.com/watch?v=7AS94R-7YCs", "Video")</f>
        <v/>
      </c>
      <c r="B1347" t="inlineStr">
        <is>
          <t>3:14</t>
        </is>
      </c>
      <c r="C1347" t="inlineStr">
        <is>
          <t>suggests keeping your language
simple, clear, direct,</t>
        </is>
      </c>
      <c r="D1347">
        <f>HYPERLINK("https://www.youtube.com/watch?v=7AS94R-7YCs&amp;t=194s", "Go to time")</f>
        <v/>
      </c>
    </row>
    <row r="1348">
      <c r="A1348">
        <f>HYPERLINK("https://www.youtube.com/watch?v=KMYsEwdZEj0", "Video")</f>
        <v/>
      </c>
      <c r="B1348" t="inlineStr">
        <is>
          <t>4:38</t>
        </is>
      </c>
      <c r="C1348" t="inlineStr">
        <is>
          <t>My camera was wireless, so I
would directly send the photos</t>
        </is>
      </c>
      <c r="D1348">
        <f>HYPERLINK("https://www.youtube.com/watch?v=KMYsEwdZEj0&amp;t=278s", "Go to time")</f>
        <v/>
      </c>
    </row>
    <row r="1349">
      <c r="A1349">
        <f>HYPERLINK("https://www.youtube.com/watch?v=VPdccj5YPt8", "Video")</f>
        <v/>
      </c>
      <c r="B1349" t="inlineStr">
        <is>
          <t>5:37</t>
        </is>
      </c>
      <c r="C1349" t="inlineStr">
        <is>
          <t>be ostracized or indirectly
punished if they do.</t>
        </is>
      </c>
      <c r="D1349">
        <f>HYPERLINK("https://www.youtube.com/watch?v=VPdccj5YPt8&amp;t=337s", "Go to time")</f>
        <v/>
      </c>
    </row>
    <row r="1350">
      <c r="A1350">
        <f>HYPERLINK("https://www.youtube.com/watch?v=VPdccj5YPt8", "Video")</f>
        <v/>
      </c>
      <c r="B1350" t="inlineStr">
        <is>
          <t>9:38</t>
        </is>
      </c>
      <c r="C1350" t="inlineStr">
        <is>
          <t>This redirection can ensure
you and your colleague</t>
        </is>
      </c>
      <c r="D1350">
        <f>HYPERLINK("https://www.youtube.com/watch?v=VPdccj5YPt8&amp;t=578s", "Go to time")</f>
        <v/>
      </c>
    </row>
    <row r="1351">
      <c r="A1351">
        <f>HYPERLINK("https://www.youtube.com/watch?v=VPdccj5YPt8", "Video")</f>
        <v/>
      </c>
      <c r="B1351" t="inlineStr">
        <is>
          <t>10:28</t>
        </is>
      </c>
      <c r="C1351" t="inlineStr">
        <is>
          <t>direct feedback, both
positive and negative,</t>
        </is>
      </c>
      <c r="D1351">
        <f>HYPERLINK("https://www.youtube.com/watch?v=VPdccj5YPt8&amp;t=628s", "Go to time")</f>
        <v/>
      </c>
    </row>
    <row r="1352">
      <c r="A1352">
        <f>HYPERLINK("https://www.youtube.com/watch?v=VPdccj5YPt8", "Video")</f>
        <v/>
      </c>
      <c r="B1352" t="inlineStr">
        <is>
          <t>10:52</t>
        </is>
      </c>
      <c r="C1352" t="inlineStr">
        <is>
          <t>them to be open to
direct feedback as well.</t>
        </is>
      </c>
      <c r="D1352">
        <f>HYPERLINK("https://www.youtube.com/watch?v=VPdccj5YPt8&amp;t=652s", "Go to time")</f>
        <v/>
      </c>
    </row>
    <row r="1353">
      <c r="A1353">
        <f>HYPERLINK("https://www.youtube.com/watch?v=s0dsKPjrlcw", "Video")</f>
        <v/>
      </c>
      <c r="B1353" t="inlineStr">
        <is>
          <t>3:28</t>
        </is>
      </c>
      <c r="C1353" t="inlineStr">
        <is>
          <t>ceos boards of directors now wanted to</t>
        </is>
      </c>
      <c r="D1353">
        <f>HYPERLINK("https://www.youtube.com/watch?v=s0dsKPjrlcw&amp;t=208s", "Go to time")</f>
        <v/>
      </c>
    </row>
    <row r="1354">
      <c r="A1354">
        <f>HYPERLINK("https://www.youtube.com/watch?v=3rn9srkAtbY", "Video")</f>
        <v/>
      </c>
      <c r="B1354" t="inlineStr">
        <is>
          <t>15:47</t>
        </is>
      </c>
      <c r="C1354" t="inlineStr">
        <is>
          <t>direct report to say</t>
        </is>
      </c>
      <c r="D1354">
        <f>HYPERLINK("https://www.youtube.com/watch?v=3rn9srkAtbY&amp;t=947s", "Go to time")</f>
        <v/>
      </c>
    </row>
    <row r="1355">
      <c r="A1355">
        <f>HYPERLINK("https://www.youtube.com/watch?v=TYKkRzsrlls", "Video")</f>
        <v/>
      </c>
      <c r="B1355" t="inlineStr">
        <is>
          <t>1:33</t>
        </is>
      </c>
      <c r="C1355" t="inlineStr">
        <is>
          <t>having served as director of
the company's Congo and Nigeria</t>
        </is>
      </c>
      <c r="D1355">
        <f>HYPERLINK("https://www.youtube.com/watch?v=TYKkRzsrlls&amp;t=93s", "Go to time")</f>
        <v/>
      </c>
    </row>
    <row r="1356">
      <c r="A1356">
        <f>HYPERLINK("https://www.youtube.com/watch?v=Yv1j7WBjQpQ", "Video")</f>
        <v/>
      </c>
      <c r="B1356" t="inlineStr">
        <is>
          <t>42:00</t>
        </is>
      </c>
      <c r="C1356" t="inlineStr">
        <is>
          <t>We're always out during the
voir dire, because of stuff.</t>
        </is>
      </c>
      <c r="D1356">
        <f>HYPERLINK("https://www.youtube.com/watch?v=Yv1j7WBjQpQ&amp;t=2520s", "Go to time")</f>
        <v/>
      </c>
    </row>
    <row r="1357">
      <c r="A1357">
        <f>HYPERLINK("https://www.youtube.com/watch?v=BS4-3IHJbG8", "Video")</f>
        <v/>
      </c>
      <c r="B1357" t="inlineStr">
        <is>
          <t>13:38</t>
        </is>
      </c>
      <c r="C1357" t="inlineStr">
        <is>
          <t>be on this board of directors you it</t>
        </is>
      </c>
      <c r="D1357">
        <f>HYPERLINK("https://www.youtube.com/watch?v=BS4-3IHJbG8&amp;t=818s", "Go to time")</f>
        <v/>
      </c>
    </row>
    <row r="1358">
      <c r="A1358">
        <f>HYPERLINK("https://www.youtube.com/watch?v=BS4-3IHJbG8", "Video")</f>
        <v/>
      </c>
      <c r="B1358" t="inlineStr">
        <is>
          <t>18:38</t>
        </is>
      </c>
      <c r="C1358" t="inlineStr">
        <is>
          <t>necessarily transition directly into</t>
        </is>
      </c>
      <c r="D1358">
        <f>HYPERLINK("https://www.youtube.com/watch?v=BS4-3IHJbG8&amp;t=1118s", "Go to time")</f>
        <v/>
      </c>
    </row>
    <row r="1359">
      <c r="A1359">
        <f>HYPERLINK("https://www.youtube.com/watch?v=BS4-3IHJbG8", "Video")</f>
        <v/>
      </c>
      <c r="B1359" t="inlineStr">
        <is>
          <t>18:54</t>
        </is>
      </c>
      <c r="C1359" t="inlineStr">
        <is>
          <t>but you're not directly in finance uh</t>
        </is>
      </c>
      <c r="D1359">
        <f>HYPERLINK("https://www.youtube.com/watch?v=BS4-3IHJbG8&amp;t=1134s", "Go to time")</f>
        <v/>
      </c>
    </row>
    <row r="1360">
      <c r="A1360">
        <f>HYPERLINK("https://www.youtube.com/watch?v=dbiNhAZlXZk", "Video")</f>
        <v/>
      </c>
      <c r="B1360" t="inlineStr">
        <is>
          <t>9:34</t>
        </is>
      </c>
      <c r="C1360" t="inlineStr">
        <is>
          <t>Even in uncertain times, you
need to know your direction.</t>
        </is>
      </c>
      <c r="D1360">
        <f>HYPERLINK("https://www.youtube.com/watch?v=dbiNhAZlXZk&amp;t=574s", "Go to time")</f>
        <v/>
      </c>
    </row>
    <row r="1361">
      <c r="A1361">
        <f>HYPERLINK("https://www.youtube.com/watch?v=-W4_I4nX2uI", "Video")</f>
        <v/>
      </c>
      <c r="B1361" t="inlineStr">
        <is>
          <t>1:22</t>
        </is>
      </c>
      <c r="C1361" t="inlineStr">
        <is>
          <t>thinking and instead use
indirect methods to convey</t>
        </is>
      </c>
      <c r="D1361">
        <f>HYPERLINK("https://www.youtube.com/watch?v=-W4_I4nX2uI&amp;t=82s", "Go to time")</f>
        <v/>
      </c>
    </row>
    <row r="1362">
      <c r="A1362">
        <f>HYPERLINK("https://www.youtube.com/watch?v=-W4_I4nX2uI", "Video")</f>
        <v/>
      </c>
      <c r="B1362" t="inlineStr">
        <is>
          <t>2:11</t>
        </is>
      </c>
      <c r="C1362" t="inlineStr">
        <is>
          <t>why they might want
to be indirect.</t>
        </is>
      </c>
      <c r="D1362">
        <f>HYPERLINK("https://www.youtube.com/watch?v=-W4_I4nX2uI&amp;t=131s", "Go to time")</f>
        <v/>
      </c>
    </row>
    <row r="1363">
      <c r="A1363">
        <f>HYPERLINK("https://www.youtube.com/watch?v=-W4_I4nX2uI", "Video")</f>
        <v/>
      </c>
      <c r="B1363" t="inlineStr">
        <is>
          <t>2:23</t>
        </is>
      </c>
      <c r="C1363" t="inlineStr">
        <is>
          <t>in strong and hard and direct.</t>
        </is>
      </c>
      <c r="D1363">
        <f>HYPERLINK("https://www.youtube.com/watch?v=-W4_I4nX2uI&amp;t=143s", "Go to time")</f>
        <v/>
      </c>
    </row>
    <row r="1364">
      <c r="A1364">
        <f>HYPERLINK("https://www.youtube.com/watch?v=-W4_I4nX2uI", "Video")</f>
        <v/>
      </c>
      <c r="B1364" t="inlineStr">
        <is>
          <t>2:33</t>
        </is>
      </c>
      <c r="C1364" t="inlineStr">
        <is>
          <t>and they may not even realize
that they're being indirect.</t>
        </is>
      </c>
      <c r="D1364">
        <f>HYPERLINK("https://www.youtube.com/watch?v=-W4_I4nX2uI&amp;t=153s", "Go to time")</f>
        <v/>
      </c>
    </row>
    <row r="1365">
      <c r="A1365">
        <f>HYPERLINK("https://www.youtube.com/watch?v=-W4_I4nX2uI", "Video")</f>
        <v/>
      </c>
      <c r="B1365" t="inlineStr">
        <is>
          <t>4:12</t>
        </is>
      </c>
      <c r="C1365" t="inlineStr">
        <is>
          <t>a way to express themselves
that's not indirect and not</t>
        </is>
      </c>
      <c r="D1365">
        <f>HYPERLINK("https://www.youtube.com/watch?v=-W4_I4nX2uI&amp;t=252s", "Go to time")</f>
        <v/>
      </c>
    </row>
    <row r="1366">
      <c r="A1366">
        <f>HYPERLINK("https://www.youtube.com/watch?v=-W4_I4nX2uI", "Video")</f>
        <v/>
      </c>
      <c r="B1366" t="inlineStr">
        <is>
          <t>5:35</t>
        </is>
      </c>
      <c r="C1366" t="inlineStr">
        <is>
          <t>they'll have to be
more direct with you.</t>
        </is>
      </c>
      <c r="D1366">
        <f>HYPERLINK("https://www.youtube.com/watch?v=-W4_I4nX2uI&amp;t=335s", "Go to time")</f>
        <v/>
      </c>
    </row>
    <row r="1367">
      <c r="A1367">
        <f>HYPERLINK("https://www.youtube.com/watch?v=YEt2DVQnzLM", "Video")</f>
        <v/>
      </c>
      <c r="B1367" t="inlineStr">
        <is>
          <t>1:45</t>
        </is>
      </c>
      <c r="C1367" t="inlineStr">
        <is>
          <t>So I decided, why don't
I talk to him directly</t>
        </is>
      </c>
      <c r="D1367">
        <f>HYPERLINK("https://www.youtube.com/watch?v=YEt2DVQnzLM&amp;t=105s", "Go to time")</f>
        <v/>
      </c>
    </row>
    <row r="1368">
      <c r="A1368">
        <f>HYPERLINK("https://www.youtube.com/watch?v=YEt2DVQnzLM", "Video")</f>
        <v/>
      </c>
      <c r="B1368" t="inlineStr">
        <is>
          <t>2:10</t>
        </is>
      </c>
      <c r="C1368" t="inlineStr">
        <is>
          <t>JOEL SCHWARTZBERG: 100
different directions.</t>
        </is>
      </c>
      <c r="D1368">
        <f>HYPERLINK("https://www.youtube.com/watch?v=YEt2DVQnzLM&amp;t=130s", "Go to time")</f>
        <v/>
      </c>
    </row>
    <row r="1369">
      <c r="A1369">
        <f>HYPERLINK("https://www.youtube.com/watch?v=5m4hzh5jFMw", "Video")</f>
        <v/>
      </c>
      <c r="B1369" t="inlineStr">
        <is>
          <t>0:54</t>
        </is>
      </c>
      <c r="C1369" t="inlineStr">
        <is>
          <t>the most resistant
people in new directions.</t>
        </is>
      </c>
      <c r="D1369">
        <f>HYPERLINK("https://www.youtube.com/watch?v=5m4hzh5jFMw&amp;t=54s", "Go to time")</f>
        <v/>
      </c>
    </row>
    <row r="1370">
      <c r="A1370">
        <f>HYPERLINK("https://www.youtube.com/watch?v=5m4hzh5jFMw", "Video")</f>
        <v/>
      </c>
      <c r="B1370" t="inlineStr">
        <is>
          <t>2:35</t>
        </is>
      </c>
      <c r="C1370" t="inlineStr">
        <is>
          <t>and it goes in the
direction we want it to go.</t>
        </is>
      </c>
      <c r="D1370">
        <f>HYPERLINK("https://www.youtube.com/watch?v=5m4hzh5jFMw&amp;t=155s", "Go to time")</f>
        <v/>
      </c>
    </row>
    <row r="1371">
      <c r="A1371">
        <f>HYPERLINK("https://www.youtube.com/watch?v=5m4hzh5jFMw", "Video")</f>
        <v/>
      </c>
      <c r="B1371" t="inlineStr">
        <is>
          <t>11:23</t>
        </is>
      </c>
      <c r="C1371" t="inlineStr">
        <is>
          <t>and you want to take
it in one direction.</t>
        </is>
      </c>
      <c r="D1371">
        <f>HYPERLINK("https://www.youtube.com/watch?v=5m4hzh5jFMw&amp;t=683s", "Go to time")</f>
        <v/>
      </c>
    </row>
    <row r="1372">
      <c r="A1372">
        <f>HYPERLINK("https://www.youtube.com/watch?v=5m4hzh5jFMw", "Video")</f>
        <v/>
      </c>
      <c r="B1372" t="inlineStr">
        <is>
          <t>12:37</t>
        </is>
      </c>
      <c r="C1372" t="inlineStr">
        <is>
          <t>One it gets them to move a
little bit in your direction,</t>
        </is>
      </c>
      <c r="D1372">
        <f>HYPERLINK("https://www.youtube.com/watch?v=5m4hzh5jFMw&amp;t=757s", "Go to time")</f>
        <v/>
      </c>
    </row>
    <row r="1373">
      <c r="A1373">
        <f>HYPERLINK("https://www.youtube.com/watch?v=5m4hzh5jFMw", "Video")</f>
        <v/>
      </c>
      <c r="B1373" t="inlineStr">
        <is>
          <t>23:06</t>
        </is>
      </c>
      <c r="C1373" t="inlineStr">
        <is>
          <t>not pushing them
in one direction,</t>
        </is>
      </c>
      <c r="D1373">
        <f>HYPERLINK("https://www.youtube.com/watch?v=5m4hzh5jFMw&amp;t=1386s", "Go to time")</f>
        <v/>
      </c>
    </row>
    <row r="1374">
      <c r="A1374">
        <f>HYPERLINK("https://www.youtube.com/watch?v=5m4hzh5jFMw", "Video")</f>
        <v/>
      </c>
      <c r="B1374" t="inlineStr">
        <is>
          <t>24:54</t>
        </is>
      </c>
      <c r="C1374" t="inlineStr">
        <is>
          <t>in one direction or another.</t>
        </is>
      </c>
      <c r="D1374">
        <f>HYPERLINK("https://www.youtube.com/watch?v=5m4hzh5jFMw&amp;t=1494s", "Go to time")</f>
        <v/>
      </c>
    </row>
    <row r="1375">
      <c r="A1375">
        <f>HYPERLINK("https://www.youtube.com/watch?v=FExp9YuTzbY", "Video")</f>
        <v/>
      </c>
      <c r="B1375" t="inlineStr">
        <is>
          <t>1:51</t>
        </is>
      </c>
      <c r="C1375" t="inlineStr">
        <is>
          <t>and tokens directly with other users</t>
        </is>
      </c>
      <c r="D1375">
        <f>HYPERLINK("https://www.youtube.com/watch?v=FExp9YuTzbY&amp;t=111s", "Go to time")</f>
        <v/>
      </c>
    </row>
    <row r="1376">
      <c r="A1376">
        <f>HYPERLINK("https://www.youtube.com/watch?v=7mCnr6TBIKE", "Video")</f>
        <v/>
      </c>
      <c r="B1376" t="inlineStr">
        <is>
          <t>19:58</t>
        </is>
      </c>
      <c r="C1376" t="inlineStr">
        <is>
          <t>indirect rather than direct.</t>
        </is>
      </c>
      <c r="D1376">
        <f>HYPERLINK("https://www.youtube.com/watch?v=7mCnr6TBIKE&amp;t=1198s", "Go to time")</f>
        <v/>
      </c>
    </row>
    <row r="1377">
      <c r="A1377">
        <f>HYPERLINK("https://www.youtube.com/watch?v=7mCnr6TBIKE", "Video")</f>
        <v/>
      </c>
      <c r="B1377" t="inlineStr">
        <is>
          <t>35:16</t>
        </is>
      </c>
      <c r="C1377" t="inlineStr">
        <is>
          <t>What do your direct
reports say about you?</t>
        </is>
      </c>
      <c r="D1377">
        <f>HYPERLINK("https://www.youtube.com/watch?v=7mCnr6TBIKE&amp;t=2116s", "Go to time")</f>
        <v/>
      </c>
    </row>
    <row r="1378">
      <c r="A1378">
        <f>HYPERLINK("https://www.youtube.com/watch?v=7mCnr6TBIKE", "Video")</f>
        <v/>
      </c>
      <c r="B1378" t="inlineStr">
        <is>
          <t>35:34</t>
        </is>
      </c>
      <c r="C1378" t="inlineStr">
        <is>
          <t>You see that indirect feedback.</t>
        </is>
      </c>
      <c r="D1378">
        <f>HYPERLINK("https://www.youtube.com/watch?v=7mCnr6TBIKE&amp;t=2134s", "Go to time")</f>
        <v/>
      </c>
    </row>
    <row r="1379">
      <c r="A1379">
        <f>HYPERLINK("https://www.youtube.com/watch?v=7mCnr6TBIKE", "Video")</f>
        <v/>
      </c>
      <c r="B1379" t="inlineStr">
        <is>
          <t>44:34</t>
        </is>
      </c>
      <c r="C1379" t="inlineStr">
        <is>
          <t>It's an online, self-directed
learning and skill-building</t>
        </is>
      </c>
      <c r="D1379">
        <f>HYPERLINK("https://www.youtube.com/watch?v=7mCnr6TBIKE&amp;t=2674s", "Go to time")</f>
        <v/>
      </c>
    </row>
    <row r="1380">
      <c r="A1380">
        <f>HYPERLINK("https://www.youtube.com/watch?v=gziUmTOFyr8", "Video")</f>
        <v/>
      </c>
      <c r="B1380" t="inlineStr">
        <is>
          <t>11:48</t>
        </is>
      </c>
      <c r="C1380" t="inlineStr">
        <is>
          <t>was no direct-to-consumer
or vertical retail business</t>
        </is>
      </c>
      <c r="D1380">
        <f>HYPERLINK("https://www.youtube.com/watch?v=gziUmTOFyr8&amp;t=708s", "Go to time")</f>
        <v/>
      </c>
    </row>
    <row r="1381">
      <c r="A1381">
        <f>HYPERLINK("https://www.youtube.com/watch?v=P562K-K5t94", "Video")</f>
        <v/>
      </c>
      <c r="B1381" t="inlineStr">
        <is>
          <t>0:29</t>
        </is>
      </c>
      <c r="C1381" t="inlineStr">
        <is>
          <t>with your direct reports, and
rather than empowering them,</t>
        </is>
      </c>
      <c r="D1381">
        <f>HYPERLINK("https://www.youtube.com/watch?v=P562K-K5t94&amp;t=29s", "Go to time")</f>
        <v/>
      </c>
    </row>
    <row r="1382">
      <c r="A1382">
        <f>HYPERLINK("https://www.youtube.com/watch?v=nw3Y-aKwTTA", "Video")</f>
        <v/>
      </c>
      <c r="B1382" t="inlineStr">
        <is>
          <t>38:03</t>
        </is>
      </c>
      <c r="C1382" t="inlineStr">
        <is>
          <t>Allan was our director
of intellectual property</t>
        </is>
      </c>
      <c r="D1382">
        <f>HYPERLINK("https://www.youtube.com/watch?v=nw3Y-aKwTTA&amp;t=2283s", "Go to time")</f>
        <v/>
      </c>
    </row>
    <row r="1383">
      <c r="A1383">
        <f>HYPERLINK("https://www.youtube.com/watch?v=MizKfYe-oko", "Video")</f>
        <v/>
      </c>
      <c r="B1383" t="inlineStr">
        <is>
          <t>15:52</t>
        </is>
      </c>
      <c r="C1383" t="inlineStr">
        <is>
          <t>are ones that are directed at
a specific computable goal,</t>
        </is>
      </c>
      <c r="D1383">
        <f>HYPERLINK("https://www.youtube.com/watch?v=MizKfYe-oko&amp;t=952s", "Go to time")</f>
        <v/>
      </c>
    </row>
    <row r="1384">
      <c r="A1384">
        <f>HYPERLINK("https://www.youtube.com/watch?v=MizKfYe-oko", "Video")</f>
        <v/>
      </c>
      <c r="B1384" t="inlineStr">
        <is>
          <t>17:10</t>
        </is>
      </c>
      <c r="C1384" t="inlineStr">
        <is>
          <t>what I call, atelic,
non-goal-directed projects,</t>
        </is>
      </c>
      <c r="D1384">
        <f>HYPERLINK("https://www.youtube.com/watch?v=MizKfYe-oko&amp;t=1030s", "Go to time")</f>
        <v/>
      </c>
    </row>
    <row r="1385">
      <c r="A1385">
        <f>HYPERLINK("https://www.youtube.com/watch?v=hD4KUkkPAT4", "Video")</f>
        <v/>
      </c>
      <c r="B1385" t="inlineStr">
        <is>
          <t>11:03</t>
        </is>
      </c>
      <c r="C1385" t="inlineStr">
        <is>
          <t>is the ability to have
items directly shipped</t>
        </is>
      </c>
      <c r="D1385">
        <f>HYPERLINK("https://www.youtube.com/watch?v=hD4KUkkPAT4&amp;t=663s", "Go to time")</f>
        <v/>
      </c>
    </row>
    <row r="1386">
      <c r="A1386">
        <f>HYPERLINK("https://www.youtube.com/watch?v=hD4KUkkPAT4", "Video")</f>
        <v/>
      </c>
      <c r="B1386" t="inlineStr">
        <is>
          <t>13:36</t>
        </is>
      </c>
      <c r="C1386" t="inlineStr">
        <is>
          <t>like our 365 products,
shipped directly to your home,</t>
        </is>
      </c>
      <c r="D1386">
        <f>HYPERLINK("https://www.youtube.com/watch?v=hD4KUkkPAT4&amp;t=816s", "Go to time")</f>
        <v/>
      </c>
    </row>
    <row r="1387">
      <c r="A1387">
        <f>HYPERLINK("https://www.youtube.com/watch?v=hD4KUkkPAT4", "Video")</f>
        <v/>
      </c>
      <c r="B1387" t="inlineStr">
        <is>
          <t>15:49</t>
        </is>
      </c>
      <c r="C1387" t="inlineStr">
        <is>
          <t>two of my direct
reports actually</t>
        </is>
      </c>
      <c r="D1387">
        <f>HYPERLINK("https://www.youtube.com/watch?v=hD4KUkkPAT4&amp;t=949s", "Go to time")</f>
        <v/>
      </c>
    </row>
    <row r="1388">
      <c r="A1388">
        <f>HYPERLINK("https://www.youtube.com/watch?v=hD4KUkkPAT4", "Video")</f>
        <v/>
      </c>
      <c r="B1388" t="inlineStr">
        <is>
          <t>16:07</t>
        </is>
      </c>
      <c r="C1388" t="inlineStr">
        <is>
          <t>reporting directly to me for
all of Whole Foods Market.</t>
        </is>
      </c>
      <c r="D1388">
        <f>HYPERLINK("https://www.youtube.com/watch?v=hD4KUkkPAT4&amp;t=967s", "Go to time")</f>
        <v/>
      </c>
    </row>
    <row r="1389">
      <c r="A1389">
        <f>HYPERLINK("https://www.youtube.com/watch?v=hD4KUkkPAT4", "Video")</f>
        <v/>
      </c>
      <c r="B1389" t="inlineStr">
        <is>
          <t>22:58</t>
        </is>
      </c>
      <c r="C1389" t="inlineStr">
        <is>
          <t>I'm spending time
directly in our stores,</t>
        </is>
      </c>
      <c r="D1389">
        <f>HYPERLINK("https://www.youtube.com/watch?v=hD4KUkkPAT4&amp;t=1378s", "Go to time")</f>
        <v/>
      </c>
    </row>
    <row r="1390">
      <c r="A1390">
        <f>HYPERLINK("https://www.youtube.com/watch?v=MpIBmzbxcLo", "Video")</f>
        <v/>
      </c>
      <c r="B1390" t="inlineStr">
        <is>
          <t>2:01</t>
        </is>
      </c>
      <c r="C1390" t="inlineStr">
        <is>
          <t>It's clear that's the
direction that we're moving.</t>
        </is>
      </c>
      <c r="D1390">
        <f>HYPERLINK("https://www.youtube.com/watch?v=MpIBmzbxcLo&amp;t=121s", "Go to time")</f>
        <v/>
      </c>
    </row>
    <row r="1391">
      <c r="A1391">
        <f>HYPERLINK("https://www.youtube.com/watch?v=M1KFg6edqro", "Video")</f>
        <v/>
      </c>
      <c r="B1391" t="inlineStr">
        <is>
          <t>19:12</t>
        </is>
      </c>
      <c r="C1391" t="inlineStr">
        <is>
          <t>direction</t>
        </is>
      </c>
      <c r="D1391">
        <f>HYPERLINK("https://www.youtube.com/watch?v=M1KFg6edqro&amp;t=1152s", "Go to time")</f>
        <v/>
      </c>
    </row>
    <row r="1392">
      <c r="A1392">
        <f>HYPERLINK("https://www.youtube.com/watch?v=M1KFg6edqro", "Video")</f>
        <v/>
      </c>
      <c r="B1392" t="inlineStr">
        <is>
          <t>25:46</t>
        </is>
      </c>
      <c r="C1392" t="inlineStr">
        <is>
          <t>and maybe direct sales as well yeah well</t>
        </is>
      </c>
      <c r="D1392">
        <f>HYPERLINK("https://www.youtube.com/watch?v=M1KFg6edqro&amp;t=1546s", "Go to time")</f>
        <v/>
      </c>
    </row>
    <row r="1393">
      <c r="A1393">
        <f>HYPERLINK("https://www.youtube.com/watch?v=M1KFg6edqro", "Video")</f>
        <v/>
      </c>
      <c r="B1393" t="inlineStr">
        <is>
          <t>33:08</t>
        </is>
      </c>
      <c r="C1393" t="inlineStr">
        <is>
          <t>julia butler broadcast director dave</t>
        </is>
      </c>
      <c r="D1393">
        <f>HYPERLINK("https://www.youtube.com/watch?v=M1KFg6edqro&amp;t=1988s", "Go to time")</f>
        <v/>
      </c>
    </row>
    <row r="1394">
      <c r="A1394">
        <f>HYPERLINK("https://www.youtube.com/watch?v=M1KFg6edqro", "Video")</f>
        <v/>
      </c>
      <c r="B1394" t="inlineStr">
        <is>
          <t>33:11</t>
        </is>
      </c>
      <c r="C1394" t="inlineStr">
        <is>
          <t>diulio director of photography ellie</t>
        </is>
      </c>
      <c r="D1394">
        <f>HYPERLINK("https://www.youtube.com/watch?v=M1KFg6edqro&amp;t=1991s", "Go to time")</f>
        <v/>
      </c>
    </row>
    <row r="1395">
      <c r="A1395">
        <f>HYPERLINK("https://www.youtube.com/watch?v=r5O0yKixfjI", "Video")</f>
        <v/>
      </c>
      <c r="B1395" t="inlineStr">
        <is>
          <t>9:07</t>
        </is>
      </c>
      <c r="C1395" t="inlineStr">
        <is>
          <t>What I'm not hearing
you say directly,</t>
        </is>
      </c>
      <c r="D1395">
        <f>HYPERLINK("https://www.youtube.com/watch?v=r5O0yKixfjI&amp;t=547s", "Go to time")</f>
        <v/>
      </c>
    </row>
    <row r="1396">
      <c r="A1396">
        <f>HYPERLINK("https://www.youtube.com/watch?v=r5O0yKixfjI", "Video")</f>
        <v/>
      </c>
      <c r="B1396" t="inlineStr">
        <is>
          <t>11:26</t>
        </is>
      </c>
      <c r="C1396" t="inlineStr">
        <is>
          <t>And rather than being that
direct line of responsibility,</t>
        </is>
      </c>
      <c r="D1396">
        <f>HYPERLINK("https://www.youtube.com/watch?v=r5O0yKixfjI&amp;t=686s", "Go to time")</f>
        <v/>
      </c>
    </row>
    <row r="1397">
      <c r="A1397">
        <f>HYPERLINK("https://www.youtube.com/watch?v=r5O0yKixfjI", "Video")</f>
        <v/>
      </c>
      <c r="B1397" t="inlineStr">
        <is>
          <t>33:13</t>
        </is>
      </c>
      <c r="C1397" t="inlineStr">
        <is>
          <t>is the question that you need
to be direct with and ask.</t>
        </is>
      </c>
      <c r="D1397">
        <f>HYPERLINK("https://www.youtube.com/watch?v=r5O0yKixfjI&amp;t=1993s", "Go to time")</f>
        <v/>
      </c>
    </row>
    <row r="1398">
      <c r="A1398">
        <f>HYPERLINK("https://www.youtube.com/watch?v=r5O0yKixfjI", "Video")</f>
        <v/>
      </c>
      <c r="B1398" t="inlineStr">
        <is>
          <t>44:06</t>
        </is>
      </c>
      <c r="C1398" t="inlineStr">
        <is>
          <t>sponsor who where you can come
in and be very direct with what</t>
        </is>
      </c>
      <c r="D1398">
        <f>HYPERLINK("https://www.youtube.com/watch?v=r5O0yKixfjI&amp;t=2646s", "Go to time")</f>
        <v/>
      </c>
    </row>
    <row r="1399">
      <c r="A1399">
        <f>HYPERLINK("https://www.youtube.com/watch?v=oJAc9-huRWs", "Video")</f>
        <v/>
      </c>
      <c r="B1399" t="inlineStr">
        <is>
          <t>13:03</t>
        </is>
      </c>
      <c r="C1399" t="inlineStr">
        <is>
          <t>zoonotic disease a direct result of</t>
        </is>
      </c>
      <c r="D1399">
        <f>HYPERLINK("https://www.youtube.com/watch?v=oJAc9-huRWs&amp;t=783s", "Go to time")</f>
        <v/>
      </c>
    </row>
    <row r="1400">
      <c r="A1400">
        <f>HYPERLINK("https://www.youtube.com/watch?v=5LQQthGf8g8", "Video")</f>
        <v/>
      </c>
      <c r="B1400" t="inlineStr">
        <is>
          <t>18:42</t>
        </is>
      </c>
      <c r="C1400" t="inlineStr">
        <is>
          <t>They go directly to
how do I create a brand</t>
        </is>
      </c>
      <c r="D1400">
        <f>HYPERLINK("https://www.youtube.com/watch?v=5LQQthGf8g8&amp;t=1122s", "Go to time")</f>
        <v/>
      </c>
    </row>
    <row r="1401">
      <c r="A1401">
        <f>HYPERLINK("https://www.youtube.com/watch?v=5LQQthGf8g8", "Video")</f>
        <v/>
      </c>
      <c r="B1401" t="inlineStr">
        <is>
          <t>22:15</t>
        </is>
      </c>
      <c r="C1401" t="inlineStr">
        <is>
          <t>about moving in
that direction, I</t>
        </is>
      </c>
      <c r="D1401">
        <f>HYPERLINK("https://www.youtube.com/watch?v=5LQQthGf8g8&amp;t=1335s", "Go to time")</f>
        <v/>
      </c>
    </row>
    <row r="1402">
      <c r="A1402">
        <f>HYPERLINK("https://www.youtube.com/watch?v=5LQQthGf8g8", "Video")</f>
        <v/>
      </c>
      <c r="B1402" t="inlineStr">
        <is>
          <t>35:21</t>
        </is>
      </c>
      <c r="C1402" t="inlineStr">
        <is>
          <t>Because I saw early on there
was this meme or some direction</t>
        </is>
      </c>
      <c r="D1402">
        <f>HYPERLINK("https://www.youtube.com/watch?v=5LQQthGf8g8&amp;t=2121s", "Go to time")</f>
        <v/>
      </c>
    </row>
    <row r="1403">
      <c r="A1403">
        <f>HYPERLINK("https://www.youtube.com/watch?v=5LQQthGf8g8", "Video")</f>
        <v/>
      </c>
      <c r="B1403" t="inlineStr">
        <is>
          <t>39:38</t>
        </is>
      </c>
      <c r="C1403" t="inlineStr">
        <is>
          <t>our broadcast director; Karen
Player, [? Rico ?] Cruz;</t>
        </is>
      </c>
      <c r="D1403">
        <f>HYPERLINK("https://www.youtube.com/watch?v=5LQQthGf8g8&amp;t=2378s", "Go to time")</f>
        <v/>
      </c>
    </row>
    <row r="1404">
      <c r="A1404">
        <f>HYPERLINK("https://www.youtube.com/watch?v=NCZM5QQ2_W0", "Video")</f>
        <v/>
      </c>
      <c r="B1404" t="inlineStr">
        <is>
          <t>1:11</t>
        </is>
      </c>
      <c r="C1404" t="inlineStr">
        <is>
          <t>He is Director of the
National Institute of Allergy</t>
        </is>
      </c>
      <c r="D1404">
        <f>HYPERLINK("https://www.youtube.com/watch?v=NCZM5QQ2_W0&amp;t=71s", "Go to time")</f>
        <v/>
      </c>
    </row>
    <row r="1405">
      <c r="A1405">
        <f>HYPERLINK("https://www.youtube.com/watch?v=NCZM5QQ2_W0", "Video")</f>
        <v/>
      </c>
      <c r="B1405" t="inlineStr">
        <is>
          <t>4:30</t>
        </is>
      </c>
      <c r="C1405" t="inlineStr">
        <is>
          <t>have, that we do need
more central direction,</t>
        </is>
      </c>
      <c r="D1405">
        <f>HYPERLINK("https://www.youtube.com/watch?v=NCZM5QQ2_W0&amp;t=270s", "Go to time")</f>
        <v/>
      </c>
    </row>
    <row r="1406">
      <c r="A1406">
        <f>HYPERLINK("https://www.youtube.com/watch?v=NCZM5QQ2_W0", "Video")</f>
        <v/>
      </c>
      <c r="B1406" t="inlineStr">
        <is>
          <t>6:42</t>
        </is>
      </c>
      <c r="C1406" t="inlineStr">
        <is>
          <t>what it might mean if we go in
one direction versus the other.</t>
        </is>
      </c>
      <c r="D1406">
        <f>HYPERLINK("https://www.youtube.com/watch?v=NCZM5QQ2_W0&amp;t=402s", "Go to time")</f>
        <v/>
      </c>
    </row>
    <row r="1407">
      <c r="A1407">
        <f>HYPERLINK("https://www.youtube.com/watch?v=NCZM5QQ2_W0", "Video")</f>
        <v/>
      </c>
      <c r="B1407" t="inlineStr">
        <is>
          <t>8:14</t>
        </is>
      </c>
      <c r="C1407" t="inlineStr">
        <is>
          <t>of what economic impact a
certain direction will take us.</t>
        </is>
      </c>
      <c r="D1407">
        <f>HYPERLINK("https://www.youtube.com/watch?v=NCZM5QQ2_W0&amp;t=494s", "Go to time")</f>
        <v/>
      </c>
    </row>
    <row r="1408">
      <c r="A1408">
        <f>HYPERLINK("https://www.youtube.com/watch?v=r8KUhBVSQ_U", "Video")</f>
        <v/>
      </c>
      <c r="B1408" t="inlineStr">
        <is>
          <t>9:31</t>
        </is>
      </c>
      <c r="C1408" t="inlineStr">
        <is>
          <t>And this is the direction
I decided to go.</t>
        </is>
      </c>
      <c r="D1408">
        <f>HYPERLINK("https://www.youtube.com/watch?v=r8KUhBVSQ_U&amp;t=571s", "Go to time")</f>
        <v/>
      </c>
    </row>
    <row r="1409">
      <c r="A1409">
        <f>HYPERLINK("https://www.youtube.com/watch?v=HkzmNQ7iauw", "Video")</f>
        <v/>
      </c>
      <c r="B1409" t="inlineStr">
        <is>
          <t>8:02</t>
        </is>
      </c>
      <c r="C1409" t="inlineStr">
        <is>
          <t>on so many of their
direct interests,</t>
        </is>
      </c>
      <c r="D1409">
        <f>HYPERLINK("https://www.youtube.com/watch?v=HkzmNQ7iauw&amp;t=482s", "Go to time")</f>
        <v/>
      </c>
    </row>
    <row r="1410">
      <c r="A1410">
        <f>HYPERLINK("https://www.youtube.com/watch?v=HkzmNQ7iauw", "Video")</f>
        <v/>
      </c>
      <c r="B1410" t="inlineStr">
        <is>
          <t>24:26</t>
        </is>
      </c>
      <c r="C1410" t="inlineStr">
        <is>
          <t>They're more concerned about the
direct geopolitical challenges.</t>
        </is>
      </c>
      <c r="D1410">
        <f>HYPERLINK("https://www.youtube.com/watch?v=HkzmNQ7iauw&amp;t=1466s", "Go to time")</f>
        <v/>
      </c>
    </row>
    <row r="1411">
      <c r="A1411">
        <f>HYPERLINK("https://www.youtube.com/watch?v=HkzmNQ7iauw", "Video")</f>
        <v/>
      </c>
      <c r="B1411" t="inlineStr">
        <is>
          <t>28:38</t>
        </is>
      </c>
      <c r="C1411" t="inlineStr">
        <is>
          <t>But we're starting to feel
it in a much more direct way.</t>
        </is>
      </c>
      <c r="D1411">
        <f>HYPERLINK("https://www.youtube.com/watch?v=HkzmNQ7iauw&amp;t=1718s", "Go to time")</f>
        <v/>
      </c>
    </row>
    <row r="1412">
      <c r="A1412">
        <f>HYPERLINK("https://www.youtube.com/watch?v=BjjjrNAM_Qk", "Video")</f>
        <v/>
      </c>
      <c r="B1412" t="inlineStr">
        <is>
          <t>7:51</t>
        </is>
      </c>
      <c r="C1412" t="inlineStr">
        <is>
          <t>And what boards of directors,
senior executives, and managers</t>
        </is>
      </c>
      <c r="D1412">
        <f>HYPERLINK("https://www.youtube.com/watch?v=BjjjrNAM_Qk&amp;t=471s", "Go to time")</f>
        <v/>
      </c>
    </row>
    <row r="1413">
      <c r="A1413">
        <f>HYPERLINK("https://www.youtube.com/watch?v=BjjjrNAM_Qk", "Video")</f>
        <v/>
      </c>
      <c r="B1413" t="inlineStr">
        <is>
          <t>10:19</t>
        </is>
      </c>
      <c r="C1413" t="inlineStr">
        <is>
          <t>cybersecurity directly got into
interfered with their work.</t>
        </is>
      </c>
      <c r="D1413">
        <f>HYPERLINK("https://www.youtube.com/watch?v=BjjjrNAM_Qk&amp;t=619s", "Go to time")</f>
        <v/>
      </c>
    </row>
    <row r="1414">
      <c r="A1414">
        <f>HYPERLINK("https://www.youtube.com/watch?v=Z12dACPRtSo", "Video")</f>
        <v/>
      </c>
      <c r="B1414" t="inlineStr">
        <is>
          <t>3:04</t>
        </is>
      </c>
      <c r="C1414" t="inlineStr">
        <is>
          <t>and people challenging each
other of what is our direction.</t>
        </is>
      </c>
      <c r="D1414">
        <f>HYPERLINK("https://www.youtube.com/watch?v=Z12dACPRtSo&amp;t=184s", "Go to time")</f>
        <v/>
      </c>
    </row>
    <row r="1415">
      <c r="A1415">
        <f>HYPERLINK("https://www.youtube.com/watch?v=Z12dACPRtSo", "Video")</f>
        <v/>
      </c>
      <c r="B1415" t="inlineStr">
        <is>
          <t>16:32</t>
        </is>
      </c>
      <c r="C1415" t="inlineStr">
        <is>
          <t>has to go into the direction
of their motivation.</t>
        </is>
      </c>
      <c r="D1415">
        <f>HYPERLINK("https://www.youtube.com/watch?v=Z12dACPRtSo&amp;t=992s", "Go to time")</f>
        <v/>
      </c>
    </row>
    <row r="1416">
      <c r="A1416">
        <f>HYPERLINK("https://www.youtube.com/watch?v=Z12dACPRtSo", "Video")</f>
        <v/>
      </c>
      <c r="B1416" t="inlineStr">
        <is>
          <t>24:30</t>
        </is>
      </c>
      <c r="C1416" t="inlineStr">
        <is>
          <t>Because if we know that that
is generally the direction</t>
        </is>
      </c>
      <c r="D1416">
        <f>HYPERLINK("https://www.youtube.com/watch?v=Z12dACPRtSo&amp;t=1470s", "Go to time")</f>
        <v/>
      </c>
    </row>
    <row r="1417">
      <c r="A1417">
        <f>HYPERLINK("https://www.youtube.com/watch?v=Z12dACPRtSo", "Video")</f>
        <v/>
      </c>
      <c r="B1417" t="inlineStr">
        <is>
          <t>37:33</t>
        </is>
      </c>
      <c r="C1417" t="inlineStr">
        <is>
          <t>So in an ideal state, you
would be getting direction</t>
        </is>
      </c>
      <c r="D1417">
        <f>HYPERLINK("https://www.youtube.com/watch?v=Z12dACPRtSo&amp;t=2253s", "Go to time")</f>
        <v/>
      </c>
    </row>
    <row r="1418">
      <c r="A1418">
        <f>HYPERLINK("https://www.youtube.com/watch?v=Z12dACPRtSo", "Video")</f>
        <v/>
      </c>
      <c r="B1418" t="inlineStr">
        <is>
          <t>40:04</t>
        </is>
      </c>
      <c r="C1418" t="inlineStr">
        <is>
          <t>operating with no direction.</t>
        </is>
      </c>
      <c r="D1418">
        <f>HYPERLINK("https://www.youtube.com/watch?v=Z12dACPRtSo&amp;t=2404s", "Go to time")</f>
        <v/>
      </c>
    </row>
    <row r="1419">
      <c r="A1419">
        <f>HYPERLINK("https://www.youtube.com/watch?v=Z12dACPRtSo", "Video")</f>
        <v/>
      </c>
      <c r="B1419" t="inlineStr">
        <is>
          <t>40:45</t>
        </is>
      </c>
      <c r="C1419" t="inlineStr">
        <is>
          <t>With the direction
some of this has gone,</t>
        </is>
      </c>
      <c r="D1419">
        <f>HYPERLINK("https://www.youtube.com/watch?v=Z12dACPRtSo&amp;t=2445s", "Go to time")</f>
        <v/>
      </c>
    </row>
    <row r="1420">
      <c r="A1420">
        <f>HYPERLINK("https://www.youtube.com/watch?v=Z12dACPRtSo", "Video")</f>
        <v/>
      </c>
      <c r="B1420" t="inlineStr">
        <is>
          <t>43:32</t>
        </is>
      </c>
      <c r="C1420" t="inlineStr">
        <is>
          <t>skill of asserting
and setting direction.</t>
        </is>
      </c>
      <c r="D1420">
        <f>HYPERLINK("https://www.youtube.com/watch?v=Z12dACPRtSo&amp;t=2612s", "Go to time")</f>
        <v/>
      </c>
    </row>
    <row r="1421">
      <c r="A1421">
        <f>HYPERLINK("https://www.youtube.com/watch?v=Z12dACPRtSo", "Video")</f>
        <v/>
      </c>
      <c r="B1421" t="inlineStr">
        <is>
          <t>43:41</t>
        </is>
      </c>
      <c r="C1421" t="inlineStr">
        <is>
          <t>to help set some of that
direction this time.</t>
        </is>
      </c>
      <c r="D1421">
        <f>HYPERLINK("https://www.youtube.com/watch?v=Z12dACPRtSo&amp;t=2621s", "Go to time")</f>
        <v/>
      </c>
    </row>
    <row r="1422">
      <c r="A1422">
        <f>HYPERLINK("https://www.youtube.com/watch?v=Z12dACPRtSo", "Video")</f>
        <v/>
      </c>
      <c r="B1422" t="inlineStr">
        <is>
          <t>45:49</t>
        </is>
      </c>
      <c r="C1422" t="inlineStr">
        <is>
          <t>the directional framing, context
setting capabilities that</t>
        </is>
      </c>
      <c r="D1422">
        <f>HYPERLINK("https://www.youtube.com/watch?v=Z12dACPRtSo&amp;t=2749s", "Go to time")</f>
        <v/>
      </c>
    </row>
    <row r="1423">
      <c r="A1423">
        <f>HYPERLINK("https://www.youtube.com/watch?v=Z12dACPRtSo", "Video")</f>
        <v/>
      </c>
      <c r="B1423" t="inlineStr">
        <is>
          <t>48:05</t>
        </is>
      </c>
      <c r="C1423" t="inlineStr">
        <is>
          <t>be clear with my options,
but also in the direction</t>
        </is>
      </c>
      <c r="D1423">
        <f>HYPERLINK("https://www.youtube.com/watch?v=Z12dACPRtSo&amp;t=2885s", "Go to time")</f>
        <v/>
      </c>
    </row>
    <row r="1424">
      <c r="A1424">
        <f>HYPERLINK("https://www.youtube.com/watch?v=yp5vmeoId34", "Video")</f>
        <v/>
      </c>
      <c r="B1424" t="inlineStr">
        <is>
          <t>24:52</t>
        </is>
      </c>
      <c r="C1424" t="inlineStr">
        <is>
          <t>collaborate either directly with them or</t>
        </is>
      </c>
      <c r="D1424">
        <f>HYPERLINK("https://www.youtube.com/watch?v=yp5vmeoId34&amp;t=1492s", "Go to time")</f>
        <v/>
      </c>
    </row>
    <row r="1425">
      <c r="A1425">
        <f>HYPERLINK("https://www.youtube.com/watch?v=bVdQkQjk9gk", "Video")</f>
        <v/>
      </c>
      <c r="B1425" t="inlineStr">
        <is>
          <t>24:03</t>
        </is>
      </c>
      <c r="C1425" t="inlineStr">
        <is>
          <t>Since many organizations
are going in this direction,</t>
        </is>
      </c>
      <c r="D1425">
        <f>HYPERLINK("https://www.youtube.com/watch?v=bVdQkQjk9gk&amp;t=1443s", "Go to time")</f>
        <v/>
      </c>
    </row>
    <row r="1426">
      <c r="A1426">
        <f>HYPERLINK("https://www.youtube.com/watch?v=UYqKaRSW1CI", "Video")</f>
        <v/>
      </c>
      <c r="B1426" t="inlineStr">
        <is>
          <t>0:22</t>
        </is>
      </c>
      <c r="C1426" t="inlineStr">
        <is>
          <t>and worked directly with
dozens of large companies</t>
        </is>
      </c>
      <c r="D1426">
        <f>HYPERLINK("https://www.youtube.com/watch?v=UYqKaRSW1CI&amp;t=22s", "Go to time")</f>
        <v/>
      </c>
    </row>
    <row r="1427">
      <c r="A1427">
        <f>HYPERLINK("https://www.youtube.com/watch?v=z9BuPIXiwq0", "Video")</f>
        <v/>
      </c>
      <c r="B1427" t="inlineStr">
        <is>
          <t>1:31</t>
        </is>
      </c>
      <c r="C1427" t="inlineStr">
        <is>
          <t>MURIEL WILKINS: For a long time,
Mo was at the director level</t>
        </is>
      </c>
      <c r="D1427">
        <f>HYPERLINK("https://www.youtube.com/watch?v=z9BuPIXiwq0&amp;t=91s", "Go to time")</f>
        <v/>
      </c>
    </row>
    <row r="1428">
      <c r="A1428">
        <f>HYPERLINK("https://www.youtube.com/watch?v=z9BuPIXiwq0", "Video")</f>
        <v/>
      </c>
      <c r="B1428" t="inlineStr">
        <is>
          <t>7:28</t>
        </is>
      </c>
      <c r="C1428" t="inlineStr">
        <is>
          <t>You've worked with-- sounds
like you've worked directly</t>
        </is>
      </c>
      <c r="D1428">
        <f>HYPERLINK("https://www.youtube.com/watch?v=z9BuPIXiwq0&amp;t=448s", "Go to time")</f>
        <v/>
      </c>
    </row>
    <row r="1429">
      <c r="A1429">
        <f>HYPERLINK("https://www.youtube.com/watch?v=z9BuPIXiwq0", "Video")</f>
        <v/>
      </c>
      <c r="B1429" t="inlineStr">
        <is>
          <t>17:04</t>
        </is>
      </c>
      <c r="C1429" t="inlineStr">
        <is>
          <t>forward and the
direction later changes,</t>
        </is>
      </c>
      <c r="D1429">
        <f>HYPERLINK("https://www.youtube.com/watch?v=z9BuPIXiwq0&amp;t=1024s", "Go to time")</f>
        <v/>
      </c>
    </row>
    <row r="1430">
      <c r="A1430">
        <f>HYPERLINK("https://www.youtube.com/watch?v=z9BuPIXiwq0", "Video")</f>
        <v/>
      </c>
      <c r="B1430" t="inlineStr">
        <is>
          <t>29:35</t>
        </is>
      </c>
      <c r="C1430" t="inlineStr">
        <is>
          <t>And then what are ways that this
strategic vision and direction</t>
        </is>
      </c>
      <c r="D1430">
        <f>HYPERLINK("https://www.youtube.com/watch?v=z9BuPIXiwq0&amp;t=1775s", "Go to time")</f>
        <v/>
      </c>
    </row>
    <row r="1431">
      <c r="A1431">
        <f>HYPERLINK("https://www.youtube.com/watch?v=z9BuPIXiwq0", "Video")</f>
        <v/>
      </c>
      <c r="B1431" t="inlineStr">
        <is>
          <t>30:56</t>
        </is>
      </c>
      <c r="C1431" t="inlineStr">
        <is>
          <t>now of not getting direction.</t>
        </is>
      </c>
      <c r="D1431">
        <f>HYPERLINK("https://www.youtube.com/watch?v=z9BuPIXiwq0&amp;t=1856s", "Go to time")</f>
        <v/>
      </c>
    </row>
    <row r="1432">
      <c r="A1432">
        <f>HYPERLINK("https://www.youtube.com/watch?v=z9BuPIXiwq0", "Video")</f>
        <v/>
      </c>
      <c r="B1432" t="inlineStr">
        <is>
          <t>39:33</t>
        </is>
      </c>
      <c r="C1432" t="inlineStr">
        <is>
          <t>to work toward accomplishing
these strategic directions.</t>
        </is>
      </c>
      <c r="D1432">
        <f>HYPERLINK("https://www.youtube.com/watch?v=z9BuPIXiwq0&amp;t=2373s", "Go to time")</f>
        <v/>
      </c>
    </row>
    <row r="1433">
      <c r="A1433">
        <f>HYPERLINK("https://www.youtube.com/watch?v=z9BuPIXiwq0", "Video")</f>
        <v/>
      </c>
      <c r="B1433" t="inlineStr">
        <is>
          <t>41:04</t>
        </is>
      </c>
      <c r="C1433" t="inlineStr">
        <is>
          <t>Obviously you wouldn't be
heading in that direction</t>
        </is>
      </c>
      <c r="D1433">
        <f>HYPERLINK("https://www.youtube.com/watch?v=z9BuPIXiwq0&amp;t=2464s", "Go to time")</f>
        <v/>
      </c>
    </row>
    <row r="1434">
      <c r="A1434">
        <f>HYPERLINK("https://www.youtube.com/watch?v=pSnGOI9gEXA", "Video")</f>
        <v/>
      </c>
      <c r="B1434" t="inlineStr">
        <is>
          <t>5:32</t>
        </is>
      </c>
      <c r="C1434" t="inlineStr">
        <is>
          <t>wrong direction if it's not going well</t>
        </is>
      </c>
      <c r="D1434">
        <f>HYPERLINK("https://www.youtube.com/watch?v=pSnGOI9gEXA&amp;t=332s", "Go to time")</f>
        <v/>
      </c>
    </row>
    <row r="1435">
      <c r="A1435">
        <f>HYPERLINK("https://www.youtube.com/watch?v=IRG-YubP1rw", "Video")</f>
        <v/>
      </c>
      <c r="B1435" t="inlineStr">
        <is>
          <t>4:35</t>
        </is>
      </c>
      <c r="C1435" t="inlineStr">
        <is>
          <t>You know, in film and TV,
directors will ask their actors</t>
        </is>
      </c>
      <c r="D1435">
        <f>HYPERLINK("https://www.youtube.com/watch?v=IRG-YubP1rw&amp;t=275s", "Go to time")</f>
        <v/>
      </c>
    </row>
    <row r="1436">
      <c r="A1436">
        <f>HYPERLINK("https://www.youtube.com/watch?v=TvV7HJLkkQw", "Video")</f>
        <v/>
      </c>
      <c r="B1436" t="inlineStr">
        <is>
          <t>22:35</t>
        </is>
      </c>
      <c r="C1436" t="inlineStr">
        <is>
          <t>to answer an email or a direct
message on something like Slack</t>
        </is>
      </c>
      <c r="D1436">
        <f>HYPERLINK("https://www.youtube.com/watch?v=TvV7HJLkkQw&amp;t=1355s", "Go to time")</f>
        <v/>
      </c>
    </row>
    <row r="1437">
      <c r="A1437">
        <f>HYPERLINK("https://www.youtube.com/watch?v=qBDqNiFpX3o", "Video")</f>
        <v/>
      </c>
      <c r="B1437" t="inlineStr">
        <is>
          <t>10:39</t>
        </is>
      </c>
      <c r="C1437" t="inlineStr">
        <is>
          <t>directors that are correspond with each</t>
        </is>
      </c>
      <c r="D1437">
        <f>HYPERLINK("https://www.youtube.com/watch?v=qBDqNiFpX3o&amp;t=639s", "Go to time")</f>
        <v/>
      </c>
    </row>
    <row r="1438">
      <c r="A1438">
        <f>HYPERLINK("https://www.youtube.com/watch?v=qBDqNiFpX3o", "Video")</f>
        <v/>
      </c>
      <c r="B1438" t="inlineStr">
        <is>
          <t>15:41</t>
        </is>
      </c>
      <c r="C1438" t="inlineStr">
        <is>
          <t>director from an underrepresented</t>
        </is>
      </c>
      <c r="D1438">
        <f>HYPERLINK("https://www.youtube.com/watch?v=qBDqNiFpX3o&amp;t=941s", "Go to time")</f>
        <v/>
      </c>
    </row>
    <row r="1439">
      <c r="A1439">
        <f>HYPERLINK("https://www.youtube.com/watch?v=qBDqNiFpX3o", "Video")</f>
        <v/>
      </c>
      <c r="B1439" t="inlineStr">
        <is>
          <t>29:36</t>
        </is>
      </c>
      <c r="C1439" t="inlineStr">
        <is>
          <t>director of this organization about</t>
        </is>
      </c>
      <c r="D1439">
        <f>HYPERLINK("https://www.youtube.com/watch?v=qBDqNiFpX3o&amp;t=1776s", "Go to time")</f>
        <v/>
      </c>
    </row>
    <row r="1440">
      <c r="A1440">
        <f>HYPERLINK("https://www.youtube.com/watch?v=qBDqNiFpX3o", "Video")</f>
        <v/>
      </c>
      <c r="B1440" t="inlineStr">
        <is>
          <t>37:44</t>
        </is>
      </c>
      <c r="C1440" t="inlineStr">
        <is>
          <t>our team did not directly do</t>
        </is>
      </c>
      <c r="D1440">
        <f>HYPERLINK("https://www.youtube.com/watch?v=qBDqNiFpX3o&amp;t=2264s", "Go to time")</f>
        <v/>
      </c>
    </row>
    <row r="1441">
      <c r="A1441">
        <f>HYPERLINK("https://www.youtube.com/watch?v=qBDqNiFpX3o", "Video")</f>
        <v/>
      </c>
      <c r="B1441" t="inlineStr">
        <is>
          <t>38:30</t>
        </is>
      </c>
      <c r="C1441" t="inlineStr">
        <is>
          <t>he's a director he said it to a bunch of</t>
        </is>
      </c>
      <c r="D1441">
        <f>HYPERLINK("https://www.youtube.com/watch?v=qBDqNiFpX3o&amp;t=2310s", "Go to time")</f>
        <v/>
      </c>
    </row>
    <row r="1442">
      <c r="A1442">
        <f>HYPERLINK("https://www.youtube.com/watch?v=1KHkzyyQExU", "Video")</f>
        <v/>
      </c>
      <c r="B1442" t="inlineStr">
        <is>
          <t>7:09</t>
        </is>
      </c>
      <c r="C1442" t="inlineStr">
        <is>
          <t>to work directly for him and and and</t>
        </is>
      </c>
      <c r="D1442">
        <f>HYPERLINK("https://www.youtube.com/watch?v=1KHkzyyQExU&amp;t=429s", "Go to time")</f>
        <v/>
      </c>
    </row>
    <row r="1443">
      <c r="A1443">
        <f>HYPERLINK("https://www.youtube.com/watch?v=BLsKMTZEWn4", "Video")</f>
        <v/>
      </c>
      <c r="B1443" t="inlineStr">
        <is>
          <t>2:48</t>
        </is>
      </c>
      <c r="C1443" t="inlineStr">
        <is>
          <t>So what are the implications
for the board of directors,</t>
        </is>
      </c>
      <c r="D1443">
        <f>HYPERLINK("https://www.youtube.com/watch?v=BLsKMTZEWn4&amp;t=168s", "Go to time")</f>
        <v/>
      </c>
    </row>
    <row r="1444">
      <c r="A1444">
        <f>HYPERLINK("https://www.youtube.com/watch?v=BLsKMTZEWn4", "Video")</f>
        <v/>
      </c>
      <c r="B1444" t="inlineStr">
        <is>
          <t>2:51</t>
        </is>
      </c>
      <c r="C1444" t="inlineStr">
        <is>
          <t>and set clear
strategic direction</t>
        </is>
      </c>
      <c r="D1444">
        <f>HYPERLINK("https://www.youtube.com/watch?v=BLsKMTZEWn4&amp;t=171s", "Go to time")</f>
        <v/>
      </c>
    </row>
    <row r="1445">
      <c r="A1445">
        <f>HYPERLINK("https://www.youtube.com/watch?v=BLsKMTZEWn4", "Video")</f>
        <v/>
      </c>
      <c r="B1445" t="inlineStr">
        <is>
          <t>13:24</t>
        </is>
      </c>
      <c r="C1445" t="inlineStr">
        <is>
          <t>to change the board of directors
or something like that.</t>
        </is>
      </c>
      <c r="D1445">
        <f>HYPERLINK("https://www.youtube.com/watch?v=BLsKMTZEWn4&amp;t=804s", "Go to time")</f>
        <v/>
      </c>
    </row>
    <row r="1446">
      <c r="A1446">
        <f>HYPERLINK("https://www.youtube.com/watch?v=1aQZ7_tfgps", "Video")</f>
        <v/>
      </c>
      <c r="B1446" t="inlineStr">
        <is>
          <t>4:35</t>
        </is>
      </c>
      <c r="C1446" t="inlineStr">
        <is>
          <t>that directly</t>
        </is>
      </c>
      <c r="D1446">
        <f>HYPERLINK("https://www.youtube.com/watch?v=1aQZ7_tfgps&amp;t=275s", "Go to time")</f>
        <v/>
      </c>
    </row>
    <row r="1447">
      <c r="A1447">
        <f>HYPERLINK("https://www.youtube.com/watch?v=1aQZ7_tfgps", "Video")</f>
        <v/>
      </c>
      <c r="B1447" t="inlineStr">
        <is>
          <t>4:52</t>
        </is>
      </c>
      <c r="C1447" t="inlineStr">
        <is>
          <t>directly do what you're supposed to do</t>
        </is>
      </c>
      <c r="D1447">
        <f>HYPERLINK("https://www.youtube.com/watch?v=1aQZ7_tfgps&amp;t=292s", "Go to time")</f>
        <v/>
      </c>
    </row>
    <row r="1448">
      <c r="A1448">
        <f>HYPERLINK("https://www.youtube.com/watch?v=_s1rIKaoAyM", "Video")</f>
        <v/>
      </c>
      <c r="B1448" t="inlineStr">
        <is>
          <t>56:26</t>
        </is>
      </c>
      <c r="C1448" t="inlineStr">
        <is>
          <t>directly in your essays and if you want</t>
        </is>
      </c>
      <c r="D1448">
        <f>HYPERLINK("https://www.youtube.com/watch?v=_s1rIKaoAyM&amp;t=3386s", "Go to time")</f>
        <v/>
      </c>
    </row>
    <row r="1449">
      <c r="A1449">
        <f>HYPERLINK("https://www.youtube.com/watch?v=wzdG66VK75c", "Video")</f>
        <v/>
      </c>
      <c r="B1449" t="inlineStr">
        <is>
          <t>19:05</t>
        </is>
      </c>
      <c r="C1449" t="inlineStr">
        <is>
          <t>think about that which is the direct</t>
        </is>
      </c>
      <c r="D1449">
        <f>HYPERLINK("https://www.youtube.com/watch?v=wzdG66VK75c&amp;t=1145s", "Go to time")</f>
        <v/>
      </c>
    </row>
    <row r="1450">
      <c r="A1450">
        <f>HYPERLINK("https://www.youtube.com/watch?v=wzdG66VK75c", "Video")</f>
        <v/>
      </c>
      <c r="B1450" t="inlineStr">
        <is>
          <t>52:41</t>
        </is>
      </c>
      <c r="C1450" t="inlineStr">
        <is>
          <t>directly answers the question and then</t>
        </is>
      </c>
      <c r="D1450">
        <f>HYPERLINK("https://www.youtube.com/watch?v=wzdG66VK75c&amp;t=3161s", "Go to time")</f>
        <v/>
      </c>
    </row>
    <row r="1451">
      <c r="A1451">
        <f>HYPERLINK("https://www.youtube.com/watch?v=wzdG66VK75c", "Video")</f>
        <v/>
      </c>
      <c r="B1451" t="inlineStr">
        <is>
          <t>107:23</t>
        </is>
      </c>
      <c r="C1451" t="inlineStr">
        <is>
          <t>examples should be linked directly to</t>
        </is>
      </c>
      <c r="D1451">
        <f>HYPERLINK("https://www.youtube.com/watch?v=wzdG66VK75c&amp;t=6443s", "Go to time")</f>
        <v/>
      </c>
    </row>
    <row r="1452">
      <c r="A1452">
        <f>HYPERLINK("https://www.youtube.com/watch?v=rqmv0LCcPTs", "Video")</f>
        <v/>
      </c>
      <c r="B1452" t="inlineStr">
        <is>
          <t>6:13</t>
        </is>
      </c>
      <c r="C1452" t="inlineStr">
        <is>
          <t>question directly so if you ask them do</t>
        </is>
      </c>
      <c r="D1452">
        <f>HYPERLINK("https://www.youtube.com/watch?v=rqmv0LCcPTs&amp;t=373s", "Go to time")</f>
        <v/>
      </c>
    </row>
    <row r="1453">
      <c r="A1453">
        <f>HYPERLINK("https://www.youtube.com/watch?v=rqmv0LCcPTs", "Video")</f>
        <v/>
      </c>
      <c r="B1453" t="inlineStr">
        <is>
          <t>7:21</t>
        </is>
      </c>
      <c r="C1453" t="inlineStr">
        <is>
          <t>they will directly answer the question</t>
        </is>
      </c>
      <c r="D1453">
        <f>HYPERLINK("https://www.youtube.com/watch?v=rqmv0LCcPTs&amp;t=441s", "Go to time")</f>
        <v/>
      </c>
    </row>
    <row r="1454">
      <c r="A1454">
        <f>HYPERLINK("https://www.youtube.com/watch?v=rqmv0LCcPTs", "Video")</f>
        <v/>
      </c>
      <c r="B1454" t="inlineStr">
        <is>
          <t>60:10</t>
        </is>
      </c>
      <c r="C1454" t="inlineStr">
        <is>
          <t>that affects me directly every day um so</t>
        </is>
      </c>
      <c r="D1454">
        <f>HYPERLINK("https://www.youtube.com/watch?v=rqmv0LCcPTs&amp;t=3610s", "Go to time")</f>
        <v/>
      </c>
    </row>
    <row r="1455">
      <c r="A1455">
        <f>HYPERLINK("https://www.youtube.com/watch?v=rqmv0LCcPTs", "Video")</f>
        <v/>
      </c>
      <c r="B1455" t="inlineStr">
        <is>
          <t>97:50</t>
        </is>
      </c>
      <c r="C1455" t="inlineStr">
        <is>
          <t>simple correct direct ways of dealing</t>
        </is>
      </c>
      <c r="D1455">
        <f>HYPERLINK("https://www.youtube.com/watch?v=rqmv0LCcPTs&amp;t=5870s", "Go to time")</f>
        <v/>
      </c>
    </row>
    <row r="1456">
      <c r="A1456">
        <f>HYPERLINK("https://www.youtube.com/watch?v=fE3lMuCGFBA", "Video")</f>
        <v/>
      </c>
      <c r="B1456" t="inlineStr">
        <is>
          <t>18:02</t>
        </is>
      </c>
      <c r="C1456" t="inlineStr">
        <is>
          <t>writing is a direct reflection of your</t>
        </is>
      </c>
      <c r="D1456">
        <f>HYPERLINK("https://www.youtube.com/watch?v=fE3lMuCGFBA&amp;t=1082s", "Go to time")</f>
        <v/>
      </c>
    </row>
    <row r="1457">
      <c r="A1457">
        <f>HYPERLINK("https://www.youtube.com/watch?v=0qNw3Z4OoCk", "Video")</f>
        <v/>
      </c>
      <c r="B1457" t="inlineStr">
        <is>
          <t>4:28</t>
        </is>
      </c>
      <c r="C1457" t="inlineStr">
        <is>
          <t>that directly answers this question this</t>
        </is>
      </c>
      <c r="D1457">
        <f>HYPERLINK("https://www.youtube.com/watch?v=0qNw3Z4OoCk&amp;t=268s", "Go to time")</f>
        <v/>
      </c>
    </row>
    <row r="1458">
      <c r="A1458">
        <f>HYPERLINK("https://www.youtube.com/watch?v=5yCh5pcpVbs", "Video")</f>
        <v/>
      </c>
      <c r="B1458" t="inlineStr">
        <is>
          <t>0:47</t>
        </is>
      </c>
      <c r="C1458" t="inlineStr">
        <is>
          <t>appropriately selected so it is directly</t>
        </is>
      </c>
      <c r="D1458">
        <f>HYPERLINK("https://www.youtube.com/watch?v=5yCh5pcpVbs&amp;t=47s", "Go to time")</f>
        <v/>
      </c>
    </row>
    <row r="1459">
      <c r="A1459">
        <f>HYPERLINK("https://www.youtube.com/watch?v=u5zmVCfCb7o", "Video")</f>
        <v/>
      </c>
      <c r="B1459" t="inlineStr">
        <is>
          <t>12:13</t>
        </is>
      </c>
      <c r="C1459" t="inlineStr">
        <is>
          <t>directing your nervousness inward and</t>
        </is>
      </c>
      <c r="D1459">
        <f>HYPERLINK("https://www.youtube.com/watch?v=u5zmVCfCb7o&amp;t=733s", "Go to time")</f>
        <v/>
      </c>
    </row>
    <row r="1460">
      <c r="A1460">
        <f>HYPERLINK("https://www.youtube.com/watch?v=4nrG6SHM-rY", "Video")</f>
        <v/>
      </c>
      <c r="B1460" t="inlineStr">
        <is>
          <t>1:17</t>
        </is>
      </c>
      <c r="C1460" t="inlineStr">
        <is>
          <t>Direction you want it to go to who are</t>
        </is>
      </c>
      <c r="D1460">
        <f>HYPERLINK("https://www.youtube.com/watch?v=4nrG6SHM-rY&amp;t=77s", "Go to time")</f>
        <v/>
      </c>
    </row>
    <row r="1461">
      <c r="A1461">
        <f>HYPERLINK("https://www.youtube.com/watch?v=xQsDjcVWSZQ", "Video")</f>
        <v/>
      </c>
      <c r="B1461" t="inlineStr">
        <is>
          <t>1:17</t>
        </is>
      </c>
      <c r="C1461" t="inlineStr">
        <is>
          <t>Direction you want it to go to who are</t>
        </is>
      </c>
      <c r="D1461">
        <f>HYPERLINK("https://www.youtube.com/watch?v=xQsDjcVWSZQ&amp;t=77s", "Go to time")</f>
        <v/>
      </c>
    </row>
    <row r="1462">
      <c r="A1462">
        <f>HYPERLINK("https://www.youtube.com/watch?v=2oC-dXJUYqY", "Video")</f>
        <v/>
      </c>
      <c r="B1462" t="inlineStr">
        <is>
          <t>12:24</t>
        </is>
      </c>
      <c r="C1462" t="inlineStr">
        <is>
          <t>in different directions like some people</t>
        </is>
      </c>
      <c r="D1462">
        <f>HYPERLINK("https://www.youtube.com/watch?v=2oC-dXJUYqY&amp;t=744s", "Go to time")</f>
        <v/>
      </c>
    </row>
    <row r="1463">
      <c r="A1463">
        <f>HYPERLINK("https://www.youtube.com/watch?v=2oC-dXJUYqY", "Video")</f>
        <v/>
      </c>
      <c r="B1463" t="inlineStr">
        <is>
          <t>17:09</t>
        </is>
      </c>
      <c r="C1463" t="inlineStr">
        <is>
          <t>sister organize, plan, and direct her</t>
        </is>
      </c>
      <c r="D1463">
        <f>HYPERLINK("https://www.youtube.com/watch?v=2oC-dXJUYqY&amp;t=1029s", "Go to time")</f>
        <v/>
      </c>
    </row>
    <row r="1464">
      <c r="A1464">
        <f>HYPERLINK("https://www.youtube.com/watch?v=2oC-dXJUYqY", "Video")</f>
        <v/>
      </c>
      <c r="B1464" t="inlineStr">
        <is>
          <t>17:22</t>
        </is>
      </c>
      <c r="C1464" t="inlineStr">
        <is>
          <t>artist, a hair stylist, and a director</t>
        </is>
      </c>
      <c r="D1464">
        <f>HYPERLINK("https://www.youtube.com/watch?v=2oC-dXJUYqY&amp;t=1042s", "Go to time")</f>
        <v/>
      </c>
    </row>
    <row r="1465">
      <c r="A1465">
        <f>HYPERLINK("https://www.youtube.com/watch?v=2oC-dXJUYqY", "Video")</f>
        <v/>
      </c>
      <c r="B1465" t="inlineStr">
        <is>
          <t>17:29</t>
        </is>
      </c>
      <c r="C1465" t="inlineStr">
        <is>
          <t>the director. I prepared the outfit, but</t>
        </is>
      </c>
      <c r="D1465">
        <f>HYPERLINK("https://www.youtube.com/watch?v=2oC-dXJUYqY&amp;t=1049s", "Go to time")</f>
        <v/>
      </c>
    </row>
    <row r="1466">
      <c r="A1466">
        <f>HYPERLINK("https://www.youtube.com/watch?v=2oC-dXJUYqY", "Video")</f>
        <v/>
      </c>
      <c r="B1466" t="inlineStr">
        <is>
          <t>17:33</t>
        </is>
      </c>
      <c r="C1466" t="inlineStr">
        <is>
          <t>the director was supposed to, you know,</t>
        </is>
      </c>
      <c r="D1466">
        <f>HYPERLINK("https://www.youtube.com/watch?v=2oC-dXJUYqY&amp;t=1053s", "Go to time")</f>
        <v/>
      </c>
    </row>
    <row r="1467">
      <c r="A1467">
        <f>HYPERLINK("https://www.youtube.com/watch?v=2oC-dXJUYqY", "Video")</f>
        <v/>
      </c>
      <c r="B1467" t="inlineStr">
        <is>
          <t>17:59</t>
        </is>
      </c>
      <c r="C1467" t="inlineStr">
        <is>
          <t>as well just direct the shoots. And I</t>
        </is>
      </c>
      <c r="D1467">
        <f>HYPERLINK("https://www.youtube.com/watch?v=2oC-dXJUYqY&amp;t=1079s", "Go to time")</f>
        <v/>
      </c>
    </row>
    <row r="1468">
      <c r="A1468">
        <f>HYPERLINK("https://www.youtube.com/watch?v=Kch2Tb_T2Pg", "Video")</f>
        <v/>
      </c>
      <c r="B1468" t="inlineStr">
        <is>
          <t>5:18</t>
        </is>
      </c>
      <c r="C1468" t="inlineStr">
        <is>
          <t>normally it will be a direct question</t>
        </is>
      </c>
      <c r="D1468">
        <f>HYPERLINK("https://www.youtube.com/watch?v=Kch2Tb_T2Pg&amp;t=318s", "Go to time")</f>
        <v/>
      </c>
    </row>
    <row r="1469">
      <c r="A1469">
        <f>HYPERLINK("https://www.youtube.com/watch?v=Kch2Tb_T2Pg", "Video")</f>
        <v/>
      </c>
      <c r="B1469" t="inlineStr">
        <is>
          <t>8:46</t>
        </is>
      </c>
      <c r="C1469" t="inlineStr">
        <is>
          <t>school where they ask you a direct</t>
        </is>
      </c>
      <c r="D1469">
        <f>HYPERLINK("https://www.youtube.com/watch?v=Kch2Tb_T2Pg&amp;t=526s", "Go to time")</f>
        <v/>
      </c>
    </row>
    <row r="1470">
      <c r="A1470">
        <f>HYPERLINK("https://www.youtube.com/watch?v=Kch2Tb_T2Pg", "Video")</f>
        <v/>
      </c>
      <c r="B1470" t="inlineStr">
        <is>
          <t>8:51</t>
        </is>
      </c>
      <c r="C1470" t="inlineStr">
        <is>
          <t>direct question to short answer</t>
        </is>
      </c>
      <c r="D1470">
        <f>HYPERLINK("https://www.youtube.com/watch?v=Kch2Tb_T2Pg&amp;t=531s", "Go to time")</f>
        <v/>
      </c>
    </row>
    <row r="1471">
      <c r="A1471">
        <f>HYPERLINK("https://www.youtube.com/watch?v=hS7J1fNOulg", "Video")</f>
        <v/>
      </c>
      <c r="B1471" t="inlineStr">
        <is>
          <t>6:06</t>
        </is>
      </c>
      <c r="C1471" t="inlineStr">
        <is>
          <t>asks you a direct question they expect a</t>
        </is>
      </c>
      <c r="D1471">
        <f>HYPERLINK("https://www.youtube.com/watch?v=hS7J1fNOulg&amp;t=366s", "Go to time")</f>
        <v/>
      </c>
    </row>
    <row r="1472">
      <c r="A1472">
        <f>HYPERLINK("https://www.youtube.com/watch?v=hS7J1fNOulg", "Video")</f>
        <v/>
      </c>
      <c r="B1472" t="inlineStr">
        <is>
          <t>6:09</t>
        </is>
      </c>
      <c r="C1472" t="inlineStr">
        <is>
          <t>direct answer they don't want you you</t>
        </is>
      </c>
      <c r="D1472">
        <f>HYPERLINK("https://www.youtube.com/watch?v=hS7J1fNOulg&amp;t=369s", "Go to time")</f>
        <v/>
      </c>
    </row>
    <row r="1473">
      <c r="A1473">
        <f>HYPERLINK("https://www.youtube.com/watch?v=hS7J1fNOulg", "Video")</f>
        <v/>
      </c>
      <c r="B1473" t="inlineStr">
        <is>
          <t>6:18</t>
        </is>
      </c>
      <c r="C1473" t="inlineStr">
        <is>
          <t>answer it directly</t>
        </is>
      </c>
      <c r="D1473">
        <f>HYPERLINK("https://www.youtube.com/watch?v=hS7J1fNOulg&amp;t=378s", "Go to time")</f>
        <v/>
      </c>
    </row>
    <row r="1474">
      <c r="A1474">
        <f>HYPERLINK("https://www.youtube.com/watch?v=hS7J1fNOulg", "Video")</f>
        <v/>
      </c>
      <c r="B1474" t="inlineStr">
        <is>
          <t>33:49</t>
        </is>
      </c>
      <c r="C1474" t="inlineStr">
        <is>
          <t>going to do is directly answer this</t>
        </is>
      </c>
      <c r="D1474">
        <f>HYPERLINK("https://www.youtube.com/watch?v=hS7J1fNOulg&amp;t=2029s", "Go to time")</f>
        <v/>
      </c>
    </row>
    <row r="1475">
      <c r="A1475">
        <f>HYPERLINK("https://www.youtube.com/watch?v=hS7J1fNOulg", "Video")</f>
        <v/>
      </c>
      <c r="B1475" t="inlineStr">
        <is>
          <t>34:17</t>
        </is>
      </c>
      <c r="C1475" t="inlineStr">
        <is>
          <t>answered the question directly</t>
        </is>
      </c>
      <c r="D1475">
        <f>HYPERLINK("https://www.youtube.com/watch?v=hS7J1fNOulg&amp;t=2057s", "Go to time")</f>
        <v/>
      </c>
    </row>
    <row r="1476">
      <c r="A1476">
        <f>HYPERLINK("https://www.youtube.com/watch?v=q7xCHfDRdug", "Video")</f>
        <v/>
      </c>
      <c r="B1476" t="inlineStr">
        <is>
          <t>80:02</t>
        </is>
      </c>
      <c r="C1476" t="inlineStr">
        <is>
          <t>directions or what things will I hear</t>
        </is>
      </c>
      <c r="D1476">
        <f>HYPERLINK("https://www.youtube.com/watch?v=q7xCHfDRdug&amp;t=4802s", "Go to time")</f>
        <v/>
      </c>
    </row>
    <row r="1477">
      <c r="A1477">
        <f>HYPERLINK("https://www.youtube.com/watch?v=q7xCHfDRdug", "Video")</f>
        <v/>
      </c>
      <c r="B1477" t="inlineStr">
        <is>
          <t>80:18</t>
        </is>
      </c>
      <c r="C1477" t="inlineStr">
        <is>
          <t>Gate what direction would you go if you</t>
        </is>
      </c>
      <c r="D1477">
        <f>HYPERLINK("https://www.youtube.com/watch?v=q7xCHfDRdug&amp;t=4818s", "Go to time")</f>
        <v/>
      </c>
    </row>
    <row r="1478">
      <c r="A1478">
        <f>HYPERLINK("https://www.youtube.com/watch?v=q7xCHfDRdug", "Video")</f>
        <v/>
      </c>
      <c r="B1478" t="inlineStr">
        <is>
          <t>85:27</t>
        </is>
      </c>
      <c r="C1478" t="inlineStr">
        <is>
          <t>they're giving you directions this is</t>
        </is>
      </c>
      <c r="D1478">
        <f>HYPERLINK("https://www.youtube.com/watch?v=q7xCHfDRdug&amp;t=5127s", "Go to time")</f>
        <v/>
      </c>
    </row>
    <row r="1479">
      <c r="A1479">
        <f>HYPERLINK("https://www.youtube.com/watch?v=q7xCHfDRdug", "Video")</f>
        <v/>
      </c>
      <c r="B1479" t="inlineStr">
        <is>
          <t>99:05</t>
        </is>
      </c>
      <c r="C1479" t="inlineStr">
        <is>
          <t>as our director has plans to take some</t>
        </is>
      </c>
      <c r="D1479">
        <f>HYPERLINK("https://www.youtube.com/watch?v=q7xCHfDRdug&amp;t=5945s", "Go to time")</f>
        <v/>
      </c>
    </row>
    <row r="1480">
      <c r="A1480">
        <f>HYPERLINK("https://www.youtube.com/watch?v=q7xCHfDRdug", "Video")</f>
        <v/>
      </c>
      <c r="B1480" t="inlineStr">
        <is>
          <t>101:13</t>
        </is>
      </c>
      <c r="C1480" t="inlineStr">
        <is>
          <t>from the era and lead us directly to the</t>
        </is>
      </c>
      <c r="D1480">
        <f>HYPERLINK("https://www.youtube.com/watch?v=q7xCHfDRdug&amp;t=6073s", "Go to time")</f>
        <v/>
      </c>
    </row>
    <row r="1481">
      <c r="A1481">
        <f>HYPERLINK("https://www.youtube.com/watch?v=q7xCHfDRdug", "Video")</f>
        <v/>
      </c>
      <c r="B1481" t="inlineStr">
        <is>
          <t>102:10</t>
        </is>
      </c>
      <c r="C1481" t="inlineStr">
        <is>
          <t>directly against the wall at the back of</t>
        </is>
      </c>
      <c r="D1481">
        <f>HYPERLINK("https://www.youtube.com/watch?v=q7xCHfDRdug&amp;t=6130s", "Go to time")</f>
        <v/>
      </c>
    </row>
    <row r="1482">
      <c r="A1482">
        <f>HYPERLINK("https://www.youtube.com/watch?v=q7xCHfDRdug", "Video")</f>
        <v/>
      </c>
      <c r="B1482" t="inlineStr">
        <is>
          <t>102:21</t>
        </is>
      </c>
      <c r="C1482" t="inlineStr">
        <is>
          <t>directly under the window so that this</t>
        </is>
      </c>
      <c r="D1482">
        <f>HYPERLINK("https://www.youtube.com/watch?v=q7xCHfDRdug&amp;t=6141s", "Go to time")</f>
        <v/>
      </c>
    </row>
    <row r="1483">
      <c r="A1483">
        <f>HYPERLINK("https://www.youtube.com/watch?v=q7xCHfDRdug", "Video")</f>
        <v/>
      </c>
      <c r="B1483" t="inlineStr">
        <is>
          <t>103:58</t>
        </is>
      </c>
      <c r="C1483" t="inlineStr">
        <is>
          <t>the opposite direction to a hundred</t>
        </is>
      </c>
      <c r="D1483">
        <f>HYPERLINK("https://www.youtube.com/watch?v=q7xCHfDRdug&amp;t=6238s", "Go to time")</f>
        <v/>
      </c>
    </row>
    <row r="1484">
      <c r="A1484">
        <f>HYPERLINK("https://www.youtube.com/watch?v=WP2LcgMq-_8", "Video")</f>
        <v/>
      </c>
      <c r="B1484" t="inlineStr">
        <is>
          <t>1:27</t>
        </is>
      </c>
      <c r="C1484" t="inlineStr">
        <is>
          <t>preference answers with a short Direct</t>
        </is>
      </c>
      <c r="D1484">
        <f>HYPERLINK("https://www.youtube.com/watch?v=WP2LcgMq-_8&amp;t=87s", "Go to time")</f>
        <v/>
      </c>
    </row>
    <row r="1485">
      <c r="A1485">
        <f>HYPERLINK("https://www.youtube.com/watch?v=WP2LcgMq-_8", "Video")</f>
        <v/>
      </c>
      <c r="B1485" t="inlineStr">
        <is>
          <t>1:29</t>
        </is>
      </c>
      <c r="C1485" t="inlineStr">
        <is>
          <t>direct modal statement like I'd say I</t>
        </is>
      </c>
      <c r="D1485">
        <f>HYPERLINK("https://www.youtube.com/watch?v=WP2LcgMq-_8&amp;t=89s", "Go to time")</f>
        <v/>
      </c>
    </row>
    <row r="1486">
      <c r="A1486">
        <f>HYPERLINK("https://www.youtube.com/watch?v=WP2LcgMq-_8", "Video")</f>
        <v/>
      </c>
      <c r="B1486" t="inlineStr">
        <is>
          <t>1:40</t>
        </is>
      </c>
      <c r="C1486" t="inlineStr">
        <is>
          <t>questions start it with a direct answer</t>
        </is>
      </c>
      <c r="D1486">
        <f>HYPERLINK("https://www.youtube.com/watch?v=WP2LcgMq-_8&amp;t=100s", "Go to time")</f>
        <v/>
      </c>
    </row>
    <row r="1487">
      <c r="A1487">
        <f>HYPERLINK("https://www.youtube.com/watch?v=WP2LcgMq-_8", "Video")</f>
        <v/>
      </c>
      <c r="B1487" t="inlineStr">
        <is>
          <t>2:39</t>
        </is>
      </c>
      <c r="C1487" t="inlineStr">
        <is>
          <t>conversational and it's just a direct</t>
        </is>
      </c>
      <c r="D1487">
        <f>HYPERLINK("https://www.youtube.com/watch?v=WP2LcgMq-_8&amp;t=159s", "Go to time")</f>
        <v/>
      </c>
    </row>
    <row r="1488">
      <c r="A1488">
        <f>HYPERLINK("https://www.youtube.com/watch?v=WP2LcgMq-_8", "Video")</f>
        <v/>
      </c>
      <c r="B1488" t="inlineStr">
        <is>
          <t>3:31</t>
        </is>
      </c>
      <c r="C1488" t="inlineStr">
        <is>
          <t>questions began with a direct recall</t>
        </is>
      </c>
      <c r="D1488">
        <f>HYPERLINK("https://www.youtube.com/watch?v=WP2LcgMq-_8&amp;t=211s", "Go to time")</f>
        <v/>
      </c>
    </row>
    <row r="1489">
      <c r="A1489">
        <f>HYPERLINK("https://www.youtube.com/watch?v=WP2LcgMq-_8", "Video")</f>
        <v/>
      </c>
      <c r="B1489" t="inlineStr">
        <is>
          <t>8:04</t>
        </is>
      </c>
      <c r="C1489" t="inlineStr">
        <is>
          <t>for a quick direct part one answer over</t>
        </is>
      </c>
      <c r="D1489">
        <f>HYPERLINK("https://www.youtube.com/watch?v=WP2LcgMq-_8&amp;t=484s", "Go to time")</f>
        <v/>
      </c>
    </row>
    <row r="1490">
      <c r="A1490">
        <f>HYPERLINK("https://www.youtube.com/watch?v=WP2LcgMq-_8", "Video")</f>
        <v/>
      </c>
      <c r="B1490" t="inlineStr">
        <is>
          <t>8:17</t>
        </is>
      </c>
      <c r="C1490" t="inlineStr">
        <is>
          <t>i study at Zed this direct Clarity is</t>
        </is>
      </c>
      <c r="D1490">
        <f>HYPERLINK("https://www.youtube.com/watch?v=WP2LcgMq-_8&amp;t=497s", "Go to time")</f>
        <v/>
      </c>
    </row>
    <row r="1491">
      <c r="A1491">
        <f>HYPERLINK("https://www.youtube.com/watch?v=WP2LcgMq-_8", "Video")</f>
        <v/>
      </c>
      <c r="B1491" t="inlineStr">
        <is>
          <t>8:39</t>
        </is>
      </c>
      <c r="C1491" t="inlineStr">
        <is>
          <t>you answer them just using simple direct</t>
        </is>
      </c>
      <c r="D1491">
        <f>HYPERLINK("https://www.youtube.com/watch?v=WP2LcgMq-_8&amp;t=519s", "Go to time")</f>
        <v/>
      </c>
    </row>
    <row r="1492">
      <c r="A1492">
        <f>HYPERLINK("https://www.youtube.com/watch?v=WP2LcgMq-_8", "Video")</f>
        <v/>
      </c>
      <c r="B1492" t="inlineStr">
        <is>
          <t>9:05</t>
        </is>
      </c>
      <c r="C1492" t="inlineStr">
        <is>
          <t>fully after you've directly answered the</t>
        </is>
      </c>
      <c r="D1492">
        <f>HYPERLINK("https://www.youtube.com/watch?v=WP2LcgMq-_8&amp;t=545s", "Go to time")</f>
        <v/>
      </c>
    </row>
    <row r="1493">
      <c r="A1493">
        <f>HYPERLINK("https://www.youtube.com/watch?v=WP2LcgMq-_8", "Video")</f>
        <v/>
      </c>
      <c r="B1493" t="inlineStr">
        <is>
          <t>11:35</t>
        </is>
      </c>
      <c r="C1493" t="inlineStr">
        <is>
          <t>simple direct lead in to a short story</t>
        </is>
      </c>
      <c r="D1493">
        <f>HYPERLINK("https://www.youtube.com/watch?v=WP2LcgMq-_8&amp;t=695s", "Go to time")</f>
        <v/>
      </c>
    </row>
    <row r="1494">
      <c r="A1494">
        <f>HYPERLINK("https://www.youtube.com/watch?v=9nuZbYP4_sM", "Video")</f>
        <v/>
      </c>
      <c r="B1494" t="inlineStr">
        <is>
          <t>1:19</t>
        </is>
      </c>
      <c r="C1494" t="inlineStr">
        <is>
          <t>double or direct questions in this video</t>
        </is>
      </c>
      <c r="D1494">
        <f>HYPERLINK("https://www.youtube.com/watch?v=9nuZbYP4_sM&amp;t=79s", "Go to time")</f>
        <v/>
      </c>
    </row>
    <row r="1495">
      <c r="A1495">
        <f>HYPERLINK("https://www.youtube.com/watch?v=9nuZbYP4_sM", "Video")</f>
        <v/>
      </c>
      <c r="B1495" t="inlineStr">
        <is>
          <t>6:05</t>
        </is>
      </c>
      <c r="C1495" t="inlineStr">
        <is>
          <t>brainstorming just ask yourself a direct</t>
        </is>
      </c>
      <c r="D1495">
        <f>HYPERLINK("https://www.youtube.com/watch?v=9nuZbYP4_sM&amp;t=365s", "Go to time")</f>
        <v/>
      </c>
    </row>
    <row r="1496">
      <c r="A1496">
        <f>HYPERLINK("https://www.youtube.com/watch?v=9nuZbYP4_sM", "Video")</f>
        <v/>
      </c>
      <c r="B1496" t="inlineStr">
        <is>
          <t>6:41</t>
        </is>
      </c>
      <c r="C1496" t="inlineStr">
        <is>
          <t>if a 100 people were asked this direct</t>
        </is>
      </c>
      <c r="D1496">
        <f>HYPERLINK("https://www.youtube.com/watch?v=9nuZbYP4_sM&amp;t=401s", "Go to time")</f>
        <v/>
      </c>
    </row>
    <row r="1497">
      <c r="A1497">
        <f>HYPERLINK("https://www.youtube.com/watch?v=9-E8VUGMiqA", "Video")</f>
        <v/>
      </c>
      <c r="B1497" t="inlineStr">
        <is>
          <t>1:43</t>
        </is>
      </c>
      <c r="C1497" t="inlineStr">
        <is>
          <t>and then double or direct questions.</t>
        </is>
      </c>
      <c r="D1497">
        <f>HYPERLINK("https://www.youtube.com/watch?v=9-E8VUGMiqA&amp;t=103s", "Go to time")</f>
        <v/>
      </c>
    </row>
    <row r="1498">
      <c r="A1498">
        <f>HYPERLINK("https://www.youtube.com/watch?v=9-E8VUGMiqA", "Video")</f>
        <v/>
      </c>
      <c r="B1498" t="inlineStr">
        <is>
          <t>6:22</t>
        </is>
      </c>
      <c r="C1498" t="inlineStr">
        <is>
          <t>Instead of brainstorming, ask
yourself a direct question.</t>
        </is>
      </c>
      <c r="D1498">
        <f>HYPERLINK("https://www.youtube.com/watch?v=9-E8VUGMiqA&amp;t=382s", "Go to time")</f>
        <v/>
      </c>
    </row>
    <row r="1499">
      <c r="A1499">
        <f>HYPERLINK("https://www.youtube.com/watch?v=9-E8VUGMiqA", "Video")</f>
        <v/>
      </c>
      <c r="B1499" t="inlineStr">
        <is>
          <t>7:02</t>
        </is>
      </c>
      <c r="C1499" t="inlineStr">
        <is>
          <t>if a hundred people were
asked this direct question,</t>
        </is>
      </c>
      <c r="D1499">
        <f>HYPERLINK("https://www.youtube.com/watch?v=9-E8VUGMiqA&amp;t=422s", "Go to time")</f>
        <v/>
      </c>
    </row>
    <row r="1500">
      <c r="A1500">
        <f>HYPERLINK("https://www.youtube.com/watch?v=5hAEajljN24", "Video")</f>
        <v/>
      </c>
      <c r="B1500" t="inlineStr">
        <is>
          <t>1:22</t>
        </is>
      </c>
      <c r="C1500" t="inlineStr">
        <is>
          <t>Google will take you directly to those</t>
        </is>
      </c>
      <c r="D1500">
        <f>HYPERLINK("https://www.youtube.com/watch?v=5hAEajljN24&amp;t=82s", "Go to time")</f>
        <v/>
      </c>
    </row>
    <row r="1501">
      <c r="A1501">
        <f>HYPERLINK("https://www.youtube.com/watch?v=vLD_AphY10E", "Video")</f>
        <v/>
      </c>
      <c r="B1501" t="inlineStr">
        <is>
          <t>4:31</t>
        </is>
      </c>
      <c r="C1501" t="inlineStr">
        <is>
          <t>the question directly so when is it</t>
        </is>
      </c>
      <c r="D1501">
        <f>HYPERLINK("https://www.youtube.com/watch?v=vLD_AphY10E&amp;t=271s", "Go to time")</f>
        <v/>
      </c>
    </row>
    <row r="1502">
      <c r="A1502">
        <f>HYPERLINK("https://www.youtube.com/watch?v=vLD_AphY10E", "Video")</f>
        <v/>
      </c>
      <c r="B1502" t="inlineStr">
        <is>
          <t>6:07</t>
        </is>
      </c>
      <c r="C1502" t="inlineStr">
        <is>
          <t>answer the question directly and you're</t>
        </is>
      </c>
      <c r="D1502">
        <f>HYPERLINK("https://www.youtube.com/watch?v=vLD_AphY10E&amp;t=367s", "Go to time")</f>
        <v/>
      </c>
    </row>
    <row r="1503">
      <c r="A1503">
        <f>HYPERLINK("https://www.youtube.com/watch?v=vLD_AphY10E", "Video")</f>
        <v/>
      </c>
      <c r="B1503" t="inlineStr">
        <is>
          <t>7:21</t>
        </is>
      </c>
      <c r="C1503" t="inlineStr">
        <is>
          <t>questions directly there's no need to</t>
        </is>
      </c>
      <c r="D1503">
        <f>HYPERLINK("https://www.youtube.com/watch?v=vLD_AphY10E&amp;t=441s", "Go to time")</f>
        <v/>
      </c>
    </row>
    <row r="1504">
      <c r="A1504">
        <f>HYPERLINK("https://www.youtube.com/watch?v=vLD_AphY10E", "Video")</f>
        <v/>
      </c>
      <c r="B1504" t="inlineStr">
        <is>
          <t>7:32</t>
        </is>
      </c>
      <c r="C1504" t="inlineStr">
        <is>
          <t>question directly that's what the</t>
        </is>
      </c>
      <c r="D1504">
        <f>HYPERLINK("https://www.youtube.com/watch?v=vLD_AphY10E&amp;t=452s", "Go to time")</f>
        <v/>
      </c>
    </row>
    <row r="1505">
      <c r="A1505">
        <f>HYPERLINK("https://www.youtube.com/watch?v=OtmUQwPVLko", "Video")</f>
        <v/>
      </c>
      <c r="B1505" t="inlineStr">
        <is>
          <t>75:40</t>
        </is>
      </c>
      <c r="C1505" t="inlineStr">
        <is>
          <t>directly above the Photosphere</t>
        </is>
      </c>
      <c r="D1505">
        <f>HYPERLINK("https://www.youtube.com/watch?v=OtmUQwPVLko&amp;t=4540s", "Go to time")</f>
        <v/>
      </c>
    </row>
    <row r="1506">
      <c r="A1506">
        <f>HYPERLINK("https://www.youtube.com/watch?v=OtmUQwPVLko", "Video")</f>
        <v/>
      </c>
      <c r="B1506" t="inlineStr">
        <is>
          <t>76:37</t>
        </is>
      </c>
      <c r="C1506" t="inlineStr">
        <is>
          <t>directly above the Photosphere so the</t>
        </is>
      </c>
      <c r="D1506">
        <f>HYPERLINK("https://www.youtube.com/watch?v=OtmUQwPVLko&amp;t=4597s", "Go to time")</f>
        <v/>
      </c>
    </row>
    <row r="1507">
      <c r="A1507">
        <f>HYPERLINK("https://www.youtube.com/watch?v=OtmUQwPVLko", "Video")</f>
        <v/>
      </c>
      <c r="B1507" t="inlineStr">
        <is>
          <t>85:58</t>
        </is>
      </c>
      <c r="C1507" t="inlineStr">
        <is>
          <t>direct synonyms so we're going to put</t>
        </is>
      </c>
      <c r="D1507">
        <f>HYPERLINK("https://www.youtube.com/watch?v=OtmUQwPVLko&amp;t=5158s", "Go to time")</f>
        <v/>
      </c>
    </row>
    <row r="1508">
      <c r="A1508">
        <f>HYPERLINK("https://www.youtube.com/watch?v=OtmUQwPVLko", "Video")</f>
        <v/>
      </c>
      <c r="B1508" t="inlineStr">
        <is>
          <t>96:06</t>
        </is>
      </c>
      <c r="C1508" t="inlineStr">
        <is>
          <t>of these match directly so impact or</t>
        </is>
      </c>
      <c r="D1508">
        <f>HYPERLINK("https://www.youtube.com/watch?v=OtmUQwPVLko&amp;t=5766s", "Go to time")</f>
        <v/>
      </c>
    </row>
    <row r="1509">
      <c r="A1509">
        <f>HYPERLINK("https://www.youtube.com/watch?v=OtmUQwPVLko", "Video")</f>
        <v/>
      </c>
      <c r="B1509" t="inlineStr">
        <is>
          <t>99:22</t>
        </is>
      </c>
      <c r="C1509" t="inlineStr">
        <is>
          <t>kid so just asking for direct answers to</t>
        </is>
      </c>
      <c r="D1509">
        <f>HYPERLINK("https://www.youtube.com/watch?v=OtmUQwPVLko&amp;t=5962s", "Go to time")</f>
        <v/>
      </c>
    </row>
    <row r="1510">
      <c r="A1510">
        <f>HYPERLINK("https://www.youtube.com/watch?v=OtmUQwPVLko", "Video")</f>
        <v/>
      </c>
      <c r="B1510" t="inlineStr">
        <is>
          <t>115:08</t>
        </is>
      </c>
      <c r="C1510" t="inlineStr">
        <is>
          <t>so it doesn't say directly here do you</t>
        </is>
      </c>
      <c r="D1510">
        <f>HYPERLINK("https://www.youtube.com/watch?v=OtmUQwPVLko&amp;t=6908s", "Go to time")</f>
        <v/>
      </c>
    </row>
    <row r="1511">
      <c r="A1511">
        <f>HYPERLINK("https://www.youtube.com/watch?v=aAHcvNFNFVA", "Video")</f>
        <v/>
      </c>
      <c r="B1511" t="inlineStr">
        <is>
          <t>16:20</t>
        </is>
      </c>
      <c r="C1511" t="inlineStr">
        <is>
          <t>that affects me directly every day</t>
        </is>
      </c>
      <c r="D1511">
        <f>HYPERLINK("https://www.youtube.com/watch?v=aAHcvNFNFVA&amp;t=980s", "Go to time")</f>
        <v/>
      </c>
    </row>
    <row r="1512">
      <c r="A1512">
        <f>HYPERLINK("https://www.youtube.com/watch?v=xGtKdsVxV8A", "Video")</f>
        <v/>
      </c>
      <c r="B1512" t="inlineStr">
        <is>
          <t>29:05</t>
        </is>
      </c>
      <c r="C1512" t="inlineStr">
        <is>
          <t>direct questions and that's what we're</t>
        </is>
      </c>
      <c r="D1512">
        <f>HYPERLINK("https://www.youtube.com/watch?v=xGtKdsVxV8A&amp;t=1745s", "Go to time")</f>
        <v/>
      </c>
    </row>
    <row r="1513">
      <c r="A1513">
        <f>HYPERLINK("https://www.youtube.com/watch?v=xGtKdsVxV8A", "Video")</f>
        <v/>
      </c>
      <c r="B1513" t="inlineStr">
        <is>
          <t>29:57</t>
        </is>
      </c>
      <c r="C1513" t="inlineStr">
        <is>
          <t>okay so what are double or direct</t>
        </is>
      </c>
      <c r="D1513">
        <f>HYPERLINK("https://www.youtube.com/watch?v=xGtKdsVxV8A&amp;t=1797s", "Go to time")</f>
        <v/>
      </c>
    </row>
    <row r="1514">
      <c r="A1514">
        <f>HYPERLINK("https://www.youtube.com/watch?v=xGtKdsVxV8A", "Video")</f>
        <v/>
      </c>
      <c r="B1514" t="inlineStr">
        <is>
          <t>30:09</t>
        </is>
      </c>
      <c r="C1514" t="inlineStr">
        <is>
          <t>task and normally these are both direct</t>
        </is>
      </c>
      <c r="D1514">
        <f>HYPERLINK("https://www.youtube.com/watch?v=xGtKdsVxV8A&amp;t=1809s", "Go to time")</f>
        <v/>
      </c>
    </row>
    <row r="1515">
      <c r="A1515">
        <f>HYPERLINK("https://www.youtube.com/watch?v=xGtKdsVxV8A", "Video")</f>
        <v/>
      </c>
      <c r="B1515" t="inlineStr">
        <is>
          <t>30:12</t>
        </is>
      </c>
      <c r="C1515" t="inlineStr">
        <is>
          <t>questions they are asking you directly</t>
        </is>
      </c>
      <c r="D1515">
        <f>HYPERLINK("https://www.youtube.com/watch?v=xGtKdsVxV8A&amp;t=1812s", "Go to time")</f>
        <v/>
      </c>
    </row>
    <row r="1516">
      <c r="A1516">
        <f>HYPERLINK("https://www.youtube.com/watch?v=xGtKdsVxV8A", "Video")</f>
        <v/>
      </c>
      <c r="B1516" t="inlineStr">
        <is>
          <t>30:37</t>
        </is>
      </c>
      <c r="C1516" t="inlineStr">
        <is>
          <t>and then these are your two direct</t>
        </is>
      </c>
      <c r="D1516">
        <f>HYPERLINK("https://www.youtube.com/watch?v=xGtKdsVxV8A&amp;t=1837s", "Go to time")</f>
        <v/>
      </c>
    </row>
    <row r="1517">
      <c r="A1517">
        <f>HYPERLINK("https://www.youtube.com/watch?v=xGtKdsVxV8A", "Video")</f>
        <v/>
      </c>
      <c r="B1517" t="inlineStr">
        <is>
          <t>37:12</t>
        </is>
      </c>
      <c r="C1517" t="inlineStr">
        <is>
          <t>um they'd be able to take you directly</t>
        </is>
      </c>
      <c r="D1517">
        <f>HYPERLINK("https://www.youtube.com/watch?v=xGtKdsVxV8A&amp;t=2232s", "Go to time")</f>
        <v/>
      </c>
    </row>
    <row r="1518">
      <c r="A1518">
        <f>HYPERLINK("https://www.youtube.com/watch?v=xGtKdsVxV8A", "Video")</f>
        <v/>
      </c>
      <c r="B1518" t="inlineStr">
        <is>
          <t>47:08</t>
        </is>
      </c>
      <c r="C1518" t="inlineStr">
        <is>
          <t>our essay the answer is the direct</t>
        </is>
      </c>
      <c r="D1518">
        <f>HYPERLINK("https://www.youtube.com/watch?v=xGtKdsVxV8A&amp;t=2828s", "Go to time")</f>
        <v/>
      </c>
    </row>
    <row r="1519">
      <c r="A1519">
        <f>HYPERLINK("https://www.youtube.com/watch?v=xGtKdsVxV8A", "Video")</f>
        <v/>
      </c>
      <c r="B1519" t="inlineStr">
        <is>
          <t>47:10</t>
        </is>
      </c>
      <c r="C1519" t="inlineStr">
        <is>
          <t>method ask yourself direct specific</t>
        </is>
      </c>
      <c r="D1519">
        <f>HYPERLINK("https://www.youtube.com/watch?v=xGtKdsVxV8A&amp;t=2830s", "Go to time")</f>
        <v/>
      </c>
    </row>
    <row r="1520">
      <c r="A1520">
        <f>HYPERLINK("https://www.youtube.com/watch?v=xGtKdsVxV8A", "Video")</f>
        <v/>
      </c>
      <c r="B1520" t="inlineStr">
        <is>
          <t>48:15</t>
        </is>
      </c>
      <c r="C1520" t="inlineStr">
        <is>
          <t>probably thinking what is this direct</t>
        </is>
      </c>
      <c r="D1520">
        <f>HYPERLINK("https://www.youtube.com/watch?v=xGtKdsVxV8A&amp;t=2895s", "Go to time")</f>
        <v/>
      </c>
    </row>
    <row r="1521">
      <c r="A1521">
        <f>HYPERLINK("https://www.youtube.com/watch?v=xGtKdsVxV8A", "Video")</f>
        <v/>
      </c>
      <c r="B1521" t="inlineStr">
        <is>
          <t>48:26</t>
        </is>
      </c>
      <c r="C1521" t="inlineStr">
        <is>
          <t>the direct method is where you take the</t>
        </is>
      </c>
      <c r="D1521">
        <f>HYPERLINK("https://www.youtube.com/watch?v=xGtKdsVxV8A&amp;t=2906s", "Go to time")</f>
        <v/>
      </c>
    </row>
    <row r="1522">
      <c r="A1522">
        <f>HYPERLINK("https://www.youtube.com/watch?v=xGtKdsVxV8A", "Video")</f>
        <v/>
      </c>
      <c r="B1522" t="inlineStr">
        <is>
          <t>48:29</t>
        </is>
      </c>
      <c r="C1522" t="inlineStr">
        <is>
          <t>question and you ask yourself a direct</t>
        </is>
      </c>
      <c r="D1522">
        <f>HYPERLINK("https://www.youtube.com/watch?v=xGtKdsVxV8A&amp;t=2909s", "Go to time")</f>
        <v/>
      </c>
    </row>
    <row r="1523">
      <c r="A1523">
        <f>HYPERLINK("https://www.youtube.com/watch?v=xGtKdsVxV8A", "Video")</f>
        <v/>
      </c>
      <c r="B1523" t="inlineStr">
        <is>
          <t>49:02</t>
        </is>
      </c>
      <c r="C1523" t="inlineStr">
        <is>
          <t>use the direct method you'd very simply</t>
        </is>
      </c>
      <c r="D1523">
        <f>HYPERLINK("https://www.youtube.com/watch?v=xGtKdsVxV8A&amp;t=2942s", "Go to time")</f>
        <v/>
      </c>
    </row>
    <row r="1524">
      <c r="A1524">
        <f>HYPERLINK("https://www.youtube.com/watch?v=xGtKdsVxV8A", "Video")</f>
        <v/>
      </c>
      <c r="B1524" t="inlineStr">
        <is>
          <t>51:13</t>
        </is>
      </c>
      <c r="C1524" t="inlineStr">
        <is>
          <t>direct question and I would think of an</t>
        </is>
      </c>
      <c r="D1524">
        <f>HYPERLINK("https://www.youtube.com/watch?v=xGtKdsVxV8A&amp;t=3073s", "Go to time")</f>
        <v/>
      </c>
    </row>
    <row r="1525">
      <c r="A1525">
        <f>HYPERLINK("https://www.youtube.com/watch?v=xGtKdsVxV8A", "Video")</f>
        <v/>
      </c>
      <c r="B1525" t="inlineStr">
        <is>
          <t>76:20</t>
        </is>
      </c>
      <c r="C1525" t="inlineStr">
        <is>
          <t>directly copied from the question you</t>
        </is>
      </c>
      <c r="D1525">
        <f>HYPERLINK("https://www.youtube.com/watch?v=xGtKdsVxV8A&amp;t=4580s", "Go to time")</f>
        <v/>
      </c>
    </row>
    <row r="1526">
      <c r="A1526">
        <f>HYPERLINK("https://www.youtube.com/watch?v=xGtKdsVxV8A", "Video")</f>
        <v/>
      </c>
      <c r="B1526" t="inlineStr">
        <is>
          <t>107:11</t>
        </is>
      </c>
      <c r="C1526" t="inlineStr">
        <is>
          <t>example must be directly linked to your</t>
        </is>
      </c>
      <c r="D1526">
        <f>HYPERLINK("https://www.youtube.com/watch?v=xGtKdsVxV8A&amp;t=6431s", "Go to time")</f>
        <v/>
      </c>
    </row>
    <row r="1527">
      <c r="A1527">
        <f>HYPERLINK("https://www.youtube.com/watch?v=xGtKdsVxV8A", "Video")</f>
        <v/>
      </c>
      <c r="B1527" t="inlineStr">
        <is>
          <t>128:25</t>
        </is>
      </c>
      <c r="C1527" t="inlineStr">
        <is>
          <t>around things rather than being direct</t>
        </is>
      </c>
      <c r="D1527">
        <f>HYPERLINK("https://www.youtube.com/watch?v=xGtKdsVxV8A&amp;t=7705s", "Go to time")</f>
        <v/>
      </c>
    </row>
    <row r="1528">
      <c r="A1528">
        <f>HYPERLINK("https://www.youtube.com/watch?v=xGtKdsVxV8A", "Video")</f>
        <v/>
      </c>
      <c r="B1528" t="inlineStr">
        <is>
          <t>128:28</t>
        </is>
      </c>
      <c r="C1528" t="inlineStr">
        <is>
          <t>um you are very indirect and and this is</t>
        </is>
      </c>
      <c r="D1528">
        <f>HYPERLINK("https://www.youtube.com/watch?v=xGtKdsVxV8A&amp;t=7708s", "Go to time")</f>
        <v/>
      </c>
    </row>
    <row r="1529">
      <c r="A1529">
        <f>HYPERLINK("https://www.youtube.com/watch?v=xGtKdsVxV8A", "Video")</f>
        <v/>
      </c>
      <c r="B1529" t="inlineStr">
        <is>
          <t>141:07</t>
        </is>
      </c>
      <c r="C1529" t="inlineStr">
        <is>
          <t>does my example directly support my main</t>
        </is>
      </c>
      <c r="D1529">
        <f>HYPERLINK("https://www.youtube.com/watch?v=xGtKdsVxV8A&amp;t=8467s", "Go to time")</f>
        <v/>
      </c>
    </row>
    <row r="1530">
      <c r="A1530">
        <f>HYPERLINK("https://www.youtube.com/watch?v=xGtKdsVxV8A", "Video")</f>
        <v/>
      </c>
      <c r="B1530" t="inlineStr">
        <is>
          <t>176:24</t>
        </is>
      </c>
      <c r="C1530" t="inlineStr">
        <is>
          <t>can go in different directions so it's</t>
        </is>
      </c>
      <c r="D1530">
        <f>HYPERLINK("https://www.youtube.com/watch?v=xGtKdsVxV8A&amp;t=10584s", "Go to time")</f>
        <v/>
      </c>
    </row>
    <row r="1531">
      <c r="A1531">
        <f>HYPERLINK("https://www.youtube.com/watch?v=xGtKdsVxV8A", "Video")</f>
        <v/>
      </c>
      <c r="B1531" t="inlineStr">
        <is>
          <t>177:32</t>
        </is>
      </c>
      <c r="C1531" t="inlineStr">
        <is>
          <t>direction and you get lost and then you</t>
        </is>
      </c>
      <c r="D1531">
        <f>HYPERLINK("https://www.youtube.com/watch?v=xGtKdsVxV8A&amp;t=10652s", "Go to time")</f>
        <v/>
      </c>
    </row>
    <row r="1532">
      <c r="A1532">
        <f>HYPERLINK("https://www.youtube.com/watch?v=xGtKdsVxV8A", "Video")</f>
        <v/>
      </c>
      <c r="B1532" t="inlineStr">
        <is>
          <t>308:48</t>
        </is>
      </c>
      <c r="C1532" t="inlineStr">
        <is>
          <t>Google will take you directly to those</t>
        </is>
      </c>
      <c r="D1532">
        <f>HYPERLINK("https://www.youtube.com/watch?v=xGtKdsVxV8A&amp;t=18528s", "Go to time")</f>
        <v/>
      </c>
    </row>
    <row r="1533">
      <c r="A1533">
        <f>HYPERLINK("https://www.youtube.com/watch?v=xGtKdsVxV8A", "Video")</f>
        <v/>
      </c>
      <c r="B1533" t="inlineStr">
        <is>
          <t>330:33</t>
        </is>
      </c>
      <c r="C1533" t="inlineStr">
        <is>
          <t>questions are the words here directly</t>
        </is>
      </c>
      <c r="D1533">
        <f>HYPERLINK("https://www.youtube.com/watch?v=xGtKdsVxV8A&amp;t=19833s", "Go to time")</f>
        <v/>
      </c>
    </row>
    <row r="1534">
      <c r="A1534">
        <f>HYPERLINK("https://www.youtube.com/watch?v=xGtKdsVxV8A", "Video")</f>
        <v/>
      </c>
      <c r="B1534" t="inlineStr">
        <is>
          <t>383:20</t>
        </is>
      </c>
      <c r="C1534" t="inlineStr">
        <is>
          <t>matches this one directly it's like</t>
        </is>
      </c>
      <c r="D1534">
        <f>HYPERLINK("https://www.youtube.com/watch?v=xGtKdsVxV8A&amp;t=23000s", "Go to time")</f>
        <v/>
      </c>
    </row>
    <row r="1535">
      <c r="A1535">
        <f>HYPERLINK("https://www.youtube.com/watch?v=wGoc6rHXDns", "Video")</f>
        <v/>
      </c>
      <c r="B1535" t="inlineStr">
        <is>
          <t>6:27</t>
        </is>
      </c>
      <c r="C1535" t="inlineStr">
        <is>
          <t>telling me in which direction I'm going</t>
        </is>
      </c>
      <c r="D1535">
        <f>HYPERLINK("https://www.youtube.com/watch?v=wGoc6rHXDns&amp;t=387s", "Go to time")</f>
        <v/>
      </c>
    </row>
    <row r="1536">
      <c r="A1536">
        <f>HYPERLINK("https://www.youtube.com/watch?v=-aBW-RHtcrE", "Video")</f>
        <v/>
      </c>
      <c r="B1536" t="inlineStr">
        <is>
          <t>3:20</t>
        </is>
      </c>
      <c r="C1536" t="inlineStr">
        <is>
          <t>directions or what things will I hear</t>
        </is>
      </c>
      <c r="D1536">
        <f>HYPERLINK("https://www.youtube.com/watch?v=-aBW-RHtcrE&amp;t=200s", "Go to time")</f>
        <v/>
      </c>
    </row>
    <row r="1537">
      <c r="A1537">
        <f>HYPERLINK("https://www.youtube.com/watch?v=-aBW-RHtcrE", "Video")</f>
        <v/>
      </c>
      <c r="B1537" t="inlineStr">
        <is>
          <t>3:36</t>
        </is>
      </c>
      <c r="C1537" t="inlineStr">
        <is>
          <t>Gate what direction would you go if you</t>
        </is>
      </c>
      <c r="D1537">
        <f>HYPERLINK("https://www.youtube.com/watch?v=-aBW-RHtcrE&amp;t=216s", "Go to time")</f>
        <v/>
      </c>
    </row>
    <row r="1538">
      <c r="A1538">
        <f>HYPERLINK("https://www.youtube.com/watch?v=-aBW-RHtcrE", "Video")</f>
        <v/>
      </c>
      <c r="B1538" t="inlineStr">
        <is>
          <t>8:45</t>
        </is>
      </c>
      <c r="C1538" t="inlineStr">
        <is>
          <t>they're giving you directions this is</t>
        </is>
      </c>
      <c r="D1538">
        <f>HYPERLINK("https://www.youtube.com/watch?v=-aBW-RHtcrE&amp;t=525s", "Go to time")</f>
        <v/>
      </c>
    </row>
    <row r="1539">
      <c r="A1539">
        <f>HYPERLINK("https://www.youtube.com/watch?v=-aBW-RHtcrE", "Video")</f>
        <v/>
      </c>
      <c r="B1539" t="inlineStr">
        <is>
          <t>12:05</t>
        </is>
      </c>
      <c r="C1539" t="inlineStr">
        <is>
          <t>predict the directions and predict what</t>
        </is>
      </c>
      <c r="D1539">
        <f>HYPERLINK("https://www.youtube.com/watch?v=-aBW-RHtcrE&amp;t=725s", "Go to time")</f>
        <v/>
      </c>
    </row>
    <row r="1540">
      <c r="A1540">
        <f>HYPERLINK("https://www.youtube.com/watch?v=-aBW-RHtcrE", "Video")</f>
        <v/>
      </c>
      <c r="B1540" t="inlineStr">
        <is>
          <t>13:21</t>
        </is>
      </c>
      <c r="C1540" t="inlineStr">
        <is>
          <t>directions that they might come up with</t>
        </is>
      </c>
      <c r="D1540">
        <f>HYPERLINK("https://www.youtube.com/watch?v=-aBW-RHtcrE&amp;t=801s", "Go to time")</f>
        <v/>
      </c>
    </row>
    <row r="1541">
      <c r="A1541">
        <f>HYPERLINK("https://www.youtube.com/watch?v=-aBW-RHtcrE", "Video")</f>
        <v/>
      </c>
      <c r="B1541" t="inlineStr">
        <is>
          <t>14:25</t>
        </is>
      </c>
      <c r="C1541" t="inlineStr">
        <is>
          <t>and the directions that you predict</t>
        </is>
      </c>
      <c r="D1541">
        <f>HYPERLINK("https://www.youtube.com/watch?v=-aBW-RHtcrE&amp;t=865s", "Go to time")</f>
        <v/>
      </c>
    </row>
    <row r="1542">
      <c r="A1542">
        <f>HYPERLINK("https://www.youtube.com/watch?v=qhxzCiwX11o", "Video")</f>
        <v/>
      </c>
      <c r="B1542" t="inlineStr">
        <is>
          <t>2:10</t>
        </is>
      </c>
      <c r="C1542" t="inlineStr">
        <is>
          <t>chart shows the amount of foreign direct</t>
        </is>
      </c>
      <c r="D1542">
        <f>HYPERLINK("https://www.youtube.com/watch?v=qhxzCiwX11o&amp;t=130s", "Go to time")</f>
        <v/>
      </c>
    </row>
    <row r="1543">
      <c r="A1543">
        <f>HYPERLINK("https://www.youtube.com/watch?v=qhxzCiwX11o", "Video")</f>
        <v/>
      </c>
      <c r="B1543" t="inlineStr">
        <is>
          <t>2:21</t>
        </is>
      </c>
      <c r="C1543" t="inlineStr">
        <is>
          <t>direct investment is</t>
        </is>
      </c>
      <c r="D1543">
        <f>HYPERLINK("https://www.youtube.com/watch?v=qhxzCiwX11o&amp;t=141s", "Go to time")</f>
        <v/>
      </c>
    </row>
    <row r="1544">
      <c r="A1544">
        <f>HYPERLINK("https://www.youtube.com/watch?v=qhxzCiwX11o", "Video")</f>
        <v/>
      </c>
      <c r="B1544" t="inlineStr">
        <is>
          <t>4:08</t>
        </is>
      </c>
      <c r="C1544" t="inlineStr">
        <is>
          <t>foreign direct investment</t>
        </is>
      </c>
      <c r="D1544">
        <f>HYPERLINK("https://www.youtube.com/watch?v=qhxzCiwX11o&amp;t=248s", "Go to time")</f>
        <v/>
      </c>
    </row>
    <row r="1545">
      <c r="A1545">
        <f>HYPERLINK("https://www.youtube.com/watch?v=qhxzCiwX11o", "Video")</f>
        <v/>
      </c>
      <c r="B1545" t="inlineStr">
        <is>
          <t>4:31</t>
        </is>
      </c>
      <c r="C1545" t="inlineStr">
        <is>
          <t>foreign direct investment over time for</t>
        </is>
      </c>
      <c r="D1545">
        <f>HYPERLINK("https://www.youtube.com/watch?v=qhxzCiwX11o&amp;t=271s", "Go to time")</f>
        <v/>
      </c>
    </row>
    <row r="1546">
      <c r="A1546">
        <f>HYPERLINK("https://www.youtube.com/watch?v=qhxzCiwX11o", "Video")</f>
        <v/>
      </c>
      <c r="B1546" t="inlineStr">
        <is>
          <t>5:18</t>
        </is>
      </c>
      <c r="C1546" t="inlineStr">
        <is>
          <t>foreign direct investment generally is</t>
        </is>
      </c>
      <c r="D1546">
        <f>HYPERLINK("https://www.youtube.com/watch?v=qhxzCiwX11o&amp;t=318s", "Go to time")</f>
        <v/>
      </c>
    </row>
    <row r="1547">
      <c r="A1547">
        <f>HYPERLINK("https://www.youtube.com/watch?v=qhxzCiwX11o", "Video")</f>
        <v/>
      </c>
      <c r="B1547" t="inlineStr">
        <is>
          <t>6:18</t>
        </is>
      </c>
      <c r="C1547" t="inlineStr">
        <is>
          <t>has more foreign direct investment than</t>
        </is>
      </c>
      <c r="D1547">
        <f>HYPERLINK("https://www.youtube.com/watch?v=qhxzCiwX11o&amp;t=378s", "Go to time")</f>
        <v/>
      </c>
    </row>
    <row r="1548">
      <c r="A1548">
        <f>HYPERLINK("https://www.youtube.com/watch?v=qhxzCiwX11o", "Video")</f>
        <v/>
      </c>
      <c r="B1548" t="inlineStr">
        <is>
          <t>8:01</t>
        </is>
      </c>
      <c r="C1548" t="inlineStr">
        <is>
          <t>direct investment</t>
        </is>
      </c>
      <c r="D1548">
        <f>HYPERLINK("https://www.youtube.com/watch?v=qhxzCiwX11o&amp;t=481s", "Go to time")</f>
        <v/>
      </c>
    </row>
    <row r="1549">
      <c r="A1549">
        <f>HYPERLINK("https://www.youtube.com/watch?v=qhxzCiwX11o", "Video")</f>
        <v/>
      </c>
      <c r="B1549" t="inlineStr">
        <is>
          <t>8:17</t>
        </is>
      </c>
      <c r="C1549" t="inlineStr">
        <is>
          <t>collocations of foreign direct</t>
        </is>
      </c>
      <c r="D1549">
        <f>HYPERLINK("https://www.youtube.com/watch?v=qhxzCiwX11o&amp;t=497s", "Go to time")</f>
        <v/>
      </c>
    </row>
    <row r="1550">
      <c r="A1550">
        <f>HYPERLINK("https://www.youtube.com/watch?v=qhxzCiwX11o", "Video")</f>
        <v/>
      </c>
      <c r="B1550" t="inlineStr">
        <is>
          <t>8:24</t>
        </is>
      </c>
      <c r="C1550" t="inlineStr">
        <is>
          <t>direct investment and outside investment</t>
        </is>
      </c>
      <c r="D1550">
        <f>HYPERLINK("https://www.youtube.com/watch?v=qhxzCiwX11o&amp;t=504s", "Go to time")</f>
        <v/>
      </c>
    </row>
    <row r="1551">
      <c r="A1551">
        <f>HYPERLINK("https://www.youtube.com/watch?v=yle3Wytf_LE", "Video")</f>
        <v/>
      </c>
      <c r="B1551" t="inlineStr">
        <is>
          <t>3:34</t>
        </is>
      </c>
      <c r="C1551" t="inlineStr">
        <is>
          <t>directly answers the question and then</t>
        </is>
      </c>
      <c r="D1551">
        <f>HYPERLINK("https://www.youtube.com/watch?v=yle3Wytf_LE&amp;t=214s", "Go to time")</f>
        <v/>
      </c>
    </row>
    <row r="1552">
      <c r="A1552">
        <f>HYPERLINK("https://www.youtube.com/watch?v=ihHU8coGCNw", "Video")</f>
        <v/>
      </c>
      <c r="B1552" t="inlineStr">
        <is>
          <t>1:22</t>
        </is>
      </c>
      <c r="C1552" t="inlineStr">
        <is>
          <t>appropriately selected so it is directly</t>
        </is>
      </c>
      <c r="D1552">
        <f>HYPERLINK("https://www.youtube.com/watch?v=ihHU8coGCNw&amp;t=82s", "Go to time")</f>
        <v/>
      </c>
    </row>
    <row r="1553">
      <c r="A1553">
        <f>HYPERLINK("https://www.youtube.com/watch?v=iNVxv8w5ILE", "Video")</f>
        <v/>
      </c>
      <c r="B1553" t="inlineStr">
        <is>
          <t>5:32</t>
        </is>
      </c>
      <c r="C1553" t="inlineStr">
        <is>
          <t>direction.</t>
        </is>
      </c>
      <c r="D1553">
        <f>HYPERLINK("https://www.youtube.com/watch?v=iNVxv8w5ILE&amp;t=332s", "Go to time")</f>
        <v/>
      </c>
    </row>
    <row r="1554">
      <c r="A1554">
        <f>HYPERLINK("https://www.youtube.com/watch?v=O6VYMW2QvZQ", "Video")</f>
        <v/>
      </c>
      <c r="B1554" t="inlineStr">
        <is>
          <t>1:50</t>
        </is>
      </c>
      <c r="C1554" t="inlineStr">
        <is>
          <t>early on the direction technology was</t>
        </is>
      </c>
      <c r="D1554">
        <f>HYPERLINK("https://www.youtube.com/watch?v=O6VYMW2QvZQ&amp;t=110s", "Go to time")</f>
        <v/>
      </c>
    </row>
    <row r="1555">
      <c r="A1555">
        <f>HYPERLINK("https://www.youtube.com/watch?v=zS26E5Xv24M", "Video")</f>
        <v/>
      </c>
      <c r="B1555" t="inlineStr">
        <is>
          <t>2:01</t>
        </is>
      </c>
      <c r="C1555" t="inlineStr">
        <is>
          <t>pay can also be quite lucrative because
people who are directly responsible for</t>
        </is>
      </c>
      <c r="D1555">
        <f>HYPERLINK("https://www.youtube.com/watch?v=zS26E5Xv24M&amp;t=121s", "Go to time")</f>
        <v/>
      </c>
    </row>
    <row r="1556">
      <c r="A1556">
        <f>HYPERLINK("https://www.youtube.com/watch?v=-BQ6WGvZRHc", "Video")</f>
        <v/>
      </c>
      <c r="B1556" t="inlineStr">
        <is>
          <t>3:50</t>
        </is>
      </c>
      <c r="C1556" t="inlineStr">
        <is>
          <t>muscle number five redirect your focus</t>
        </is>
      </c>
      <c r="D1556">
        <f>HYPERLINK("https://www.youtube.com/watch?v=-BQ6WGvZRHc&amp;t=230s", "Go to time")</f>
        <v/>
      </c>
    </row>
    <row r="1557">
      <c r="A1557">
        <f>HYPERLINK("https://www.youtube.com/watch?v=aGIreux9IAI", "Video")</f>
        <v/>
      </c>
      <c r="B1557" t="inlineStr">
        <is>
          <t>0:02</t>
        </is>
      </c>
      <c r="C1557" t="inlineStr">
        <is>
          <t>has a direct correlation with their</t>
        </is>
      </c>
      <c r="D1557">
        <f>HYPERLINK("https://www.youtube.com/watch?v=aGIreux9IAI&amp;t=2s", "Go to time")</f>
        <v/>
      </c>
    </row>
    <row r="1558">
      <c r="A1558">
        <f>HYPERLINK("https://www.youtube.com/watch?v=H37BDUyCEe0", "Video")</f>
        <v/>
      </c>
      <c r="B1558" t="inlineStr">
        <is>
          <t>2:44</t>
        </is>
      </c>
      <c r="C1558" t="inlineStr">
        <is>
          <t>Meditation your goal is to send love in several
directions. You start off by visualizing and</t>
        </is>
      </c>
      <c r="D1558">
        <f>HYPERLINK("https://www.youtube.com/watch?v=H37BDUyCEe0&amp;t=164s", "Go to time")</f>
        <v/>
      </c>
    </row>
    <row r="1559">
      <c r="A1559">
        <f>HYPERLINK("https://www.youtube.com/watch?v=BWPaRUtd1so", "Video")</f>
        <v/>
      </c>
      <c r="B1559" t="inlineStr">
        <is>
          <t>0:04</t>
        </is>
      </c>
      <c r="C1559" t="inlineStr">
        <is>
          <t>billionaires had some sort of direct</t>
        </is>
      </c>
      <c r="D1559">
        <f>HYPERLINK("https://www.youtube.com/watch?v=BWPaRUtd1so&amp;t=4s", "Go to time")</f>
        <v/>
      </c>
    </row>
    <row r="1560">
      <c r="A1560">
        <f>HYPERLINK("https://www.youtube.com/watch?v=BWPaRUtd1so", "Video")</f>
        <v/>
      </c>
      <c r="B1560" t="inlineStr">
        <is>
          <t>0:39</t>
        </is>
      </c>
      <c r="C1560" t="inlineStr">
        <is>
          <t>working in direct sales is a strong</t>
        </is>
      </c>
      <c r="D1560">
        <f>HYPERLINK("https://www.youtube.com/watch?v=BWPaRUtd1so&amp;t=39s", "Go to time")</f>
        <v/>
      </c>
    </row>
    <row r="1561">
      <c r="A1561">
        <f>HYPERLINK("https://www.youtube.com/watch?v=BWPaRUtd1so", "Video")</f>
        <v/>
      </c>
      <c r="B1561" t="inlineStr">
        <is>
          <t>0:41</t>
        </is>
      </c>
      <c r="C1561" t="inlineStr">
        <is>
          <t>belief in work ethic most direct sales</t>
        </is>
      </c>
      <c r="D1561">
        <f>HYPERLINK("https://www.youtube.com/watch?v=BWPaRUtd1so&amp;t=41s", "Go to time")</f>
        <v/>
      </c>
    </row>
    <row r="1562">
      <c r="A1562">
        <f>HYPERLINK("https://www.youtube.com/watch?v=BWPaRUtd1so", "Video")</f>
        <v/>
      </c>
      <c r="B1562" t="inlineStr">
        <is>
          <t>0:59</t>
        </is>
      </c>
      <c r="C1562" t="inlineStr">
        <is>
          <t>means in a direct sales environment if</t>
        </is>
      </c>
      <c r="D1562">
        <f>HYPERLINK("https://www.youtube.com/watch?v=BWPaRUtd1so&amp;t=59s", "Go to time")</f>
        <v/>
      </c>
    </row>
    <row r="1563">
      <c r="A1563">
        <f>HYPERLINK("https://www.youtube.com/watch?v=BWPaRUtd1so", "Video")</f>
        <v/>
      </c>
      <c r="B1563" t="inlineStr">
        <is>
          <t>4:29</t>
        </is>
      </c>
      <c r="C1563" t="inlineStr">
        <is>
          <t>direct link with how you take rejection</t>
        </is>
      </c>
      <c r="D1563">
        <f>HYPERLINK("https://www.youtube.com/watch?v=BWPaRUtd1so&amp;t=269s", "Go to time")</f>
        <v/>
      </c>
    </row>
    <row r="1564">
      <c r="A1564">
        <f>HYPERLINK("https://www.youtube.com/watch?v=BWPaRUtd1so", "Video")</f>
        <v/>
      </c>
      <c r="B1564" t="inlineStr">
        <is>
          <t>4:34</t>
        </is>
      </c>
      <c r="C1564" t="inlineStr">
        <is>
          <t>especially for a direct salesman I've</t>
        </is>
      </c>
      <c r="D1564">
        <f>HYPERLINK("https://www.youtube.com/watch?v=BWPaRUtd1so&amp;t=274s", "Go to time")</f>
        <v/>
      </c>
    </row>
    <row r="1565">
      <c r="A1565">
        <f>HYPERLINK("https://www.youtube.com/watch?v=bt9VdqvYDSc", "Video")</f>
        <v/>
      </c>
      <c r="B1565" t="inlineStr">
        <is>
          <t>0:31</t>
        </is>
      </c>
      <c r="C1565" t="inlineStr">
        <is>
          <t>direction you should go.
Now just to clarify, when I use the word ability,</t>
        </is>
      </c>
      <c r="D1565">
        <f>HYPERLINK("https://www.youtube.com/watch?v=bt9VdqvYDSc&amp;t=31s", "Go to time")</f>
        <v/>
      </c>
    </row>
    <row r="1566">
      <c r="A1566">
        <f>HYPERLINK("https://www.youtube.com/watch?v=bt9VdqvYDSc", "Video")</f>
        <v/>
      </c>
      <c r="B1566" t="inlineStr">
        <is>
          <t>5:33</t>
        </is>
      </c>
      <c r="C1566" t="inlineStr">
        <is>
          <t>being pulled in a particular direction. Certain
subjects interesting you more than others.</t>
        </is>
      </c>
      <c r="D1566">
        <f>HYPERLINK("https://www.youtube.com/watch?v=bt9VdqvYDSc&amp;t=333s", "Go to time")</f>
        <v/>
      </c>
    </row>
    <row r="1567">
      <c r="A1567">
        <f>HYPERLINK("https://www.youtube.com/watch?v=zGTla63LGvc", "Video")</f>
        <v/>
      </c>
      <c r="B1567" t="inlineStr">
        <is>
          <t>10:49</t>
        </is>
      </c>
      <c r="C1567" t="inlineStr">
        <is>
          <t>blend of several works it is less direct</t>
        </is>
      </c>
      <c r="D1567">
        <f>HYPERLINK("https://www.youtube.com/watch?v=zGTla63LGvc&amp;t=649s", "Go to time")</f>
        <v/>
      </c>
    </row>
    <row r="1568">
      <c r="A1568">
        <f>HYPERLINK("https://www.youtube.com/watch?v=-VL78Og2vP8", "Video")</f>
        <v/>
      </c>
      <c r="B1568" t="inlineStr">
        <is>
          <t>1:39</t>
        </is>
      </c>
      <c r="C1568" t="inlineStr">
        <is>
          <t>see them heading in different directions</t>
        </is>
      </c>
      <c r="D1568">
        <f>HYPERLINK("https://www.youtube.com/watch?v=-VL78Og2vP8&amp;t=99s", "Go to time")</f>
        <v/>
      </c>
    </row>
    <row r="1569">
      <c r="A1569">
        <f>HYPERLINK("https://www.youtube.com/watch?v=-VL78Og2vP8", "Video")</f>
        <v/>
      </c>
      <c r="B1569" t="inlineStr">
        <is>
          <t>2:24</t>
        </is>
      </c>
      <c r="C1569" t="inlineStr">
        <is>
          <t>great that you can directly message</t>
        </is>
      </c>
      <c r="D1569">
        <f>HYPERLINK("https://www.youtube.com/watch?v=-VL78Og2vP8&amp;t=144s", "Go to time")</f>
        <v/>
      </c>
    </row>
    <row r="1570">
      <c r="A1570">
        <f>HYPERLINK("https://www.youtube.com/watch?v=5e57f3H8Bbk", "Video")</f>
        <v/>
      </c>
      <c r="B1570" t="inlineStr">
        <is>
          <t>5:19</t>
        </is>
      </c>
      <c r="C1570" t="inlineStr">
        <is>
          <t>directly related to stress they also
help with things like muscle recovery so</t>
        </is>
      </c>
      <c r="D1570">
        <f>HYPERLINK("https://www.youtube.com/watch?v=5e57f3H8Bbk&amp;t=319s", "Go to time")</f>
        <v/>
      </c>
    </row>
    <row r="1571">
      <c r="A1571">
        <f>HYPERLINK("https://www.youtube.com/watch?v=rgMd_dSOSu4", "Video")</f>
        <v/>
      </c>
      <c r="B1571" t="inlineStr">
        <is>
          <t>1:43</t>
        </is>
      </c>
      <c r="C1571" t="inlineStr">
        <is>
          <t>Wu Wei is an ancient Chinese philosophy which
directly translates into “the art of doing</t>
        </is>
      </c>
      <c r="D1571">
        <f>HYPERLINK("https://www.youtube.com/watch?v=rgMd_dSOSu4&amp;t=103s", "Go to time")</f>
        <v/>
      </c>
    </row>
    <row r="1572">
      <c r="A1572">
        <f>HYPERLINK("https://www.youtube.com/watch?v=0xUSePMuLbg", "Video")</f>
        <v/>
      </c>
      <c r="B1572" t="inlineStr">
        <is>
          <t>6:51</t>
        </is>
      </c>
      <c r="C1572" t="inlineStr">
        <is>
          <t>moving in the correct direction is more</t>
        </is>
      </c>
      <c r="D1572">
        <f>HYPERLINK("https://www.youtube.com/watch?v=0xUSePMuLbg&amp;t=411s", "Go to time")</f>
        <v/>
      </c>
    </row>
    <row r="1573">
      <c r="A1573">
        <f>HYPERLINK("https://www.youtube.com/watch?v=YrSABXS0c6U", "Video")</f>
        <v/>
      </c>
      <c r="B1573" t="inlineStr">
        <is>
          <t>3:02</t>
        </is>
      </c>
      <c r="C1573" t="inlineStr">
        <is>
          <t>you don't care about at all just to graduate 
if you take all this time and redirect it into</t>
        </is>
      </c>
      <c r="D1573">
        <f>HYPERLINK("https://www.youtube.com/watch?v=YrSABXS0c6U&amp;t=182s", "Go to time")</f>
        <v/>
      </c>
    </row>
    <row r="1574">
      <c r="A1574">
        <f>HYPERLINK("https://www.youtube.com/watch?v=oAU2-04RGtA", "Video")</f>
        <v/>
      </c>
      <c r="B1574" t="inlineStr">
        <is>
          <t>0:15</t>
        </is>
      </c>
      <c r="C1574" t="inlineStr">
        <is>
          <t>directly from the dictionary of body language 
by joe navarro please support him and his work</t>
        </is>
      </c>
      <c r="D1574">
        <f>HYPERLINK("https://www.youtube.com/watch?v=oAU2-04RGtA&amp;t=15s", "Go to time")</f>
        <v/>
      </c>
    </row>
    <row r="1575">
      <c r="A1575">
        <f>HYPERLINK("https://www.youtube.com/watch?v=oAU2-04RGtA", "Video")</f>
        <v/>
      </c>
      <c r="B1575" t="inlineStr">
        <is>
          <t>4:30</t>
        </is>
      </c>
      <c r="C1575" t="inlineStr">
        <is>
          <t>in any of the following directions they could be 
pushing it away to crack their knuckles they could</t>
        </is>
      </c>
      <c r="D1575">
        <f>HYPERLINK("https://www.youtube.com/watch?v=oAU2-04RGtA&amp;t=270s", "Go to time")</f>
        <v/>
      </c>
    </row>
    <row r="1576">
      <c r="A1576">
        <f>HYPERLINK("https://www.youtube.com/watch?v=4eDHdcoxtuw", "Video")</f>
        <v/>
      </c>
      <c r="B1576" t="inlineStr">
        <is>
          <t>2:17</t>
        </is>
      </c>
      <c r="C1576" t="inlineStr">
        <is>
          <t>away and a couple of seconds later glance
back towards her direction.</t>
        </is>
      </c>
      <c r="D1576">
        <f>HYPERLINK("https://www.youtube.com/watch?v=4eDHdcoxtuw&amp;t=137s", "Go to time")</f>
        <v/>
      </c>
    </row>
    <row r="1577">
      <c r="A1577">
        <f>HYPERLINK("https://www.youtube.com/watch?v=FwiBF9Yv4Yc", "Video")</f>
        <v/>
      </c>
      <c r="B1577" t="inlineStr">
        <is>
          <t>0:17</t>
        </is>
      </c>
      <c r="C1577" t="inlineStr">
        <is>
          <t>this information is taken directly from</t>
        </is>
      </c>
      <c r="D1577">
        <f>HYPERLINK("https://www.youtube.com/watch?v=FwiBF9Yv4Yc&amp;t=17s", "Go to time")</f>
        <v/>
      </c>
    </row>
    <row r="1578">
      <c r="A1578">
        <f>HYPERLINK("https://www.youtube.com/watch?v=FwiBF9Yv4Yc", "Video")</f>
        <v/>
      </c>
      <c r="B1578" t="inlineStr">
        <is>
          <t>11:20</t>
        </is>
      </c>
      <c r="C1578" t="inlineStr">
        <is>
          <t>redirected towards the muscles instead</t>
        </is>
      </c>
      <c r="D1578">
        <f>HYPERLINK("https://www.youtube.com/watch?v=FwiBF9Yv4Yc&amp;t=680s", "Go to time")</f>
        <v/>
      </c>
    </row>
    <row r="1579">
      <c r="A1579">
        <f>HYPERLINK("https://www.youtube.com/watch?v=FwiBF9Yv4Yc", "Video")</f>
        <v/>
      </c>
      <c r="B1579" t="inlineStr">
        <is>
          <t>26:28</t>
        </is>
      </c>
      <c r="C1579" t="inlineStr">
        <is>
          <t>following directions they could be</t>
        </is>
      </c>
      <c r="D1579">
        <f>HYPERLINK("https://www.youtube.com/watch?v=FwiBF9Yv4Yc&amp;t=1588s", "Go to time")</f>
        <v/>
      </c>
    </row>
    <row r="1580">
      <c r="A1580">
        <f>HYPERLINK("https://www.youtube.com/watch?v=FwiBF9Yv4Yc", "Video")</f>
        <v/>
      </c>
      <c r="B1580" t="inlineStr">
        <is>
          <t>30:10</t>
        </is>
      </c>
      <c r="C1580" t="inlineStr">
        <is>
          <t>making direct eye contact all at the</t>
        </is>
      </c>
      <c r="D1580">
        <f>HYPERLINK("https://www.youtube.com/watch?v=FwiBF9Yv4Yc&amp;t=1810s", "Go to time")</f>
        <v/>
      </c>
    </row>
    <row r="1581">
      <c r="A1581">
        <f>HYPERLINK("https://www.youtube.com/watch?v=6L8LF0DwU8A", "Video")</f>
        <v/>
      </c>
      <c r="B1581" t="inlineStr">
        <is>
          <t>0:25</t>
        </is>
      </c>
      <c r="C1581" t="inlineStr">
        <is>
          <t>instructed to get 25 minutes of direct</t>
        </is>
      </c>
      <c r="D1581">
        <f>HYPERLINK("https://www.youtube.com/watch?v=6L8LF0DwU8A&amp;t=25s", "Go to time")</f>
        <v/>
      </c>
    </row>
    <row r="1582">
      <c r="A1582">
        <f>HYPERLINK("https://www.youtube.com/watch?v=6L8LF0DwU8A", "Video")</f>
        <v/>
      </c>
      <c r="B1582" t="inlineStr">
        <is>
          <t>0:46</t>
        </is>
      </c>
      <c r="C1582" t="inlineStr">
        <is>
          <t>direct sunlight every day without</t>
        </is>
      </c>
      <c r="D1582">
        <f>HYPERLINK("https://www.youtube.com/watch?v=6L8LF0DwU8A&amp;t=46s", "Go to time")</f>
        <v/>
      </c>
    </row>
    <row r="1583">
      <c r="A1583">
        <f>HYPERLINK("https://www.youtube.com/watch?v=fkGymhZ4uCo", "Video")</f>
        <v/>
      </c>
      <c r="B1583" t="inlineStr">
        <is>
          <t>2:39</t>
        </is>
      </c>
      <c r="C1583" t="inlineStr">
        <is>
          <t>direction increases dramatically for</t>
        </is>
      </c>
      <c r="D1583">
        <f>HYPERLINK("https://www.youtube.com/watch?v=fkGymhZ4uCo&amp;t=159s", "Go to time")</f>
        <v/>
      </c>
    </row>
    <row r="1584">
      <c r="A1584">
        <f>HYPERLINK("https://www.youtube.com/watch?v=fkGymhZ4uCo", "Video")</f>
        <v/>
      </c>
      <c r="B1584" t="inlineStr">
        <is>
          <t>3:04</t>
        </is>
      </c>
      <c r="C1584" t="inlineStr">
        <is>
          <t>direction and that's it this is why</t>
        </is>
      </c>
      <c r="D1584">
        <f>HYPERLINK("https://www.youtube.com/watch?v=fkGymhZ4uCo&amp;t=184s", "Go to time")</f>
        <v/>
      </c>
    </row>
    <row r="1585">
      <c r="A1585">
        <f>HYPERLINK("https://www.youtube.com/watch?v=gZOcLix4PGc", "Video")</f>
        <v/>
      </c>
      <c r="B1585" t="inlineStr">
        <is>
          <t>1:37</t>
        </is>
      </c>
      <c r="C1585" t="inlineStr">
        <is>
          <t>Baseline directly correlated to how high</t>
        </is>
      </c>
      <c r="D1585">
        <f>HYPERLINK("https://www.youtube.com/watch?v=gZOcLix4PGc&amp;t=97s", "Go to time")</f>
        <v/>
      </c>
    </row>
    <row r="1586">
      <c r="A1586">
        <f>HYPERLINK("https://www.youtube.com/watch?v=nM2VA1jvFoc", "Video")</f>
        <v/>
      </c>
      <c r="B1586" t="inlineStr">
        <is>
          <t>4:55</t>
        </is>
      </c>
      <c r="C1586" t="inlineStr">
        <is>
          <t>front of the line plus they directly</t>
        </is>
      </c>
      <c r="D1586">
        <f>HYPERLINK("https://www.youtube.com/watch?v=nM2VA1jvFoc&amp;t=295s", "Go to time")</f>
        <v/>
      </c>
    </row>
    <row r="1587">
      <c r="A1587">
        <f>HYPERLINK("https://www.youtube.com/watch?v=9MFrslI2aM4", "Video")</f>
        <v/>
      </c>
      <c r="B1587" t="inlineStr">
        <is>
          <t>6:51</t>
        </is>
      </c>
      <c r="C1587" t="inlineStr">
        <is>
          <t>directly or indirectly I know it's kind</t>
        </is>
      </c>
      <c r="D1587">
        <f>HYPERLINK("https://www.youtube.com/watch?v=9MFrslI2aM4&amp;t=411s", "Go to time")</f>
        <v/>
      </c>
    </row>
    <row r="1588">
      <c r="A1588">
        <f>HYPERLINK("https://www.youtube.com/watch?v=9aPZefbYRrk", "Video")</f>
        <v/>
      </c>
      <c r="B1588" t="inlineStr">
        <is>
          <t>16:03</t>
        </is>
      </c>
      <c r="C1588" t="inlineStr">
        <is>
          <t>love doing most which is teaching every
time I receive an email or a direct</t>
        </is>
      </c>
      <c r="D1588">
        <f>HYPERLINK("https://www.youtube.com/watch?v=9aPZefbYRrk&amp;t=963s", "Go to time")</f>
        <v/>
      </c>
    </row>
    <row r="1589">
      <c r="A1589">
        <f>HYPERLINK("https://www.youtube.com/watch?v=D5qrUJsberc", "Video")</f>
        <v/>
      </c>
      <c r="B1589" t="inlineStr">
        <is>
          <t>5:41</t>
        </is>
      </c>
      <c r="C1589" t="inlineStr">
        <is>
          <t>don't give it any directions it will</t>
        </is>
      </c>
      <c r="D1589">
        <f>HYPERLINK("https://www.youtube.com/watch?v=D5qrUJsberc&amp;t=341s", "Go to time")</f>
        <v/>
      </c>
    </row>
    <row r="1590">
      <c r="A1590">
        <f>HYPERLINK("https://www.youtube.com/watch?v=D5qrUJsberc", "Video")</f>
        <v/>
      </c>
      <c r="B1590" t="inlineStr">
        <is>
          <t>5:57</t>
        </is>
      </c>
      <c r="C1590" t="inlineStr">
        <is>
          <t>directions how should we lay out and</t>
        </is>
      </c>
      <c r="D1590">
        <f>HYPERLINK("https://www.youtube.com/watch?v=D5qrUJsberc&amp;t=357s", "Go to time")</f>
        <v/>
      </c>
    </row>
    <row r="1591">
      <c r="A1591">
        <f>HYPERLINK("https://www.youtube.com/watch?v=D5qrUJsberc", "Video")</f>
        <v/>
      </c>
      <c r="B1591" t="inlineStr">
        <is>
          <t>8:09</t>
        </is>
      </c>
      <c r="C1591" t="inlineStr">
        <is>
          <t>brain some direction to running we</t>
        </is>
      </c>
      <c r="D1591">
        <f>HYPERLINK("https://www.youtube.com/watch?v=D5qrUJsberc&amp;t=489s", "Go to time")</f>
        <v/>
      </c>
    </row>
    <row r="1592">
      <c r="A1592">
        <f>HYPERLINK("https://www.youtube.com/watch?v=3MxXaZagraw", "Video")</f>
        <v/>
      </c>
      <c r="B1592" t="inlineStr">
        <is>
          <t>7:03</t>
        </is>
      </c>
      <c r="C1592" t="inlineStr">
        <is>
          <t>opportunity to engage directly with a</t>
        </is>
      </c>
      <c r="D1592">
        <f>HYPERLINK("https://www.youtube.com/watch?v=3MxXaZagraw&amp;t=423s", "Go to time")</f>
        <v/>
      </c>
    </row>
    <row r="1593">
      <c r="A1593">
        <f>HYPERLINK("https://www.youtube.com/watch?v=JvSDfHzrxhM", "Video")</f>
        <v/>
      </c>
      <c r="B1593" t="inlineStr">
        <is>
          <t>0:44</t>
        </is>
      </c>
      <c r="C1593" t="inlineStr">
        <is>
          <t>into directions of True Value once we</t>
        </is>
      </c>
      <c r="D1593">
        <f>HYPERLINK("https://www.youtube.com/watch?v=JvSDfHzrxhM&amp;t=44s", "Go to time")</f>
        <v/>
      </c>
    </row>
    <row r="1594">
      <c r="A1594">
        <f>HYPERLINK("https://www.youtube.com/watch?v=sjZ08xUAA0o", "Video")</f>
        <v/>
      </c>
      <c r="B1594" t="inlineStr">
        <is>
          <t>0:08</t>
        </is>
      </c>
      <c r="C1594" t="inlineStr">
        <is>
          <t>all of this information is taken directly from 
the dictionary of body language by joe navarro</t>
        </is>
      </c>
      <c r="D1594">
        <f>HYPERLINK("https://www.youtube.com/watch?v=sjZ08xUAA0o&amp;t=8s", "Go to time")</f>
        <v/>
      </c>
    </row>
    <row r="1595">
      <c r="A1595">
        <f>HYPERLINK("https://www.youtube.com/watch?v=reLWIn9F0H0", "Video")</f>
        <v/>
      </c>
      <c r="B1595" t="inlineStr">
        <is>
          <t>3:01</t>
        </is>
      </c>
      <c r="C1595" t="inlineStr">
        <is>
          <t>the stress directly this can create a</t>
        </is>
      </c>
      <c r="D1595">
        <f>HYPERLINK("https://www.youtube.com/watch?v=reLWIn9F0H0&amp;t=181s", "Go to time")</f>
        <v/>
      </c>
    </row>
    <row r="1596">
      <c r="A1596">
        <f>HYPERLINK("https://www.youtube.com/watch?v=reLWIn9F0H0", "Video")</f>
        <v/>
      </c>
      <c r="B1596" t="inlineStr">
        <is>
          <t>3:20</t>
        </is>
      </c>
      <c r="C1596" t="inlineStr">
        <is>
          <t>with the stressor directly when you</t>
        </is>
      </c>
      <c r="D1596">
        <f>HYPERLINK("https://www.youtube.com/watch?v=reLWIn9F0H0&amp;t=200s", "Go to time")</f>
        <v/>
      </c>
    </row>
    <row r="1597">
      <c r="A1597">
        <f>HYPERLINK("https://www.youtube.com/watch?v=hgqCDvZwvd4", "Video")</f>
        <v/>
      </c>
      <c r="B1597" t="inlineStr">
        <is>
          <t>0:39</t>
        </is>
      </c>
      <c r="C1597" t="inlineStr">
        <is>
          <t>and they become more self-absorbed as we all 
do as we get older and less outer directed so</t>
        </is>
      </c>
      <c r="D1597">
        <f>HYPERLINK("https://www.youtube.com/watch?v=hgqCDvZwvd4&amp;t=39s", "Go to time")</f>
        <v/>
      </c>
    </row>
    <row r="1598">
      <c r="A1598">
        <f>HYPERLINK("https://www.youtube.com/watch?v=OUQ7LNGG93Q", "Video")</f>
        <v/>
      </c>
      <c r="B1598" t="inlineStr">
        <is>
          <t>7:21</t>
        </is>
      </c>
      <c r="C1598" t="inlineStr">
        <is>
          <t>close be direct making your interest</t>
        </is>
      </c>
      <c r="D1598">
        <f>HYPERLINK("https://www.youtube.com/watch?v=OUQ7LNGG93Q&amp;t=441s", "Go to time")</f>
        <v/>
      </c>
    </row>
    <row r="1599">
      <c r="A1599">
        <f>HYPERLINK("https://www.youtube.com/watch?v=OUQ7LNGG93Q", "Video")</f>
        <v/>
      </c>
      <c r="B1599" t="inlineStr">
        <is>
          <t>7:30</t>
        </is>
      </c>
      <c r="C1599" t="inlineStr">
        <is>
          <t>them to be more direct with you about</t>
        </is>
      </c>
      <c r="D1599">
        <f>HYPERLINK("https://www.youtube.com/watch?v=OUQ7LNGG93Q&amp;t=450s", "Go to time")</f>
        <v/>
      </c>
    </row>
    <row r="1600">
      <c r="A1600">
        <f>HYPERLINK("https://www.youtube.com/watch?v=OUQ7LNGG93Q", "Video")</f>
        <v/>
      </c>
      <c r="B1600" t="inlineStr">
        <is>
          <t>7:38</t>
        </is>
      </c>
      <c r="C1600" t="inlineStr">
        <is>
          <t>to go on a date sometime is direct and</t>
        </is>
      </c>
      <c r="D1600">
        <f>HYPERLINK("https://www.youtube.com/watch?v=OUQ7LNGG93Q&amp;t=458s", "Go to time")</f>
        <v/>
      </c>
    </row>
    <row r="1601">
      <c r="A1601">
        <f>HYPERLINK("https://www.youtube.com/watch?v=OUQ7LNGG93Q", "Video")</f>
        <v/>
      </c>
      <c r="B1601" t="inlineStr">
        <is>
          <t>7:51</t>
        </is>
      </c>
      <c r="C1601" t="inlineStr">
        <is>
          <t>and asking someone out directly like</t>
        </is>
      </c>
      <c r="D1601">
        <f>HYPERLINK("https://www.youtube.com/watch?v=OUQ7LNGG93Q&amp;t=471s", "Go to time")</f>
        <v/>
      </c>
    </row>
    <row r="1602">
      <c r="A1602">
        <f>HYPERLINK("https://www.youtube.com/watch?v=OUQ7LNGG93Q", "Video")</f>
        <v/>
      </c>
      <c r="B1602" t="inlineStr">
        <is>
          <t>8:27</t>
        </is>
      </c>
      <c r="C1602" t="inlineStr">
        <is>
          <t>end with being direct good luck and</t>
        </is>
      </c>
      <c r="D1602">
        <f>HYPERLINK("https://www.youtube.com/watch?v=OUQ7LNGG93Q&amp;t=507s", "Go to time")</f>
        <v/>
      </c>
    </row>
    <row r="1603">
      <c r="A1603">
        <f>HYPERLINK("https://www.youtube.com/watch?v=TmHxyb7O8cc", "Video")</f>
        <v/>
      </c>
      <c r="B1603" t="inlineStr">
        <is>
          <t>5:01</t>
        </is>
      </c>
      <c r="C1603" t="inlineStr">
        <is>
          <t>So to sum things up - be direct and just ask
them out - so you can find out the truth about</t>
        </is>
      </c>
      <c r="D1603">
        <f>HYPERLINK("https://www.youtube.com/watch?v=TmHxyb7O8cc&amp;t=301s", "Go to time")</f>
        <v/>
      </c>
    </row>
    <row r="1604">
      <c r="A1604">
        <f>HYPERLINK("https://www.youtube.com/watch?v=3ZQn_xPShC0", "Video")</f>
        <v/>
      </c>
      <c r="B1604" t="inlineStr">
        <is>
          <t>2:56</t>
        </is>
      </c>
      <c r="C1604" t="inlineStr">
        <is>
          <t>By redirecting your focus, that itch literally weakened.</t>
        </is>
      </c>
      <c r="D1604">
        <f>HYPERLINK("https://www.youtube.com/watch?v=3ZQn_xPShC0&amp;t=176s", "Go to time")</f>
        <v/>
      </c>
    </row>
    <row r="1605">
      <c r="A1605">
        <f>HYPERLINK("https://www.youtube.com/watch?v=3ZQn_xPShC0", "Video")</f>
        <v/>
      </c>
      <c r="B1605" t="inlineStr">
        <is>
          <t>3:00</t>
        </is>
      </c>
      <c r="C1605" t="inlineStr">
        <is>
          <t>The same applies for that empty feeling, redirect your focus onto your crafts and that empty feeling will fade into the background.</t>
        </is>
      </c>
      <c r="D1605">
        <f>HYPERLINK("https://www.youtube.com/watch?v=3ZQn_xPShC0&amp;t=180s", "Go to time")</f>
        <v/>
      </c>
    </row>
    <row r="1606">
      <c r="A1606">
        <f>HYPERLINK("https://www.youtube.com/watch?v=WXGLVZ8HECs", "Video")</f>
        <v/>
      </c>
      <c r="B1606" t="inlineStr">
        <is>
          <t>3:17</t>
        </is>
      </c>
      <c r="C1606" t="inlineStr">
        <is>
          <t>direction if this is what fate decides</t>
        </is>
      </c>
      <c r="D1606">
        <f>HYPERLINK("https://www.youtube.com/watch?v=WXGLVZ8HECs&amp;t=197s", "Go to time")</f>
        <v/>
      </c>
    </row>
    <row r="1607">
      <c r="A1607">
        <f>HYPERLINK("https://www.youtube.com/watch?v=mFeeCRJ3tcM", "Video")</f>
        <v/>
      </c>
      <c r="B1607" t="inlineStr">
        <is>
          <t>4:34</t>
        </is>
      </c>
      <c r="C1607" t="inlineStr">
        <is>
          <t>accumulates around your neck has been
directly linked to this sleep disorder</t>
        </is>
      </c>
      <c r="D1607">
        <f>HYPERLINK("https://www.youtube.com/watch?v=mFeeCRJ3tcM&amp;t=274s", "Go to time")</f>
        <v/>
      </c>
    </row>
    <row r="1608">
      <c r="A1608">
        <f>HYPERLINK("https://www.youtube.com/watch?v=Kz8fhxfDI7U", "Video")</f>
        <v/>
      </c>
      <c r="B1608" t="inlineStr">
        <is>
          <t>4:37</t>
        </is>
      </c>
      <c r="C1608" t="inlineStr">
        <is>
          <t>because it directly prompts the other</t>
        </is>
      </c>
      <c r="D1608">
        <f>HYPERLINK("https://www.youtube.com/watch?v=Kz8fhxfDI7U&amp;t=277s", "Go to time")</f>
        <v/>
      </c>
    </row>
    <row r="1609">
      <c r="A1609">
        <f>HYPERLINK("https://www.youtube.com/watch?v=5gJ0KUPNqzw", "Video")</f>
        <v/>
      </c>
      <c r="B1609" t="inlineStr">
        <is>
          <t>1:05</t>
        </is>
      </c>
      <c r="C1609" t="inlineStr">
        <is>
          <t>it redirected to a page that's</t>
        </is>
      </c>
      <c r="D1609">
        <f>HYPERLINK("https://www.youtube.com/watch?v=5gJ0KUPNqzw&amp;t=65s", "Go to time")</f>
        <v/>
      </c>
    </row>
    <row r="1610">
      <c r="A1610">
        <f>HYPERLINK("https://www.youtube.com/watch?v=5gJ0KUPNqzw", "Video")</f>
        <v/>
      </c>
      <c r="B1610" t="inlineStr">
        <is>
          <t>1:20</t>
        </is>
      </c>
      <c r="C1610" t="inlineStr">
        <is>
          <t>link it redirects you to Amazon what</t>
        </is>
      </c>
      <c r="D1610">
        <f>HYPERLINK("https://www.youtube.com/watch?v=5gJ0KUPNqzw&amp;t=80s", "Go to time")</f>
        <v/>
      </c>
    </row>
    <row r="1611">
      <c r="A1611">
        <f>HYPERLINK("https://www.youtube.com/watch?v=EeVEKfJ1BvI", "Video")</f>
        <v/>
      </c>
      <c r="B1611" t="inlineStr">
        <is>
          <t>0:52</t>
        </is>
      </c>
      <c r="C1611" t="inlineStr">
        <is>
          <t>direction
without a compass like this it's very</t>
        </is>
      </c>
      <c r="D1611">
        <f>HYPERLINK("https://www.youtube.com/watch?v=EeVEKfJ1BvI&amp;t=52s", "Go to time")</f>
        <v/>
      </c>
    </row>
    <row r="1612">
      <c r="A1612">
        <f>HYPERLINK("https://www.youtube.com/watch?v=EeVEKfJ1BvI", "Video")</f>
        <v/>
      </c>
      <c r="B1612" t="inlineStr">
        <is>
          <t>3:58</t>
        </is>
      </c>
      <c r="C1612" t="inlineStr">
        <is>
          <t>and this allows me to make sure that i'm
going in the right direction</t>
        </is>
      </c>
      <c r="D1612">
        <f>HYPERLINK("https://www.youtube.com/watch?v=EeVEKfJ1BvI&amp;t=238s", "Go to time")</f>
        <v/>
      </c>
    </row>
    <row r="1613">
      <c r="A1613">
        <f>HYPERLINK("https://www.youtube.com/watch?v=EeVEKfJ1BvI", "Video")</f>
        <v/>
      </c>
      <c r="B1613" t="inlineStr">
        <is>
          <t>10:45</t>
        </is>
      </c>
      <c r="C1613" t="inlineStr">
        <is>
          <t>my compass every month to make sure that
i'm going in the right direction</t>
        </is>
      </c>
      <c r="D1613">
        <f>HYPERLINK("https://www.youtube.com/watch?v=EeVEKfJ1BvI&amp;t=645s", "Go to time")</f>
        <v/>
      </c>
    </row>
    <row r="1614">
      <c r="A1614">
        <f>HYPERLINK("https://www.youtube.com/watch?v=CmhkmLFc74E", "Video")</f>
        <v/>
      </c>
      <c r="B1614" t="inlineStr">
        <is>
          <t>1:58</t>
        </is>
      </c>
      <c r="C1614" t="inlineStr">
        <is>
          <t>direct correlation with how how you feel</t>
        </is>
      </c>
      <c r="D1614">
        <f>HYPERLINK("https://www.youtube.com/watch?v=CmhkmLFc74E&amp;t=118s", "Go to time")</f>
        <v/>
      </c>
    </row>
    <row r="1615">
      <c r="A1615">
        <f>HYPERLINK("https://www.youtube.com/watch?v=CAgx5XaPs3I", "Video")</f>
        <v/>
      </c>
      <c r="B1615" t="inlineStr">
        <is>
          <t>2:18</t>
        </is>
      </c>
      <c r="C1615" t="inlineStr">
        <is>
          <t>success we have in life is directly
correlated with the quality of teachers</t>
        </is>
      </c>
      <c r="D1615">
        <f>HYPERLINK("https://www.youtube.com/watch?v=CAgx5XaPs3I&amp;t=138s", "Go to time")</f>
        <v/>
      </c>
    </row>
    <row r="1616">
      <c r="A1616">
        <f>HYPERLINK("https://www.youtube.com/watch?v=lvgM39UgHbA", "Video")</f>
        <v/>
      </c>
      <c r="B1616" t="inlineStr">
        <is>
          <t>3:23</t>
        </is>
      </c>
      <c r="C1616" t="inlineStr">
        <is>
          <t>interactions during this challenge
involved asking people for directions</t>
        </is>
      </c>
      <c r="D1616">
        <f>HYPERLINK("https://www.youtube.com/watch?v=lvgM39UgHbA&amp;t=203s", "Go to time")</f>
        <v/>
      </c>
    </row>
    <row r="1617">
      <c r="A1617">
        <f>HYPERLINK("https://www.youtube.com/watch?v=xobwEdX9IHk", "Video")</f>
        <v/>
      </c>
      <c r="B1617" t="inlineStr">
        <is>
          <t>0:11</t>
        </is>
      </c>
      <c r="C1617" t="inlineStr">
        <is>
          <t>direct referrals and other internal</t>
        </is>
      </c>
      <c r="D1617">
        <f>HYPERLINK("https://www.youtube.com/watch?v=xobwEdX9IHk&amp;t=11s", "Go to time")</f>
        <v/>
      </c>
    </row>
    <row r="1618">
      <c r="A1618">
        <f>HYPERLINK("https://www.youtube.com/watch?v=xobwEdX9IHk", "Video")</f>
        <v/>
      </c>
      <c r="B1618" t="inlineStr">
        <is>
          <t>0:18</t>
        </is>
      </c>
      <c r="C1618" t="inlineStr">
        <is>
          <t>direct referral that means that more</t>
        </is>
      </c>
      <c r="D1618">
        <f>HYPERLINK("https://www.youtube.com/watch?v=xobwEdX9IHk&amp;t=18s", "Go to time")</f>
        <v/>
      </c>
    </row>
    <row r="1619">
      <c r="A1619">
        <f>HYPERLINK("https://www.youtube.com/watch?v=xobwEdX9IHk", "Video")</f>
        <v/>
      </c>
      <c r="B1619" t="inlineStr">
        <is>
          <t>0:29</t>
        </is>
      </c>
      <c r="C1619" t="inlineStr">
        <is>
          <t>facebook directly contributes to how</t>
        </is>
      </c>
      <c r="D1619">
        <f>HYPERLINK("https://www.youtube.com/watch?v=xobwEdX9IHk&amp;t=29s", "Go to time")</f>
        <v/>
      </c>
    </row>
    <row r="1620">
      <c r="A1620">
        <f>HYPERLINK("https://www.youtube.com/watch?v=a81Wze-w7Go", "Video")</f>
        <v/>
      </c>
      <c r="B1620" t="inlineStr">
        <is>
          <t>1:02</t>
        </is>
      </c>
      <c r="C1620" t="inlineStr">
        <is>
          <t>resources with zero Direction that's you</t>
        </is>
      </c>
      <c r="D1620">
        <f>HYPERLINK("https://www.youtube.com/watch?v=a81Wze-w7Go&amp;t=62s", "Go to time")</f>
        <v/>
      </c>
    </row>
    <row r="1621">
      <c r="A1621">
        <f>HYPERLINK("https://www.youtube.com/watch?v=2e7ONbUG58o", "Video")</f>
        <v/>
      </c>
      <c r="B1621" t="inlineStr">
        <is>
          <t>4:49</t>
        </is>
      </c>
      <c r="C1621" t="inlineStr">
        <is>
          <t>receive an email from someone it feels
like they're talking directly to you</t>
        </is>
      </c>
      <c r="D1621">
        <f>HYPERLINK("https://www.youtube.com/watch?v=2e7ONbUG58o&amp;t=289s", "Go to time")</f>
        <v/>
      </c>
    </row>
    <row r="1622">
      <c r="A1622">
        <f>HYPERLINK("https://www.youtube.com/watch?v=2e7ONbUG58o", "Video")</f>
        <v/>
      </c>
      <c r="B1622" t="inlineStr">
        <is>
          <t>7:36</t>
        </is>
      </c>
      <c r="C1622" t="inlineStr">
        <is>
          <t>on it you're basically getting paid a
flat fee up front to redirect your</t>
        </is>
      </c>
      <c r="D1622">
        <f>HYPERLINK("https://www.youtube.com/watch?v=2e7ONbUG58o&amp;t=456s", "Go to time")</f>
        <v/>
      </c>
    </row>
    <row r="1623">
      <c r="A1623">
        <f>HYPERLINK("https://www.youtube.com/watch?v=kaMwkBUP-tY", "Video")</f>
        <v/>
      </c>
      <c r="B1623" t="inlineStr">
        <is>
          <t>4:12</t>
        </is>
      </c>
      <c r="C1623" t="inlineStr">
        <is>
          <t>direct then just ask them out so you can</t>
        </is>
      </c>
      <c r="D1623">
        <f>HYPERLINK("https://www.youtube.com/watch?v=kaMwkBUP-tY&amp;t=252s", "Go to time")</f>
        <v/>
      </c>
    </row>
    <row r="1624">
      <c r="A1624">
        <f>HYPERLINK("https://www.youtube.com/watch?v=9ou2MUSF0v8", "Video")</f>
        <v/>
      </c>
      <c r="B1624" t="inlineStr">
        <is>
          <t>2:32</t>
        </is>
      </c>
      <c r="C1624" t="inlineStr">
        <is>
          <t>So it's no surprise that it has a direct effect
on our levels of willpower.</t>
        </is>
      </c>
      <c r="D1624">
        <f>HYPERLINK("https://www.youtube.com/watch?v=9ou2MUSF0v8&amp;t=152s", "Go to time")</f>
        <v/>
      </c>
    </row>
    <row r="1625">
      <c r="A1625">
        <f>HYPERLINK("https://www.youtube.com/watch?v=qDBV1GcCqvs", "Video")</f>
        <v/>
      </c>
      <c r="B1625" t="inlineStr">
        <is>
          <t>14:12</t>
        </is>
      </c>
      <c r="C1625" t="inlineStr">
        <is>
          <t>and that's because willpower is directly
tied to your ability to stick to your</t>
        </is>
      </c>
      <c r="D1625">
        <f>HYPERLINK("https://www.youtube.com/watch?v=qDBV1GcCqvs&amp;t=852s", "Go to time")</f>
        <v/>
      </c>
    </row>
    <row r="1626">
      <c r="A1626">
        <f>HYPERLINK("https://www.youtube.com/watch?v=0NNTcZ7uMRw", "Video")</f>
        <v/>
      </c>
      <c r="B1626" t="inlineStr">
        <is>
          <t>1:09</t>
        </is>
      </c>
      <c r="C1626" t="inlineStr">
        <is>
          <t>and take steps in the right direction to</t>
        </is>
      </c>
      <c r="D1626">
        <f>HYPERLINK("https://www.youtube.com/watch?v=0NNTcZ7uMRw&amp;t=69s", "Go to time")</f>
        <v/>
      </c>
    </row>
    <row r="1627">
      <c r="A1627">
        <f>HYPERLINK("https://www.youtube.com/watch?v=0NNTcZ7uMRw", "Video")</f>
        <v/>
      </c>
      <c r="B1627" t="inlineStr">
        <is>
          <t>4:54</t>
        </is>
      </c>
      <c r="C1627" t="inlineStr">
        <is>
          <t>else we're never without Direction</t>
        </is>
      </c>
      <c r="D1627">
        <f>HYPERLINK("https://www.youtube.com/watch?v=0NNTcZ7uMRw&amp;t=294s", "Go to time")</f>
        <v/>
      </c>
    </row>
    <row r="1628">
      <c r="A1628">
        <f>HYPERLINK("https://www.youtube.com/watch?v=cEa3zJRAOjY", "Video")</f>
        <v/>
      </c>
      <c r="B1628" t="inlineStr">
        <is>
          <t>4:40</t>
        </is>
      </c>
      <c r="C1628" t="inlineStr">
        <is>
          <t>there is a direct link between the</t>
        </is>
      </c>
      <c r="D1628">
        <f>HYPERLINK("https://www.youtube.com/watch?v=cEa3zJRAOjY&amp;t=280s", "Go to time")</f>
        <v/>
      </c>
    </row>
    <row r="1629">
      <c r="A1629">
        <f>HYPERLINK("https://www.youtube.com/watch?v=efHXX0n5iCk", "Video")</f>
        <v/>
      </c>
      <c r="B1629" t="inlineStr">
        <is>
          <t>5:31</t>
        </is>
      </c>
      <c r="C1629" t="inlineStr">
        <is>
          <t>let's get checked the livers discrete
lab accredited testing kits directly to</t>
        </is>
      </c>
      <c r="D1629">
        <f>HYPERLINK("https://www.youtube.com/watch?v=efHXX0n5iCk&amp;t=331s", "Go to time")</f>
        <v/>
      </c>
    </row>
    <row r="1630">
      <c r="A1630">
        <f>HYPERLINK("https://www.youtube.com/watch?v=1F4SLF97yuk", "Video")</f>
        <v/>
      </c>
      <c r="B1630" t="inlineStr">
        <is>
          <t>1:55</t>
        </is>
      </c>
      <c r="C1630" t="inlineStr">
        <is>
          <t>purpose and Direction putting it simply</t>
        </is>
      </c>
      <c r="D1630">
        <f>HYPERLINK("https://www.youtube.com/watch?v=1F4SLF97yuk&amp;t=115s", "Go to time")</f>
        <v/>
      </c>
    </row>
    <row r="1631">
      <c r="A1631">
        <f>HYPERLINK("https://www.youtube.com/watch?v=2HErvwKnLLg", "Video")</f>
        <v/>
      </c>
      <c r="B1631" t="inlineStr">
        <is>
          <t>2:43</t>
        </is>
      </c>
      <c r="C1631" t="inlineStr">
        <is>
          <t>when you purposely direct the focus of your vision 
onto a single point for an extended period of time</t>
        </is>
      </c>
      <c r="D1631">
        <f>HYPERLINK("https://www.youtube.com/watch?v=2HErvwKnLLg&amp;t=163s", "Go to time")</f>
        <v/>
      </c>
    </row>
    <row r="1632">
      <c r="A1632">
        <f>HYPERLINK("https://www.youtube.com/watch?v=lCL5HF0Ewyg", "Video")</f>
        <v/>
      </c>
      <c r="B1632" t="inlineStr">
        <is>
          <t>1:45</t>
        </is>
      </c>
      <c r="C1632" t="inlineStr">
        <is>
          <t>was riddled with directed video features</t>
        </is>
      </c>
      <c r="D1632">
        <f>HYPERLINK("https://www.youtube.com/watch?v=lCL5HF0Ewyg&amp;t=105s", "Go to time")</f>
        <v/>
      </c>
    </row>
    <row r="1633">
      <c r="A1633">
        <f>HYPERLINK("https://www.youtube.com/watch?v=lCL5HF0Ewyg", "Video")</f>
        <v/>
      </c>
      <c r="B1633" t="inlineStr">
        <is>
          <t>3:30</t>
        </is>
      </c>
      <c r="C1633" t="inlineStr">
        <is>
          <t>was now between notorious director</t>
        </is>
      </c>
      <c r="D1633">
        <f>HYPERLINK("https://www.youtube.com/watch?v=lCL5HF0Ewyg&amp;t=210s", "Go to time")</f>
        <v/>
      </c>
    </row>
    <row r="1634">
      <c r="A1634">
        <f>HYPERLINK("https://www.youtube.com/watch?v=lCL5HF0Ewyg", "Video")</f>
        <v/>
      </c>
      <c r="B1634" t="inlineStr">
        <is>
          <t>3:40</t>
        </is>
      </c>
      <c r="C1634" t="inlineStr">
        <is>
          <t>like with stone directing but i guess</t>
        </is>
      </c>
      <c r="D1634">
        <f>HYPERLINK("https://www.youtube.com/watch?v=lCL5HF0Ewyg&amp;t=220s", "Go to time")</f>
        <v/>
      </c>
    </row>
    <row r="1635">
      <c r="A1635">
        <f>HYPERLINK("https://www.youtube.com/watch?v=lCL5HF0Ewyg", "Video")</f>
        <v/>
      </c>
      <c r="B1635" t="inlineStr">
        <is>
          <t>4:04</t>
        </is>
      </c>
      <c r="C1635" t="inlineStr">
        <is>
          <t>a director but not just any director</t>
        </is>
      </c>
      <c r="D1635">
        <f>HYPERLINK("https://www.youtube.com/watch?v=lCL5HF0Ewyg&amp;t=244s", "Go to time")</f>
        <v/>
      </c>
    </row>
    <row r="1636">
      <c r="A1636">
        <f>HYPERLINK("https://www.youtube.com/watch?v=lCL5HF0Ewyg", "Video")</f>
        <v/>
      </c>
      <c r="B1636" t="inlineStr">
        <is>
          <t>4:18</t>
        </is>
      </c>
      <c r="C1636" t="inlineStr">
        <is>
          <t>director though clearly wes craven was</t>
        </is>
      </c>
      <c r="D1636">
        <f>HYPERLINK("https://www.youtube.com/watch?v=lCL5HF0Ewyg&amp;t=258s", "Go to time")</f>
        <v/>
      </c>
    </row>
    <row r="1637">
      <c r="A1637">
        <f>HYPERLINK("https://www.youtube.com/watch?v=lCL5HF0Ewyg", "Video")</f>
        <v/>
      </c>
      <c r="B1637" t="inlineStr">
        <is>
          <t>4:45</t>
        </is>
      </c>
      <c r="C1637" t="inlineStr">
        <is>
          <t>and directors danny boyle george romero</t>
        </is>
      </c>
      <c r="D1637">
        <f>HYPERLINK("https://www.youtube.com/watch?v=lCL5HF0Ewyg&amp;t=285s", "Go to time")</f>
        <v/>
      </c>
    </row>
    <row r="1638">
      <c r="A1638">
        <f>HYPERLINK("https://www.youtube.com/watch?v=lCL5HF0Ewyg", "Video")</f>
        <v/>
      </c>
      <c r="B1638" t="inlineStr">
        <is>
          <t>5:07</t>
        </is>
      </c>
      <c r="C1638" t="inlineStr">
        <is>
          <t>directors would over emphasize the</t>
        </is>
      </c>
      <c r="D1638">
        <f>HYPERLINK("https://www.youtube.com/watch?v=lCL5HF0Ewyg&amp;t=307s", "Go to time")</f>
        <v/>
      </c>
    </row>
    <row r="1639">
      <c r="A1639">
        <f>HYPERLINK("https://www.youtube.com/watch?v=lCL5HF0Ewyg", "Video")</f>
        <v/>
      </c>
      <c r="B1639" t="inlineStr">
        <is>
          <t>5:23</t>
        </is>
      </c>
      <c r="C1639" t="inlineStr">
        <is>
          <t>director now had an opening in his</t>
        </is>
      </c>
      <c r="D1639">
        <f>HYPERLINK("https://www.youtube.com/watch?v=lCL5HF0Ewyg&amp;t=323s", "Go to time")</f>
        <v/>
      </c>
    </row>
    <row r="1640">
      <c r="A1640">
        <f>HYPERLINK("https://www.youtube.com/watch?v=lCL5HF0Ewyg", "Video")</f>
        <v/>
      </c>
      <c r="B1640" t="inlineStr">
        <is>
          <t>5:32</t>
        </is>
      </c>
      <c r="C1640" t="inlineStr">
        <is>
          <t>pass up so she nudged the director and</t>
        </is>
      </c>
      <c r="D1640">
        <f>HYPERLINK("https://www.youtube.com/watch?v=lCL5HF0Ewyg&amp;t=332s", "Go to time")</f>
        <v/>
      </c>
    </row>
    <row r="1641">
      <c r="A1641">
        <f>HYPERLINK("https://www.youtube.com/watch?v=lCL5HF0Ewyg", "Video")</f>
        <v/>
      </c>
      <c r="B1641" t="inlineStr">
        <is>
          <t>7:38</t>
        </is>
      </c>
      <c r="C1641" t="inlineStr">
        <is>
          <t>brothers film that directly parodies</t>
        </is>
      </c>
      <c r="D1641">
        <f>HYPERLINK("https://www.youtube.com/watch?v=lCL5HF0Ewyg&amp;t=458s", "Go to time")</f>
        <v/>
      </c>
    </row>
    <row r="1642">
      <c r="A1642">
        <f>HYPERLINK("https://www.youtube.com/watch?v=lCL5HF0Ewyg", "Video")</f>
        <v/>
      </c>
      <c r="B1642" t="inlineStr">
        <is>
          <t>10:31</t>
        </is>
      </c>
      <c r="C1642" t="inlineStr">
        <is>
          <t>to direct again if there'd been any</t>
        </is>
      </c>
      <c r="D1642">
        <f>HYPERLINK("https://www.youtube.com/watch?v=lCL5HF0Ewyg&amp;t=631s", "Go to time")</f>
        <v/>
      </c>
    </row>
    <row r="1643">
      <c r="A1643">
        <f>HYPERLINK("https://www.youtube.com/watch?v=lCL5HF0Ewyg", "Video")</f>
        <v/>
      </c>
      <c r="B1643" t="inlineStr">
        <is>
          <t>12:57</t>
        </is>
      </c>
      <c r="C1643" t="inlineStr">
        <is>
          <t>directing the film teaching mrs tingle</t>
        </is>
      </c>
      <c r="D1643">
        <f>HYPERLINK("https://www.youtube.com/watch?v=lCL5HF0Ewyg&amp;t=777s", "Go to time")</f>
        <v/>
      </c>
    </row>
    <row r="1644">
      <c r="A1644">
        <f>HYPERLINK("https://www.youtube.com/watch?v=lCL5HF0Ewyg", "Video")</f>
        <v/>
      </c>
      <c r="B1644" t="inlineStr">
        <is>
          <t>15:44</t>
        </is>
      </c>
      <c r="C1644" t="inlineStr">
        <is>
          <t>directing and williamson riding the way</t>
        </is>
      </c>
      <c r="D1644">
        <f>HYPERLINK("https://www.youtube.com/watch?v=lCL5HF0Ewyg&amp;t=944s", "Go to time")</f>
        <v/>
      </c>
    </row>
    <row r="1645">
      <c r="A1645">
        <f>HYPERLINK("https://www.youtube.com/watch?v=lCL5HF0Ewyg", "Video")</f>
        <v/>
      </c>
      <c r="B1645" t="inlineStr">
        <is>
          <t>20:54</t>
        </is>
      </c>
      <c r="C1645" t="inlineStr">
        <is>
          <t>busick and directed by matt bettinelli</t>
        </is>
      </c>
      <c r="D1645">
        <f>HYPERLINK("https://www.youtube.com/watch?v=lCL5HF0Ewyg&amp;t=1254s", "Go to time")</f>
        <v/>
      </c>
    </row>
    <row r="1646">
      <c r="A1646">
        <f>HYPERLINK("https://www.youtube.com/watch?v=lCL5HF0Ewyg", "Video")</f>
        <v/>
      </c>
      <c r="B1646" t="inlineStr">
        <is>
          <t>22:07</t>
        </is>
      </c>
      <c r="C1646" t="inlineStr">
        <is>
          <t>first scream film to not be directed by</t>
        </is>
      </c>
      <c r="D1646">
        <f>HYPERLINK("https://www.youtube.com/watch?v=lCL5HF0Ewyg&amp;t=1327s", "Go to time")</f>
        <v/>
      </c>
    </row>
    <row r="1647">
      <c r="A1647">
        <f>HYPERLINK("https://www.youtube.com/watch?v=lCL5HF0Ewyg", "Video")</f>
        <v/>
      </c>
      <c r="B1647" t="inlineStr">
        <is>
          <t>22:14</t>
        </is>
      </c>
      <c r="C1647" t="inlineStr">
        <is>
          <t>director proud and there you have it the</t>
        </is>
      </c>
      <c r="D1647">
        <f>HYPERLINK("https://www.youtube.com/watch?v=lCL5HF0Ewyg&amp;t=1334s", "Go to time")</f>
        <v/>
      </c>
    </row>
    <row r="1648">
      <c r="A1648">
        <f>HYPERLINK("https://www.youtube.com/watch?v=0A2gix_qEC4", "Video")</f>
        <v/>
      </c>
      <c r="B1648" t="inlineStr">
        <is>
          <t>2:27</t>
        </is>
      </c>
      <c r="C1648" t="inlineStr">
        <is>
          <t>themselves but ultimately directing</t>
        </is>
      </c>
      <c r="D1648">
        <f>HYPERLINK("https://www.youtube.com/watch?v=0A2gix_qEC4&amp;t=147s", "Go to time")</f>
        <v/>
      </c>
    </row>
    <row r="1649">
      <c r="A1649">
        <f>HYPERLINK("https://www.youtube.com/watch?v=0A2gix_qEC4", "Video")</f>
        <v/>
      </c>
      <c r="B1649" t="inlineStr">
        <is>
          <t>3:21</t>
        </is>
      </c>
      <c r="C1649" t="inlineStr">
        <is>
          <t>consensus from critics is that director</t>
        </is>
      </c>
      <c r="D1649">
        <f>HYPERLINK("https://www.youtube.com/watch?v=0A2gix_qEC4&amp;t=201s", "Go to time")</f>
        <v/>
      </c>
    </row>
    <row r="1650">
      <c r="A1650">
        <f>HYPERLINK("https://www.youtube.com/watch?v=0A2gix_qEC4", "Video")</f>
        <v/>
      </c>
      <c r="B1650" t="inlineStr">
        <is>
          <t>4:32</t>
        </is>
      </c>
      <c r="C1650" t="inlineStr">
        <is>
          <t>the film's writer and director ron</t>
        </is>
      </c>
      <c r="D1650">
        <f>HYPERLINK("https://www.youtube.com/watch?v=0A2gix_qEC4&amp;t=272s", "Go to time")</f>
        <v/>
      </c>
    </row>
    <row r="1651">
      <c r="A1651">
        <f>HYPERLINK("https://www.youtube.com/watch?v=0A2gix_qEC4", "Video")</f>
        <v/>
      </c>
      <c r="B1651" t="inlineStr">
        <is>
          <t>6:42</t>
        </is>
      </c>
      <c r="C1651" t="inlineStr">
        <is>
          <t>bears this one was directed by michael</t>
        </is>
      </c>
      <c r="D1651">
        <f>HYPERLINK("https://www.youtube.com/watch?v=0A2gix_qEC4&amp;t=402s", "Go to time")</f>
        <v/>
      </c>
    </row>
    <row r="1652">
      <c r="A1652">
        <f>HYPERLINK("https://www.youtube.com/watch?v=0A2gix_qEC4", "Video")</f>
        <v/>
      </c>
      <c r="B1652" t="inlineStr">
        <is>
          <t>7:59</t>
        </is>
      </c>
      <c r="C1652" t="inlineStr">
        <is>
          <t>directed by richard linklater and all of</t>
        </is>
      </c>
      <c r="D1652">
        <f>HYPERLINK("https://www.youtube.com/watch?v=0A2gix_qEC4&amp;t=479s", "Go to time")</f>
        <v/>
      </c>
    </row>
    <row r="1653">
      <c r="A1653">
        <f>HYPERLINK("https://www.youtube.com/watch?v=0A2gix_qEC4", "Video")</f>
        <v/>
      </c>
      <c r="B1653" t="inlineStr">
        <is>
          <t>9:09</t>
        </is>
      </c>
      <c r="C1653" t="inlineStr">
        <is>
          <t>written and directed by phil alden</t>
        </is>
      </c>
      <c r="D1653">
        <f>HYPERLINK("https://www.youtube.com/watch?v=0A2gix_qEC4&amp;t=549s", "Go to time")</f>
        <v/>
      </c>
    </row>
    <row r="1654">
      <c r="A1654">
        <f>HYPERLINK("https://www.youtube.com/watch?v=0A2gix_qEC4", "Video")</f>
        <v/>
      </c>
      <c r="B1654" t="inlineStr">
        <is>
          <t>11:54</t>
        </is>
      </c>
      <c r="C1654" t="inlineStr">
        <is>
          <t>and directed by brian helgeland who won</t>
        </is>
      </c>
      <c r="D1654">
        <f>HYPERLINK("https://www.youtube.com/watch?v=0A2gix_qEC4&amp;t=714s", "Go to time")</f>
        <v/>
      </c>
    </row>
    <row r="1655">
      <c r="A1655">
        <f>HYPERLINK("https://www.youtube.com/watch?v=0A2gix_qEC4", "Video")</f>
        <v/>
      </c>
      <c r="B1655" t="inlineStr">
        <is>
          <t>12:59</t>
        </is>
      </c>
      <c r="C1655" t="inlineStr">
        <is>
          <t>planned to write and direct a film based</t>
        </is>
      </c>
      <c r="D1655">
        <f>HYPERLINK("https://www.youtube.com/watch?v=0A2gix_qEC4&amp;t=779s", "Go to time")</f>
        <v/>
      </c>
    </row>
    <row r="1656">
      <c r="A1656">
        <f>HYPERLINK("https://www.youtube.com/watch?v=0A2gix_qEC4", "Video")</f>
        <v/>
      </c>
      <c r="B1656" t="inlineStr">
        <is>
          <t>14:12</t>
        </is>
      </c>
      <c r="C1656" t="inlineStr">
        <is>
          <t>comedy was written and directed by david</t>
        </is>
      </c>
      <c r="D1656">
        <f>HYPERLINK("https://www.youtube.com/watch?v=0A2gix_qEC4&amp;t=852s", "Go to time")</f>
        <v/>
      </c>
    </row>
    <row r="1657">
      <c r="A1657">
        <f>HYPERLINK("https://www.youtube.com/watch?v=0A2gix_qEC4", "Video")</f>
        <v/>
      </c>
      <c r="B1657" t="inlineStr">
        <is>
          <t>16:43</t>
        </is>
      </c>
      <c r="C1657" t="inlineStr">
        <is>
          <t>league of their own the film is directed</t>
        </is>
      </c>
      <c r="D1657">
        <f>HYPERLINK("https://www.youtube.com/watch?v=0A2gix_qEC4&amp;t=1003s", "Go to time")</f>
        <v/>
      </c>
    </row>
    <row r="1658">
      <c r="A1658">
        <f>HYPERLINK("https://www.youtube.com/watch?v=0A2gix_qEC4", "Video")</f>
        <v/>
      </c>
      <c r="B1658" t="inlineStr">
        <is>
          <t>19:16</t>
        </is>
      </c>
      <c r="C1658" t="inlineStr">
        <is>
          <t>because it's 1984's the natural directed</t>
        </is>
      </c>
      <c r="D1658">
        <f>HYPERLINK("https://www.youtube.com/watch?v=0A2gix_qEC4&amp;t=1156s", "Go to time")</f>
        <v/>
      </c>
    </row>
    <row r="1659">
      <c r="A1659">
        <f>HYPERLINK("https://www.youtube.com/watch?v=0A2gix_qEC4", "Video")</f>
        <v/>
      </c>
      <c r="B1659" t="inlineStr">
        <is>
          <t>21:36</t>
        </is>
      </c>
      <c r="C1659" t="inlineStr">
        <is>
          <t>directed and narrated by david mickey</t>
        </is>
      </c>
      <c r="D1659">
        <f>HYPERLINK("https://www.youtube.com/watch?v=0A2gix_qEC4&amp;t=1296s", "Go to time")</f>
        <v/>
      </c>
    </row>
    <row r="1660">
      <c r="A1660">
        <f>HYPERLINK("https://www.youtube.com/watch?v=0A2gix_qEC4", "Video")</f>
        <v/>
      </c>
      <c r="B1660" t="inlineStr">
        <is>
          <t>22:13</t>
        </is>
      </c>
      <c r="C1660" t="inlineStr">
        <is>
          <t>1990s a direct-to-dvd sequel was</t>
        </is>
      </c>
      <c r="D1660">
        <f>HYPERLINK("https://www.youtube.com/watch?v=0A2gix_qEC4&amp;t=1333s", "Go to time")</f>
        <v/>
      </c>
    </row>
    <row r="1661">
      <c r="A1661">
        <f>HYPERLINK("https://www.youtube.com/watch?v=0A2gix_qEC4", "Video")</f>
        <v/>
      </c>
      <c r="B1661" t="inlineStr">
        <is>
          <t>22:18</t>
        </is>
      </c>
      <c r="C1661" t="inlineStr">
        <is>
          <t>returning to right direct and narrate</t>
        </is>
      </c>
      <c r="D1661">
        <f>HYPERLINK("https://www.youtube.com/watch?v=0A2gix_qEC4&amp;t=1338s", "Go to time")</f>
        <v/>
      </c>
    </row>
    <row r="1662">
      <c r="A1662">
        <f>HYPERLINK("https://www.youtube.com/watch?v=0A2gix_qEC4", "Video")</f>
        <v/>
      </c>
      <c r="B1662" t="inlineStr">
        <is>
          <t>23:07</t>
        </is>
      </c>
      <c r="C1662" t="inlineStr">
        <is>
          <t>and another direct-to-dvd sequel the</t>
        </is>
      </c>
      <c r="D1662">
        <f>HYPERLINK("https://www.youtube.com/watch?v=0A2gix_qEC4&amp;t=1387s", "Go to time")</f>
        <v/>
      </c>
    </row>
    <row r="1663">
      <c r="A1663">
        <f>HYPERLINK("https://www.youtube.com/watch?v=L8yhSDtM0LY", "Video")</f>
        <v/>
      </c>
      <c r="B1663" t="inlineStr">
        <is>
          <t>0:38</t>
        </is>
      </c>
      <c r="C1663" t="inlineStr">
        <is>
          <t>smallness and discoloration is a direct</t>
        </is>
      </c>
      <c r="D1663">
        <f>HYPERLINK("https://www.youtube.com/watch?v=L8yhSDtM0LY&amp;t=38s", "Go to time")</f>
        <v/>
      </c>
    </row>
    <row r="1664">
      <c r="A1664">
        <f>HYPERLINK("https://www.youtube.com/watch?v=RZt1Iu3gh3I", "Video")</f>
        <v/>
      </c>
      <c r="B1664" t="inlineStr">
        <is>
          <t>8:34</t>
        </is>
      </c>
      <c r="C1664" t="inlineStr">
        <is>
          <t>oh yeah well let's redirect the moment</t>
        </is>
      </c>
      <c r="D1664">
        <f>HYPERLINK("https://www.youtube.com/watch?v=RZt1Iu3gh3I&amp;t=514s", "Go to time")</f>
        <v/>
      </c>
    </row>
    <row r="1665">
      <c r="A1665">
        <f>HYPERLINK("https://www.youtube.com/watch?v=RZt1Iu3gh3I", "Video")</f>
        <v/>
      </c>
      <c r="B1665" t="inlineStr">
        <is>
          <t>18:36</t>
        </is>
      </c>
      <c r="C1665" t="inlineStr">
        <is>
          <t>what you follow directions well Sydney</t>
        </is>
      </c>
      <c r="D1665">
        <f>HYPERLINK("https://www.youtube.com/watch?v=RZt1Iu3gh3I&amp;t=1116s", "Go to time")</f>
        <v/>
      </c>
    </row>
    <row r="1666">
      <c r="A1666">
        <f>HYPERLINK("https://www.youtube.com/watch?v=k3Cp92Fon3I", "Video")</f>
        <v/>
      </c>
      <c r="B1666" t="inlineStr">
        <is>
          <t>14:05</t>
        </is>
      </c>
      <c r="C1666" t="inlineStr">
        <is>
          <t>to work with this director but is there</t>
        </is>
      </c>
      <c r="D1666">
        <f>HYPERLINK("https://www.youtube.com/watch?v=k3Cp92Fon3I&amp;t=845s", "Go to time")</f>
        <v/>
      </c>
    </row>
    <row r="1667">
      <c r="A1667">
        <f>HYPERLINK("https://www.youtube.com/watch?v=k3Cp92Fon3I", "Video")</f>
        <v/>
      </c>
      <c r="B1667" t="inlineStr">
        <is>
          <t>14:31</t>
        </is>
      </c>
      <c r="C1667" t="inlineStr">
        <is>
          <t>directors that I haven't worked with is</t>
        </is>
      </c>
      <c r="D1667">
        <f>HYPERLINK("https://www.youtube.com/watch?v=k3Cp92Fon3I&amp;t=871s", "Go to time")</f>
        <v/>
      </c>
    </row>
    <row r="1668">
      <c r="A1668">
        <f>HYPERLINK("https://www.youtube.com/watch?v=k3Cp92Fon3I", "Video")</f>
        <v/>
      </c>
      <c r="B1668" t="inlineStr">
        <is>
          <t>20:42</t>
        </is>
      </c>
      <c r="C1668" t="inlineStr">
        <is>
          <t>will say Obviously with a film directed</t>
        </is>
      </c>
      <c r="D1668">
        <f>HYPERLINK("https://www.youtube.com/watch?v=k3Cp92Fon3I&amp;t=1242s", "Go to time")</f>
        <v/>
      </c>
    </row>
    <row r="1669">
      <c r="A1669">
        <f>HYPERLINK("https://www.youtube.com/watch?v=k3Cp92Fon3I", "Video")</f>
        <v/>
      </c>
      <c r="B1669" t="inlineStr">
        <is>
          <t>25:11</t>
        </is>
      </c>
      <c r="C1669" t="inlineStr">
        <is>
          <t>DP and a director is it's really</t>
        </is>
      </c>
      <c r="D1669">
        <f>HYPERLINK("https://www.youtube.com/watch?v=k3Cp92Fon3I&amp;t=1511s", "Go to time")</f>
        <v/>
      </c>
    </row>
    <row r="1670">
      <c r="A1670">
        <f>HYPERLINK("https://www.youtube.com/watch?v=k3Cp92Fon3I", "Video")</f>
        <v/>
      </c>
      <c r="B1670" t="inlineStr">
        <is>
          <t>27:15</t>
        </is>
      </c>
      <c r="C1670" t="inlineStr">
        <is>
          <t>movie that I directed and uh so was you</t>
        </is>
      </c>
      <c r="D1670">
        <f>HYPERLINK("https://www.youtube.com/watch?v=k3Cp92Fon3I&amp;t=1635s", "Go to time")</f>
        <v/>
      </c>
    </row>
    <row r="1671">
      <c r="A1671">
        <f>HYPERLINK("https://www.youtube.com/watch?v=k3Cp92Fon3I", "Video")</f>
        <v/>
      </c>
      <c r="B1671" t="inlineStr">
        <is>
          <t>29:29</t>
        </is>
      </c>
      <c r="C1671" t="inlineStr">
        <is>
          <t>Hollywood with your director in the</t>
        </is>
      </c>
      <c r="D1671">
        <f>HYPERLINK("https://www.youtube.com/watch?v=k3Cp92Fon3I&amp;t=1769s", "Go to time")</f>
        <v/>
      </c>
    </row>
    <row r="1672">
      <c r="A1672">
        <f>HYPERLINK("https://www.youtube.com/watch?v=k3Cp92Fon3I", "Video")</f>
        <v/>
      </c>
      <c r="B1672" t="inlineStr">
        <is>
          <t>29:45</t>
        </is>
      </c>
      <c r="C1672" t="inlineStr">
        <is>
          <t>that he wanted to direct it and then</t>
        </is>
      </c>
      <c r="D1672">
        <f>HYPERLINK("https://www.youtube.com/watch?v=k3Cp92Fon3I&amp;t=1785s", "Go to time")</f>
        <v/>
      </c>
    </row>
    <row r="1673">
      <c r="A1673">
        <f>HYPERLINK("https://www.youtube.com/watch?v=zR14V6yYyhg", "Video")</f>
        <v/>
      </c>
      <c r="B1673" t="inlineStr">
        <is>
          <t>2:43</t>
        </is>
      </c>
      <c r="C1673" t="inlineStr">
        <is>
          <t>directed by tarsome Singh 45</t>
        </is>
      </c>
      <c r="D1673">
        <f>HYPERLINK("https://www.youtube.com/watch?v=zR14V6yYyhg&amp;t=163s", "Go to time")</f>
        <v/>
      </c>
    </row>
    <row r="1674">
      <c r="A1674">
        <f>HYPERLINK("https://www.youtube.com/watch?v=zR14V6yYyhg", "Video")</f>
        <v/>
      </c>
      <c r="B1674" t="inlineStr">
        <is>
          <t>8:41</t>
        </is>
      </c>
      <c r="C1674" t="inlineStr">
        <is>
          <t>videos directing striking clips for En</t>
        </is>
      </c>
      <c r="D1674">
        <f>HYPERLINK("https://www.youtube.com/watch?v=zR14V6yYyhg&amp;t=521s", "Go to time")</f>
        <v/>
      </c>
    </row>
    <row r="1675">
      <c r="A1675">
        <f>HYPERLINK("https://www.youtube.com/watch?v=zR14V6yYyhg", "Video")</f>
        <v/>
      </c>
      <c r="B1675" t="inlineStr">
        <is>
          <t>15:18</t>
        </is>
      </c>
      <c r="C1675" t="inlineStr">
        <is>
          <t>2008 called The Fall directed by tarsome</t>
        </is>
      </c>
      <c r="D1675">
        <f>HYPERLINK("https://www.youtube.com/watch?v=zR14V6yYyhg&amp;t=918s", "Go to time")</f>
        <v/>
      </c>
    </row>
    <row r="1676">
      <c r="A1676">
        <f>HYPERLINK("https://www.youtube.com/watch?v=zR14V6yYyhg", "Video")</f>
        <v/>
      </c>
      <c r="B1676" t="inlineStr">
        <is>
          <t>15:22</t>
        </is>
      </c>
      <c r="C1676" t="inlineStr">
        <is>
          <t>them with my knowledge it comes directed</t>
        </is>
      </c>
      <c r="D1676">
        <f>HYPERLINK("https://www.youtube.com/watch?v=zR14V6yYyhg&amp;t=922s", "Go to time")</f>
        <v/>
      </c>
    </row>
    <row r="1677">
      <c r="A1677">
        <f>HYPERLINK("https://www.youtube.com/watch?v=zR14V6yYyhg", "Video")</f>
        <v/>
      </c>
      <c r="B1677" t="inlineStr">
        <is>
          <t>17:10</t>
        </is>
      </c>
      <c r="C1677" t="inlineStr">
        <is>
          <t>this is a movie that the uh director uh</t>
        </is>
      </c>
      <c r="D1677">
        <f>HYPERLINK("https://www.youtube.com/watch?v=zR14V6yYyhg&amp;t=1030s", "Go to time")</f>
        <v/>
      </c>
    </row>
    <row r="1678">
      <c r="A1678">
        <f>HYPERLINK("https://www.youtube.com/watch?v=zR14V6yYyhg", "Video")</f>
        <v/>
      </c>
      <c r="B1678" t="inlineStr">
        <is>
          <t>25:23</t>
        </is>
      </c>
      <c r="C1678" t="inlineStr">
        <is>
          <t>to be able to make it as a film director</t>
        </is>
      </c>
      <c r="D1678">
        <f>HYPERLINK("https://www.youtube.com/watch?v=zR14V6yYyhg&amp;t=1523s", "Go to time")</f>
        <v/>
      </c>
    </row>
    <row r="1679">
      <c r="A1679">
        <f>HYPERLINK("https://www.youtube.com/watch?v=zR14V6yYyhg", "Video")</f>
        <v/>
      </c>
      <c r="B1679" t="inlineStr">
        <is>
          <t>44:15</t>
        </is>
      </c>
      <c r="C1679" t="inlineStr">
        <is>
          <t>oh did it the great director of Beverly</t>
        </is>
      </c>
      <c r="D1679">
        <f>HYPERLINK("https://www.youtube.com/watch?v=zR14V6yYyhg&amp;t=2655s", "Go to time")</f>
        <v/>
      </c>
    </row>
    <row r="1680">
      <c r="A1680">
        <f>HYPERLINK("https://www.youtube.com/watch?v=vbmx4tcy-jc", "Video")</f>
        <v/>
      </c>
      <c r="B1680" t="inlineStr">
        <is>
          <t>14:59</t>
        </is>
      </c>
      <c r="C1680" t="inlineStr">
        <is>
          <t>director who was approaching a video</t>
        </is>
      </c>
      <c r="D1680">
        <f>HYPERLINK("https://www.youtube.com/watch?v=vbmx4tcy-jc&amp;t=899s", "Go to time")</f>
        <v/>
      </c>
    </row>
    <row r="1681">
      <c r="A1681">
        <f>HYPERLINK("https://www.youtube.com/watch?v=WX2VL3A4ZFw", "Video")</f>
        <v/>
      </c>
      <c r="B1681" t="inlineStr">
        <is>
          <t>3:43</t>
        </is>
      </c>
      <c r="C1681" t="inlineStr">
        <is>
          <t>directorial debut for series Creator</t>
        </is>
      </c>
      <c r="D1681">
        <f>HYPERLINK("https://www.youtube.com/watch?v=WX2VL3A4ZFw&amp;t=223s", "Go to time")</f>
        <v/>
      </c>
    </row>
    <row r="1682">
      <c r="A1682">
        <f>HYPERLINK("https://www.youtube.com/watch?v=WX2VL3A4ZFw", "Video")</f>
        <v/>
      </c>
      <c r="B1682" t="inlineStr">
        <is>
          <t>7:06</t>
        </is>
      </c>
      <c r="C1682" t="inlineStr">
        <is>
          <t>movie from 2011 was directed by the</t>
        </is>
      </c>
      <c r="D1682">
        <f>HYPERLINK("https://www.youtube.com/watch?v=WX2VL3A4ZFw&amp;t=426s", "Go to time")</f>
        <v/>
      </c>
    </row>
    <row r="1683">
      <c r="A1683">
        <f>HYPERLINK("https://www.youtube.com/watch?v=WX2VL3A4ZFw", "Video")</f>
        <v/>
      </c>
      <c r="B1683" t="inlineStr">
        <is>
          <t>11:47</t>
        </is>
      </c>
      <c r="C1683" t="inlineStr">
        <is>
          <t>directed by movie first timer Paul</t>
        </is>
      </c>
      <c r="D1683">
        <f>HYPERLINK("https://www.youtube.com/watch?v=WX2VL3A4ZFw&amp;t=707s", "Go to time")</f>
        <v/>
      </c>
    </row>
    <row r="1684">
      <c r="A1684">
        <f>HYPERLINK("https://www.youtube.com/watch?v=WX2VL3A4ZFw", "Video")</f>
        <v/>
      </c>
      <c r="B1684" t="inlineStr">
        <is>
          <t>13:09</t>
        </is>
      </c>
      <c r="C1684" t="inlineStr">
        <is>
          <t>film was directed by Gore verbinski who</t>
        </is>
      </c>
      <c r="D1684">
        <f>HYPERLINK("https://www.youtube.com/watch?v=WX2VL3A4ZFw&amp;t=789s", "Go to time")</f>
        <v/>
      </c>
    </row>
    <row r="1685">
      <c r="A1685">
        <f>HYPERLINK("https://www.youtube.com/watch?v=p4stxGV14_E", "Video")</f>
        <v/>
      </c>
      <c r="B1685" t="inlineStr">
        <is>
          <t>3:41</t>
        </is>
      </c>
      <c r="C1685" t="inlineStr">
        <is>
          <t>directed by 13 hours you have to put a</t>
        </is>
      </c>
      <c r="D1685">
        <f>HYPERLINK("https://www.youtube.com/watch?v=p4stxGV14_E&amp;t=221s", "Go to time")</f>
        <v/>
      </c>
    </row>
    <row r="1686">
      <c r="A1686">
        <f>HYPERLINK("https://www.youtube.com/watch?v=p4stxGV14_E", "Video")</f>
        <v/>
      </c>
      <c r="B1686" t="inlineStr">
        <is>
          <t>3:51</t>
        </is>
      </c>
      <c r="C1686" t="inlineStr">
        <is>
          <t>Paramount Lots Michael Bay direct and</t>
        </is>
      </c>
      <c r="D1686">
        <f>HYPERLINK("https://www.youtube.com/watch?v=p4stxGV14_E&amp;t=231s", "Go to time")</f>
        <v/>
      </c>
    </row>
    <row r="1687">
      <c r="A1687">
        <f>HYPERLINK("https://www.youtube.com/watch?v=p4stxGV14_E", "Video")</f>
        <v/>
      </c>
      <c r="B1687" t="inlineStr">
        <is>
          <t>11:19</t>
        </is>
      </c>
      <c r="C1687" t="inlineStr">
        <is>
          <t>think the audience score is a direct</t>
        </is>
      </c>
      <c r="D1687">
        <f>HYPERLINK("https://www.youtube.com/watch?v=p4stxGV14_E&amp;t=679s", "Go to time")</f>
        <v/>
      </c>
    </row>
    <row r="1688">
      <c r="A1688">
        <f>HYPERLINK("https://www.youtube.com/watch?v=p4stxGV14_E", "Video")</f>
        <v/>
      </c>
      <c r="B1688" t="inlineStr">
        <is>
          <t>35:57</t>
        </is>
      </c>
      <c r="C1688" t="inlineStr">
        <is>
          <t>with Micha B directed with Jake gyen</t>
        </is>
      </c>
      <c r="D1688">
        <f>HYPERLINK("https://www.youtube.com/watch?v=p4stxGV14_E&amp;t=2157s", "Go to time")</f>
        <v/>
      </c>
    </row>
    <row r="1689">
      <c r="A1689">
        <f>HYPERLINK("https://www.youtube.com/watch?v=0W081BKGbBA", "Video")</f>
        <v/>
      </c>
      <c r="B1689" t="inlineStr">
        <is>
          <t>0:21</t>
        </is>
      </c>
      <c r="C1689" t="inlineStr">
        <is>
          <t>director youall have too many hyenes on</t>
        </is>
      </c>
      <c r="D1689">
        <f>HYPERLINK("https://www.youtube.com/watch?v=0W081BKGbBA&amp;t=21s", "Go to time")</f>
        <v/>
      </c>
    </row>
    <row r="1690">
      <c r="A1690">
        <f>HYPERLINK("https://www.youtube.com/watch?v=0W081BKGbBA", "Video")</f>
        <v/>
      </c>
      <c r="B1690" t="inlineStr">
        <is>
          <t>10:48</t>
        </is>
      </c>
      <c r="C1690" t="inlineStr">
        <is>
          <t>together but you directed that episode</t>
        </is>
      </c>
      <c r="D1690">
        <f>HYPERLINK("https://www.youtube.com/watch?v=0W081BKGbBA&amp;t=648s", "Go to time")</f>
        <v/>
      </c>
    </row>
    <row r="1691">
      <c r="A1691">
        <f>HYPERLINK("https://www.youtube.com/watch?v=0W081BKGbBA", "Video")</f>
        <v/>
      </c>
      <c r="B1691" t="inlineStr">
        <is>
          <t>10:50</t>
        </is>
      </c>
      <c r="C1691" t="inlineStr">
        <is>
          <t>you directed that episode how did you</t>
        </is>
      </c>
      <c r="D1691">
        <f>HYPERLINK("https://www.youtube.com/watch?v=0W081BKGbBA&amp;t=650s", "Go to time")</f>
        <v/>
      </c>
    </row>
    <row r="1692">
      <c r="A1692">
        <f>HYPERLINK("https://www.youtube.com/watch?v=0W081BKGbBA", "Video")</f>
        <v/>
      </c>
      <c r="B1692" t="inlineStr">
        <is>
          <t>17:38</t>
        </is>
      </c>
      <c r="C1692" t="inlineStr">
        <is>
          <t>great directing and all the great shots</t>
        </is>
      </c>
      <c r="D1692">
        <f>HYPERLINK("https://www.youtube.com/watch?v=0W081BKGbBA&amp;t=1058s", "Go to time")</f>
        <v/>
      </c>
    </row>
    <row r="1693">
      <c r="A1693">
        <f>HYPERLINK("https://www.youtube.com/watch?v=0W081BKGbBA", "Video")</f>
        <v/>
      </c>
      <c r="B1693" t="inlineStr">
        <is>
          <t>17:45</t>
        </is>
      </c>
      <c r="C1693" t="inlineStr">
        <is>
          <t>um being that you're directing on the</t>
        </is>
      </c>
      <c r="D1693">
        <f>HYPERLINK("https://www.youtube.com/watch?v=0W081BKGbBA&amp;t=1065s", "Go to time")</f>
        <v/>
      </c>
    </row>
    <row r="1694">
      <c r="A1694">
        <f>HYPERLINK("https://www.youtube.com/watch?v=0W081BKGbBA", "Video")</f>
        <v/>
      </c>
      <c r="B1694" t="inlineStr">
        <is>
          <t>19:28</t>
        </is>
      </c>
      <c r="C1694" t="inlineStr">
        <is>
          <t>the most stressful part of directing for</t>
        </is>
      </c>
      <c r="D1694">
        <f>HYPERLINK("https://www.youtube.com/watch?v=0W081BKGbBA&amp;t=1168s", "Go to time")</f>
        <v/>
      </c>
    </row>
    <row r="1695">
      <c r="A1695">
        <f>HYPERLINK("https://www.youtube.com/watch?v=0W081BKGbBA", "Video")</f>
        <v/>
      </c>
      <c r="B1695" t="inlineStr">
        <is>
          <t>20:15</t>
        </is>
      </c>
      <c r="C1695" t="inlineStr">
        <is>
          <t>there are I think some directors who</t>
        </is>
      </c>
      <c r="D1695">
        <f>HYPERLINK("https://www.youtube.com/watch?v=0W081BKGbBA&amp;t=1215s", "Go to time")</f>
        <v/>
      </c>
    </row>
    <row r="1696">
      <c r="A1696">
        <f>HYPERLINK("https://www.youtube.com/watch?v=0W081BKGbBA", "Video")</f>
        <v/>
      </c>
      <c r="B1696" t="inlineStr">
        <is>
          <t>21:42</t>
        </is>
      </c>
      <c r="C1696" t="inlineStr">
        <is>
          <t>really good editor as she directs and I</t>
        </is>
      </c>
      <c r="D1696">
        <f>HYPERLINK("https://www.youtube.com/watch?v=0W081BKGbBA&amp;t=1302s", "Go to time")</f>
        <v/>
      </c>
    </row>
    <row r="1697">
      <c r="A1697">
        <f>HYPERLINK("https://www.youtube.com/watch?v=0W081BKGbBA", "Video")</f>
        <v/>
      </c>
      <c r="B1697" t="inlineStr">
        <is>
          <t>22:38</t>
        </is>
      </c>
      <c r="C1697" t="inlineStr">
        <is>
          <t>was directing if she was acting in it I</t>
        </is>
      </c>
      <c r="D1697">
        <f>HYPERLINK("https://www.youtube.com/watch?v=0W081BKGbBA&amp;t=1358s", "Go to time")</f>
        <v/>
      </c>
    </row>
    <row r="1698">
      <c r="A1698">
        <f>HYPERLINK("https://www.youtube.com/watch?v=0W081BKGbBA", "Video")</f>
        <v/>
      </c>
      <c r="B1698" t="inlineStr">
        <is>
          <t>22:39</t>
        </is>
      </c>
      <c r="C1698" t="inlineStr">
        <is>
          <t>was directing it I mean we're holding</t>
        </is>
      </c>
      <c r="D1698">
        <f>HYPERLINK("https://www.youtube.com/watch?v=0W081BKGbBA&amp;t=1359s", "Go to time")</f>
        <v/>
      </c>
    </row>
    <row r="1699">
      <c r="A1699">
        <f>HYPERLINK("https://www.youtube.com/watch?v=0W081BKGbBA", "Video")</f>
        <v/>
      </c>
      <c r="B1699" t="inlineStr">
        <is>
          <t>23:26</t>
        </is>
      </c>
      <c r="C1699" t="inlineStr">
        <is>
          <t>when you're not directing or and the</t>
        </is>
      </c>
      <c r="D1699">
        <f>HYPERLINK("https://www.youtube.com/watch?v=0W081BKGbBA&amp;t=1406s", "Go to time")</f>
        <v/>
      </c>
    </row>
    <row r="1700">
      <c r="A1700">
        <f>HYPERLINK("https://www.youtube.com/watch?v=vL21VCK_zLk", "Video")</f>
        <v/>
      </c>
      <c r="B1700" t="inlineStr">
        <is>
          <t>0:54</t>
        </is>
      </c>
      <c r="C1700" t="inlineStr">
        <is>
          <t>towards the living o'clock direction</t>
        </is>
      </c>
      <c r="D1700">
        <f>HYPERLINK("https://www.youtube.com/watch?v=vL21VCK_zLk&amp;t=54s", "Go to time")</f>
        <v/>
      </c>
    </row>
    <row r="1701">
      <c r="A1701">
        <f>HYPERLINK("https://www.youtube.com/watch?v=-Oq3qJmoAjk", "Video")</f>
        <v/>
      </c>
      <c r="B1701" t="inlineStr">
        <is>
          <t>0:41</t>
        </is>
      </c>
      <c r="C1701" t="inlineStr">
        <is>
          <t>directions we are here for money not for</t>
        </is>
      </c>
      <c r="D1701">
        <f>HYPERLINK("https://www.youtube.com/watch?v=-Oq3qJmoAjk&amp;t=41s", "Go to time")</f>
        <v/>
      </c>
    </row>
    <row r="1702">
      <c r="A1702">
        <f>HYPERLINK("https://www.youtube.com/watch?v=w1zHLJqTMro", "Video")</f>
        <v/>
      </c>
      <c r="B1702" t="inlineStr">
        <is>
          <t>1:32</t>
        </is>
      </c>
      <c r="C1702" t="inlineStr">
        <is>
          <t>reading the directions i don't have my</t>
        </is>
      </c>
      <c r="D1702">
        <f>HYPERLINK("https://www.youtube.com/watch?v=w1zHLJqTMro&amp;t=92s", "Go to time")</f>
        <v/>
      </c>
    </row>
    <row r="1703">
      <c r="A1703">
        <f>HYPERLINK("https://www.youtube.com/watch?v=rLumZuEPgyI", "Video")</f>
        <v/>
      </c>
      <c r="B1703" t="inlineStr">
        <is>
          <t>14:42</t>
        </is>
      </c>
      <c r="C1703" t="inlineStr">
        <is>
          <t>Carpenter was as a director and then I</t>
        </is>
      </c>
      <c r="D1703">
        <f>HYPERLINK("https://www.youtube.com/watch?v=rLumZuEPgyI&amp;t=882s", "Go to time")</f>
        <v/>
      </c>
    </row>
    <row r="1704">
      <c r="A1704">
        <f>HYPERLINK("https://www.youtube.com/watch?v=rLumZuEPgyI", "Video")</f>
        <v/>
      </c>
      <c r="B1704" t="inlineStr">
        <is>
          <t>14:45</t>
        </is>
      </c>
      <c r="C1704" t="inlineStr">
        <is>
          <t>John Carpenter was as a director at all</t>
        </is>
      </c>
      <c r="D1704">
        <f>HYPERLINK("https://www.youtube.com/watch?v=rLumZuEPgyI&amp;t=885s", "Go to time")</f>
        <v/>
      </c>
    </row>
    <row r="1705">
      <c r="A1705">
        <f>HYPERLINK("https://www.youtube.com/watch?v=xN82Rhlk1EQ", "Video")</f>
        <v/>
      </c>
      <c r="B1705" t="inlineStr">
        <is>
          <t>0:47</t>
        </is>
      </c>
      <c r="C1705" t="inlineStr">
        <is>
          <t>came this movie directed by Matt Reeves</t>
        </is>
      </c>
      <c r="D1705">
        <f>HYPERLINK("https://www.youtube.com/watch?v=xN82Rhlk1EQ&amp;t=47s", "Go to time")</f>
        <v/>
      </c>
    </row>
    <row r="1706">
      <c r="A1706">
        <f>HYPERLINK("https://www.youtube.com/watch?v=xN82Rhlk1EQ", "Video")</f>
        <v/>
      </c>
      <c r="B1706" t="inlineStr">
        <is>
          <t>4:45</t>
        </is>
      </c>
      <c r="C1706" t="inlineStr">
        <is>
          <t>directorial debut for James mctee who</t>
        </is>
      </c>
      <c r="D1706">
        <f>HYPERLINK("https://www.youtube.com/watch?v=xN82Rhlk1EQ&amp;t=285s", "Go to time")</f>
        <v/>
      </c>
    </row>
    <row r="1707">
      <c r="A1707">
        <f>HYPERLINK("https://www.youtube.com/watch?v=xN82Rhlk1EQ", "Video")</f>
        <v/>
      </c>
      <c r="B1707" t="inlineStr">
        <is>
          <t>6:13</t>
        </is>
      </c>
      <c r="C1707" t="inlineStr">
        <is>
          <t>this is the director's cut of the 2017</t>
        </is>
      </c>
      <c r="D1707">
        <f>HYPERLINK("https://www.youtube.com/watch?v=xN82Rhlk1EQ&amp;t=373s", "Go to time")</f>
        <v/>
      </c>
    </row>
    <row r="1708">
      <c r="A1708">
        <f>HYPERLINK("https://www.youtube.com/watch?v=xN82Rhlk1EQ", "Video")</f>
        <v/>
      </c>
      <c r="B1708" t="inlineStr">
        <is>
          <t>6:16</t>
        </is>
      </c>
      <c r="C1708" t="inlineStr">
        <is>
          <t>film Justice League as director Zack</t>
        </is>
      </c>
      <c r="D1708">
        <f>HYPERLINK("https://www.youtube.com/watch?v=xN82Rhlk1EQ&amp;t=376s", "Go to time")</f>
        <v/>
      </c>
    </row>
    <row r="1709">
      <c r="A1709">
        <f>HYPERLINK("https://www.youtube.com/watch?v=O21J92JXh34", "Video")</f>
        <v/>
      </c>
      <c r="B1709" t="inlineStr">
        <is>
          <t>1:32</t>
        </is>
      </c>
      <c r="C1709" t="inlineStr">
        <is>
          <t>really hard and with legendary directors</t>
        </is>
      </c>
      <c r="D1709">
        <f>HYPERLINK("https://www.youtube.com/watch?v=O21J92JXh34&amp;t=92s", "Go to time")</f>
        <v/>
      </c>
    </row>
    <row r="1710">
      <c r="A1710">
        <f>HYPERLINK("https://www.youtube.com/watch?v=O21J92JXh34", "Video")</f>
        <v/>
      </c>
      <c r="B1710" t="inlineStr">
        <is>
          <t>2:16</t>
        </is>
      </c>
      <c r="C1710" t="inlineStr">
        <is>
          <t>brothers batman series directed by tim</t>
        </is>
      </c>
      <c r="D1710">
        <f>HYPERLINK("https://www.youtube.com/watch?v=O21J92JXh34&amp;t=136s", "Go to time")</f>
        <v/>
      </c>
    </row>
    <row r="1711">
      <c r="A1711">
        <f>HYPERLINK("https://www.youtube.com/watch?v=O21J92JXh34", "Video")</f>
        <v/>
      </c>
      <c r="B1711" t="inlineStr">
        <is>
          <t>2:24</t>
        </is>
      </c>
      <c r="C1711" t="inlineStr">
        <is>
          <t>tim burton the director completely</t>
        </is>
      </c>
      <c r="D1711">
        <f>HYPERLINK("https://www.youtube.com/watch?v=O21J92JXh34&amp;t=144s", "Go to time")</f>
        <v/>
      </c>
    </row>
    <row r="1712">
      <c r="A1712">
        <f>HYPERLINK("https://www.youtube.com/watch?v=O21J92JXh34", "Video")</f>
        <v/>
      </c>
      <c r="B1712" t="inlineStr">
        <is>
          <t>7:36</t>
        </is>
      </c>
      <c r="C1712" t="inlineStr">
        <is>
          <t>director zack snyder used this scene to</t>
        </is>
      </c>
      <c r="D1712">
        <f>HYPERLINK("https://www.youtube.com/watch?v=O21J92JXh34&amp;t=456s", "Go to time")</f>
        <v/>
      </c>
    </row>
    <row r="1713">
      <c r="A1713">
        <f>HYPERLINK("https://www.youtube.com/watch?v=O21J92JXh34", "Video")</f>
        <v/>
      </c>
      <c r="B1713" t="inlineStr">
        <is>
          <t>11:54</t>
        </is>
      </c>
      <c r="C1713" t="inlineStr">
        <is>
          <t>high fiber batman returns was the direct</t>
        </is>
      </c>
      <c r="D1713">
        <f>HYPERLINK("https://www.youtube.com/watch?v=O21J92JXh34&amp;t=714s", "Go to time")</f>
        <v/>
      </c>
    </row>
    <row r="1714">
      <c r="A1714">
        <f>HYPERLINK("https://www.youtube.com/watch?v=O21J92JXh34", "Video")</f>
        <v/>
      </c>
      <c r="B1714" t="inlineStr">
        <is>
          <t>12:00</t>
        </is>
      </c>
      <c r="C1714" t="inlineStr">
        <is>
          <t>returning once again to direct and</t>
        </is>
      </c>
      <c r="D1714">
        <f>HYPERLINK("https://www.youtube.com/watch?v=O21J92JXh34&amp;t=720s", "Go to time")</f>
        <v/>
      </c>
    </row>
    <row r="1715">
      <c r="A1715">
        <f>HYPERLINK("https://www.youtube.com/watch?v=O21J92JXh34", "Video")</f>
        <v/>
      </c>
      <c r="B1715" t="inlineStr">
        <is>
          <t>16:01</t>
        </is>
      </c>
      <c r="C1715" t="inlineStr">
        <is>
          <t>because this scene was directly based on</t>
        </is>
      </c>
      <c r="D1715">
        <f>HYPERLINK("https://www.youtube.com/watch?v=O21J92JXh34&amp;t=961s", "Go to time")</f>
        <v/>
      </c>
    </row>
    <row r="1716">
      <c r="A1716">
        <f>HYPERLINK("https://www.youtube.com/watch?v=hgwsszuS0CI", "Video")</f>
        <v/>
      </c>
      <c r="B1716" t="inlineStr">
        <is>
          <t>2:18</t>
        </is>
      </c>
      <c r="C1716" t="inlineStr">
        <is>
          <t>and it was like god was talking directly</t>
        </is>
      </c>
      <c r="D1716">
        <f>HYPERLINK("https://www.youtube.com/watch?v=hgwsszuS0CI&amp;t=138s", "Go to time")</f>
        <v/>
      </c>
    </row>
    <row r="1717">
      <c r="A1717">
        <f>HYPERLINK("https://www.youtube.com/watch?v=9pLmGHbB82s", "Video")</f>
        <v/>
      </c>
      <c r="B1717" t="inlineStr">
        <is>
          <t>1:31</t>
        </is>
      </c>
      <c r="C1717" t="inlineStr">
        <is>
          <t>and applied directly to a nerve</t>
        </is>
      </c>
      <c r="D1717">
        <f>HYPERLINK("https://www.youtube.com/watch?v=9pLmGHbB82s&amp;t=91s", "Go to time")</f>
        <v/>
      </c>
    </row>
    <row r="1718">
      <c r="A1718">
        <f>HYPERLINK("https://www.youtube.com/watch?v=M1izQTJvVec", "Video")</f>
        <v/>
      </c>
      <c r="B1718" t="inlineStr">
        <is>
          <t>18:54</t>
        </is>
      </c>
      <c r="C1718" t="inlineStr">
        <is>
          <t>direct to New York my mouth is so dry</t>
        </is>
      </c>
      <c r="D1718">
        <f>HYPERLINK("https://www.youtube.com/watch?v=M1izQTJvVec&amp;t=1134s", "Go to time")</f>
        <v/>
      </c>
    </row>
    <row r="1719">
      <c r="A1719">
        <f>HYPERLINK("https://www.youtube.com/watch?v=uGVwoPCMnRw", "Video")</f>
        <v/>
      </c>
      <c r="B1719" t="inlineStr">
        <is>
          <t>1:01</t>
        </is>
      </c>
      <c r="C1719" t="inlineStr">
        <is>
          <t>I just have a direct line to Sam's</t>
        </is>
      </c>
      <c r="D1719">
        <f>HYPERLINK("https://www.youtube.com/watch?v=uGVwoPCMnRw&amp;t=61s", "Go to time")</f>
        <v/>
      </c>
    </row>
    <row r="1720">
      <c r="A1720">
        <f>HYPERLINK("https://www.youtube.com/watch?v=pVGxWo0TpDQ", "Video")</f>
        <v/>
      </c>
      <c r="B1720" t="inlineStr">
        <is>
          <t>0:55</t>
        </is>
      </c>
      <c r="C1720" t="inlineStr">
        <is>
          <t>off directions for where you're going</t>
        </is>
      </c>
      <c r="D1720">
        <f>HYPERLINK("https://www.youtube.com/watch?v=pVGxWo0TpDQ&amp;t=55s", "Go to time")</f>
        <v/>
      </c>
    </row>
    <row r="1721">
      <c r="A1721">
        <f>HYPERLINK("https://www.youtube.com/watch?v=Py98AixuBbc", "Video")</f>
        <v/>
      </c>
      <c r="B1721" t="inlineStr">
        <is>
          <t>1:31</t>
        </is>
      </c>
      <c r="C1721" t="inlineStr">
        <is>
          <t>produced and directed by Alfred</t>
        </is>
      </c>
      <c r="D1721">
        <f>HYPERLINK("https://www.youtube.com/watch?v=Py98AixuBbc&amp;t=91s", "Go to time")</f>
        <v/>
      </c>
    </row>
    <row r="1722">
      <c r="A1722">
        <f>HYPERLINK("https://www.youtube.com/watch?v=Py98AixuBbc", "Video")</f>
        <v/>
      </c>
      <c r="B1722" t="inlineStr">
        <is>
          <t>3:55</t>
        </is>
      </c>
      <c r="C1722" t="inlineStr">
        <is>
          <t>Arachnophobia now this was a directorial</t>
        </is>
      </c>
      <c r="D1722">
        <f>HYPERLINK("https://www.youtube.com/watch?v=Py98AixuBbc&amp;t=235s", "Go to time")</f>
        <v/>
      </c>
    </row>
    <row r="1723">
      <c r="A1723">
        <f>HYPERLINK("https://www.youtube.com/watch?v=Py98AixuBbc", "Video")</f>
        <v/>
      </c>
      <c r="B1723" t="inlineStr">
        <is>
          <t>6:15</t>
        </is>
      </c>
      <c r="C1723" t="inlineStr">
        <is>
          <t>was directed by Steven Spielberg and</t>
        </is>
      </c>
      <c r="D1723">
        <f>HYPERLINK("https://www.youtube.com/watch?v=Py98AixuBbc&amp;t=375s", "Go to time")</f>
        <v/>
      </c>
    </row>
    <row r="1724">
      <c r="A1724">
        <f>HYPERLINK("https://www.youtube.com/watch?v=Py98AixuBbc", "Video")</f>
        <v/>
      </c>
      <c r="B1724" t="inlineStr">
        <is>
          <t>8:24</t>
        </is>
      </c>
      <c r="C1724" t="inlineStr">
        <is>
          <t>1997's Anaconda the film is directed by</t>
        </is>
      </c>
      <c r="D1724">
        <f>HYPERLINK("https://www.youtube.com/watch?v=Py98AixuBbc&amp;t=504s", "Go to time")</f>
        <v/>
      </c>
    </row>
    <row r="1725">
      <c r="A1725">
        <f>HYPERLINK("https://www.youtube.com/watch?v=Py98AixuBbc", "Video")</f>
        <v/>
      </c>
      <c r="B1725" t="inlineStr">
        <is>
          <t>10:35</t>
        </is>
      </c>
      <c r="C1725" t="inlineStr">
        <is>
          <t>now this film is directed by Renny</t>
        </is>
      </c>
      <c r="D1725">
        <f>HYPERLINK("https://www.youtube.com/watch?v=Py98AixuBbc&amp;t=635s", "Go to time")</f>
        <v/>
      </c>
    </row>
    <row r="1726">
      <c r="A1726">
        <f>HYPERLINK("https://www.youtube.com/watch?v=Py98AixuBbc", "Video")</f>
        <v/>
      </c>
      <c r="B1726" t="inlineStr">
        <is>
          <t>11:46</t>
        </is>
      </c>
      <c r="C1726" t="inlineStr">
        <is>
          <t>director Harlan looked to jaws and saw</t>
        </is>
      </c>
      <c r="D1726">
        <f>HYPERLINK("https://www.youtube.com/watch?v=Py98AixuBbc&amp;t=706s", "Go to time")</f>
        <v/>
      </c>
    </row>
    <row r="1727">
      <c r="A1727">
        <f>HYPERLINK("https://www.youtube.com/watch?v=Py98AixuBbc", "Video")</f>
        <v/>
      </c>
      <c r="B1727" t="inlineStr">
        <is>
          <t>12:14</t>
        </is>
      </c>
      <c r="C1727" t="inlineStr">
        <is>
          <t>is rotten on the Tomato Meter to direct</t>
        </is>
      </c>
      <c r="D1727">
        <f>HYPERLINK("https://www.youtube.com/watch?v=Py98AixuBbc&amp;t=734s", "Go to time")</f>
        <v/>
      </c>
    </row>
    <row r="1728">
      <c r="A1728">
        <f>HYPERLINK("https://www.youtube.com/watch?v=Py98AixuBbc", "Video")</f>
        <v/>
      </c>
      <c r="B1728" t="inlineStr">
        <is>
          <t>13:03</t>
        </is>
      </c>
      <c r="C1728" t="inlineStr">
        <is>
          <t>was directed by Steve minor from the</t>
        </is>
      </c>
      <c r="D1728">
        <f>HYPERLINK("https://www.youtube.com/watch?v=Py98AixuBbc&amp;t=783s", "Go to time")</f>
        <v/>
      </c>
    </row>
    <row r="1729">
      <c r="A1729">
        <f>HYPERLINK("https://www.youtube.com/watch?v=Py98AixuBbc", "Video")</f>
        <v/>
      </c>
      <c r="B1729" t="inlineStr">
        <is>
          <t>15:01</t>
        </is>
      </c>
      <c r="C1729" t="inlineStr">
        <is>
          <t>now this film was directed by jean-may</t>
        </is>
      </c>
      <c r="D1729">
        <f>HYPERLINK("https://www.youtube.com/watch?v=Py98AixuBbc&amp;t=901s", "Go to time")</f>
        <v/>
      </c>
    </row>
    <row r="1730">
      <c r="A1730">
        <f>HYPERLINK("https://www.youtube.com/watch?v=Py98AixuBbc", "Video")</f>
        <v/>
      </c>
      <c r="B1730" t="inlineStr">
        <is>
          <t>17:11</t>
        </is>
      </c>
      <c r="C1730" t="inlineStr">
        <is>
          <t>co-written produced and directed by Joe</t>
        </is>
      </c>
      <c r="D1730">
        <f>HYPERLINK("https://www.youtube.com/watch?v=Py98AixuBbc&amp;t=1031s", "Go to time")</f>
        <v/>
      </c>
    </row>
    <row r="1731">
      <c r="A1731">
        <f>HYPERLINK("https://www.youtube.com/watch?v=Py98AixuBbc", "Video")</f>
        <v/>
      </c>
      <c r="B1731" t="inlineStr">
        <is>
          <t>17:34</t>
        </is>
      </c>
      <c r="C1731" t="inlineStr">
        <is>
          <t>wolves director Carnahan studied hours</t>
        </is>
      </c>
      <c r="D1731">
        <f>HYPERLINK("https://www.youtube.com/watch?v=Py98AixuBbc&amp;t=1054s", "Go to time")</f>
        <v/>
      </c>
    </row>
    <row r="1732">
      <c r="A1732">
        <f>HYPERLINK("https://www.youtube.com/watch?v=Py98AixuBbc", "Video")</f>
        <v/>
      </c>
      <c r="B1732" t="inlineStr">
        <is>
          <t>17:44</t>
        </is>
      </c>
      <c r="C1732" t="inlineStr">
        <is>
          <t>experts the director leaned on more</t>
        </is>
      </c>
      <c r="D1732">
        <f>HYPERLINK("https://www.youtube.com/watch?v=Py98AixuBbc&amp;t=1064s", "Go to time")</f>
        <v/>
      </c>
    </row>
    <row r="1733">
      <c r="A1733">
        <f>HYPERLINK("https://www.youtube.com/watch?v=Py98AixuBbc", "Video")</f>
        <v/>
      </c>
      <c r="B1733" t="inlineStr">
        <is>
          <t>19:25</t>
        </is>
      </c>
      <c r="C1733" t="inlineStr">
        <is>
          <t>novel of the same name and directed by</t>
        </is>
      </c>
      <c r="D1733">
        <f>HYPERLINK("https://www.youtube.com/watch?v=Py98AixuBbc&amp;t=1165s", "Go to time")</f>
        <v/>
      </c>
    </row>
    <row r="1734">
      <c r="A1734">
        <f>HYPERLINK("https://www.youtube.com/watch?v=Py98AixuBbc", "Video")</f>
        <v/>
      </c>
      <c r="B1734" t="inlineStr">
        <is>
          <t>21:47</t>
        </is>
      </c>
      <c r="C1734" t="inlineStr">
        <is>
          <t>Raimi and directed by Alexandra Aja from</t>
        </is>
      </c>
      <c r="D1734">
        <f>HYPERLINK("https://www.youtube.com/watch?v=Py98AixuBbc&amp;t=1307s", "Go to time")</f>
        <v/>
      </c>
    </row>
    <row r="1735">
      <c r="A1735">
        <f>HYPERLINK("https://www.youtube.com/watch?v=Py98AixuBbc", "Video")</f>
        <v/>
      </c>
      <c r="B1735" t="inlineStr">
        <is>
          <t>22:15</t>
        </is>
      </c>
      <c r="C1735" t="inlineStr">
        <is>
          <t>being the preferred method director Aja</t>
        </is>
      </c>
      <c r="D1735">
        <f>HYPERLINK("https://www.youtube.com/watch?v=Py98AixuBbc&amp;t=1335s", "Go to time")</f>
        <v/>
      </c>
    </row>
    <row r="1736">
      <c r="A1736">
        <f>HYPERLINK("https://www.youtube.com/watch?v=Py98AixuBbc", "Video")</f>
        <v/>
      </c>
      <c r="B1736" t="inlineStr">
        <is>
          <t>22:57</t>
        </is>
      </c>
      <c r="C1736" t="inlineStr">
        <is>
          <t>director holding a pole with a pillow</t>
        </is>
      </c>
      <c r="D1736">
        <f>HYPERLINK("https://www.youtube.com/watch?v=Py98AixuBbc&amp;t=1377s", "Go to time")</f>
        <v/>
      </c>
    </row>
    <row r="1737">
      <c r="A1737">
        <f>HYPERLINK("https://www.youtube.com/watch?v=WImbC8hGs6M", "Video")</f>
        <v/>
      </c>
      <c r="B1737" t="inlineStr">
        <is>
          <t>18:55</t>
        </is>
      </c>
      <c r="C1737" t="inlineStr">
        <is>
          <t>it's written it directed by Mike Judge</t>
        </is>
      </c>
      <c r="D1737">
        <f>HYPERLINK("https://www.youtube.com/watch?v=WImbC8hGs6M&amp;t=1135s", "Go to time")</f>
        <v/>
      </c>
    </row>
    <row r="1738">
      <c r="A1738">
        <f>HYPERLINK("https://www.youtube.com/watch?v=WImbC8hGs6M", "Video")</f>
        <v/>
      </c>
      <c r="B1738" t="inlineStr">
        <is>
          <t>23:22</t>
        </is>
      </c>
      <c r="C1738" t="inlineStr">
        <is>
          <t>build up of that movie writer director</t>
        </is>
      </c>
      <c r="D1738">
        <f>HYPERLINK("https://www.youtube.com/watch?v=WImbC8hGs6M&amp;t=1402s", "Go to time")</f>
        <v/>
      </c>
    </row>
    <row r="1739">
      <c r="A1739">
        <f>HYPERLINK("https://www.youtube.com/watch?v=WImbC8hGs6M", "Video")</f>
        <v/>
      </c>
      <c r="B1739" t="inlineStr">
        <is>
          <t>23:33</t>
        </is>
      </c>
      <c r="C1739" t="inlineStr">
        <is>
          <t>hands of any other writer director that</t>
        </is>
      </c>
      <c r="D1739">
        <f>HYPERLINK("https://www.youtube.com/watch?v=WImbC8hGs6M&amp;t=1413s", "Go to time")</f>
        <v/>
      </c>
    </row>
    <row r="1740">
      <c r="A1740">
        <f>HYPERLINK("https://www.youtube.com/watch?v=WImbC8hGs6M", "Video")</f>
        <v/>
      </c>
      <c r="B1740" t="inlineStr">
        <is>
          <t>24:10</t>
        </is>
      </c>
      <c r="C1740" t="inlineStr">
        <is>
          <t>Ridley Scott directed the hell out of</t>
        </is>
      </c>
      <c r="D1740">
        <f>HYPERLINK("https://www.youtube.com/watch?v=WImbC8hGs6M&amp;t=1450s", "Go to time")</f>
        <v/>
      </c>
    </row>
    <row r="1741">
      <c r="A1741">
        <f>HYPERLINK("https://www.youtube.com/watch?v=WImbC8hGs6M", "Video")</f>
        <v/>
      </c>
      <c r="B1741" t="inlineStr">
        <is>
          <t>31:07</t>
        </is>
      </c>
      <c r="C1741" t="inlineStr">
        <is>
          <t>director it all it already won a couple</t>
        </is>
      </c>
      <c r="D1741">
        <f>HYPERLINK("https://www.youtube.com/watch?v=WImbC8hGs6M&amp;t=1867s", "Go to time")</f>
        <v/>
      </c>
    </row>
    <row r="1742">
      <c r="A1742">
        <f>HYPERLINK("https://www.youtube.com/watch?v=D4UKzfq-v_g", "Video")</f>
        <v/>
      </c>
      <c r="B1742" t="inlineStr">
        <is>
          <t>1:37</t>
        </is>
      </c>
      <c r="C1742" t="inlineStr">
        <is>
          <t>can draw a direct line from Myra</t>
        </is>
      </c>
      <c r="D1742">
        <f>HYPERLINK("https://www.youtube.com/watch?v=D4UKzfq-v_g&amp;t=97s", "Go to time")</f>
        <v/>
      </c>
    </row>
    <row r="1743">
      <c r="A1743">
        <f>HYPERLINK("https://www.youtube.com/watch?v=YH0zXQSXNpg", "Video")</f>
        <v/>
      </c>
      <c r="B1743" t="inlineStr">
        <is>
          <t>2:46</t>
        </is>
      </c>
      <c r="C1743" t="inlineStr">
        <is>
          <t>i okay Miss Jaguar East Alp is directed</t>
        </is>
      </c>
      <c r="D1743">
        <f>HYPERLINK("https://www.youtube.com/watch?v=YH0zXQSXNpg&amp;t=166s", "Go to time")</f>
        <v/>
      </c>
    </row>
    <row r="1744">
      <c r="A1744">
        <f>HYPERLINK("https://www.youtube.com/watch?v=_eShLvhCV5w", "Video")</f>
        <v/>
      </c>
      <c r="B1744" t="inlineStr">
        <is>
          <t>4:14</t>
        </is>
      </c>
      <c r="C1744" t="inlineStr">
        <is>
          <t>say was a bit of direction or the way he</t>
        </is>
      </c>
      <c r="D1744">
        <f>HYPERLINK("https://www.youtube.com/watch?v=_eShLvhCV5w&amp;t=254s", "Go to time")</f>
        <v/>
      </c>
    </row>
    <row r="1745">
      <c r="A1745">
        <f>HYPERLINK("https://www.youtube.com/watch?v=_eShLvhCV5w", "Video")</f>
        <v/>
      </c>
      <c r="B1745" t="inlineStr">
        <is>
          <t>4:17</t>
        </is>
      </c>
      <c r="C1745" t="inlineStr">
        <is>
          <t>approached being being a director that</t>
        </is>
      </c>
      <c r="D1745">
        <f>HYPERLINK("https://www.youtube.com/watch?v=_eShLvhCV5w&amp;t=257s", "Go to time")</f>
        <v/>
      </c>
    </row>
    <row r="1746">
      <c r="A1746">
        <f>HYPERLINK("https://www.youtube.com/watch?v=_eShLvhCV5w", "Video")</f>
        <v/>
      </c>
      <c r="B1746" t="inlineStr">
        <is>
          <t>4:20</t>
        </is>
      </c>
      <c r="C1746" t="inlineStr">
        <is>
          <t>these other directors like what's unique</t>
        </is>
      </c>
      <c r="D1746">
        <f>HYPERLINK("https://www.youtube.com/watch?v=_eShLvhCV5w&amp;t=260s", "Go to time")</f>
        <v/>
      </c>
    </row>
    <row r="1747">
      <c r="A1747">
        <f>HYPERLINK("https://www.youtube.com/watch?v=_eShLvhCV5w", "Video")</f>
        <v/>
      </c>
      <c r="B1747" t="inlineStr">
        <is>
          <t>5:20</t>
        </is>
      </c>
      <c r="C1747" t="inlineStr">
        <is>
          <t>someone who as well would love to direct</t>
        </is>
      </c>
      <c r="D1747">
        <f>HYPERLINK("https://www.youtube.com/watch?v=_eShLvhCV5w&amp;t=320s", "Go to time")</f>
        <v/>
      </c>
    </row>
    <row r="1748">
      <c r="A1748">
        <f>HYPERLINK("https://www.youtube.com/watch?v=_eShLvhCV5w", "Video")</f>
        <v/>
      </c>
      <c r="B1748" t="inlineStr">
        <is>
          <t>5:29</t>
        </is>
      </c>
      <c r="C1748" t="inlineStr">
        <is>
          <t>this point where the director is so open</t>
        </is>
      </c>
      <c r="D1748">
        <f>HYPERLINK("https://www.youtube.com/watch?v=_eShLvhCV5w&amp;t=329s", "Go to time")</f>
        <v/>
      </c>
    </row>
    <row r="1749">
      <c r="A1749">
        <f>HYPERLINK("https://www.youtube.com/watch?v=_eShLvhCV5w", "Video")</f>
        <v/>
      </c>
      <c r="B1749" t="inlineStr">
        <is>
          <t>6:02</t>
        </is>
      </c>
      <c r="C1749" t="inlineStr">
        <is>
          <t>direct which I'm like girl you're</t>
        </is>
      </c>
      <c r="D1749">
        <f>HYPERLINK("https://www.youtube.com/watch?v=_eShLvhCV5w&amp;t=362s", "Go to time")</f>
        <v/>
      </c>
    </row>
    <row r="1750">
      <c r="A1750">
        <f>HYPERLINK("https://www.youtube.com/watch?v=_eShLvhCV5w", "Video")</f>
        <v/>
      </c>
      <c r="B1750" t="inlineStr">
        <is>
          <t>6:37</t>
        </is>
      </c>
      <c r="C1750" t="inlineStr">
        <is>
          <t>I was directing the funny thing about it</t>
        </is>
      </c>
      <c r="D1750">
        <f>HYPERLINK("https://www.youtube.com/watch?v=_eShLvhCV5w&amp;t=397s", "Go to time")</f>
        <v/>
      </c>
    </row>
    <row r="1751">
      <c r="A1751">
        <f>HYPERLINK("https://www.youtube.com/watch?v=_eShLvhCV5w", "Video")</f>
        <v/>
      </c>
      <c r="B1751" t="inlineStr">
        <is>
          <t>6:48</t>
        </is>
      </c>
      <c r="C1751" t="inlineStr">
        <is>
          <t>director first before I was an actor</t>
        </is>
      </c>
      <c r="D1751">
        <f>HYPERLINK("https://www.youtube.com/watch?v=_eShLvhCV5w&amp;t=408s", "Go to time")</f>
        <v/>
      </c>
    </row>
    <row r="1752">
      <c r="A1752">
        <f>HYPERLINK("https://www.youtube.com/watch?v=_eShLvhCV5w", "Video")</f>
        <v/>
      </c>
      <c r="B1752" t="inlineStr">
        <is>
          <t>7:34</t>
        </is>
      </c>
      <c r="C1752" t="inlineStr">
        <is>
          <t>the crew and the director were my family</t>
        </is>
      </c>
      <c r="D1752">
        <f>HYPERLINK("https://www.youtube.com/watch?v=_eShLvhCV5w&amp;t=454s", "Go to time")</f>
        <v/>
      </c>
    </row>
    <row r="1753">
      <c r="A1753">
        <f>HYPERLINK("https://www.youtube.com/watch?v=a-H2YVuf7ZU", "Video")</f>
        <v/>
      </c>
      <c r="B1753" t="inlineStr">
        <is>
          <t>4:48</t>
        </is>
      </c>
      <c r="C1753" t="inlineStr">
        <is>
          <t>the 1982 film Blade Runner directed by</t>
        </is>
      </c>
      <c r="D1753">
        <f>HYPERLINK("https://www.youtube.com/watch?v=a-H2YVuf7ZU&amp;t=288s", "Go to time")</f>
        <v/>
      </c>
    </row>
    <row r="1754">
      <c r="A1754">
        <f>HYPERLINK("https://www.youtube.com/watch?v=a-H2YVuf7ZU", "Video")</f>
        <v/>
      </c>
      <c r="B1754" t="inlineStr">
        <is>
          <t>6:28</t>
        </is>
      </c>
      <c r="C1754" t="inlineStr">
        <is>
          <t>violates the prime directive shut up</t>
        </is>
      </c>
      <c r="D1754">
        <f>HYPERLINK("https://www.youtube.com/watch?v=a-H2YVuf7ZU&amp;t=388s", "Go to time")</f>
        <v/>
      </c>
    </row>
    <row r="1755">
      <c r="A1755">
        <f>HYPERLINK("https://www.youtube.com/watch?v=a-H2YVuf7ZU", "Video")</f>
        <v/>
      </c>
      <c r="B1755" t="inlineStr">
        <is>
          <t>6:53</t>
        </is>
      </c>
      <c r="C1755" t="inlineStr">
        <is>
          <t>Star Trek Into Darkness directed by JJ</t>
        </is>
      </c>
      <c r="D1755">
        <f>HYPERLINK("https://www.youtube.com/watch?v=a-H2YVuf7ZU&amp;t=413s", "Go to time")</f>
        <v/>
      </c>
    </row>
    <row r="1756">
      <c r="A1756">
        <f>HYPERLINK("https://www.youtube.com/watch?v=a-H2YVuf7ZU", "Video")</f>
        <v/>
      </c>
      <c r="B1756" t="inlineStr">
        <is>
          <t>9:29</t>
        </is>
      </c>
      <c r="C1756" t="inlineStr">
        <is>
          <t>directed by Alejandro Gonzalez inoritu</t>
        </is>
      </c>
      <c r="D1756">
        <f>HYPERLINK("https://www.youtube.com/watch?v=a-H2YVuf7ZU&amp;t=569s", "Go to time")</f>
        <v/>
      </c>
    </row>
    <row r="1757">
      <c r="A1757">
        <f>HYPERLINK("https://www.youtube.com/watch?v=a-H2YVuf7ZU", "Video")</f>
        <v/>
      </c>
      <c r="B1757" t="inlineStr">
        <is>
          <t>10:01</t>
        </is>
      </c>
      <c r="C1757" t="inlineStr">
        <is>
          <t>signature move this allowed the director</t>
        </is>
      </c>
      <c r="D1757">
        <f>HYPERLINK("https://www.youtube.com/watch?v=a-H2YVuf7ZU&amp;t=601s", "Go to time")</f>
        <v/>
      </c>
    </row>
    <row r="1758">
      <c r="A1758">
        <f>HYPERLINK("https://www.youtube.com/watch?v=a-H2YVuf7ZU", "Video")</f>
        <v/>
      </c>
      <c r="B1758" t="inlineStr">
        <is>
          <t>11:52</t>
        </is>
      </c>
      <c r="C1758" t="inlineStr">
        <is>
          <t>you are welcome many of the directors</t>
        </is>
      </c>
      <c r="D1758">
        <f>HYPERLINK("https://www.youtube.com/watch?v=a-H2YVuf7ZU&amp;t=712s", "Go to time")</f>
        <v/>
      </c>
    </row>
    <row r="1759">
      <c r="A1759">
        <f>HYPERLINK("https://www.youtube.com/watch?v=a-H2YVuf7ZU", "Video")</f>
        <v/>
      </c>
      <c r="B1759" t="inlineStr">
        <is>
          <t>13:24</t>
        </is>
      </c>
      <c r="C1759" t="inlineStr">
        <is>
          <t>Restorations including a director's cut</t>
        </is>
      </c>
      <c r="D1759">
        <f>HYPERLINK("https://www.youtube.com/watch?v=a-H2YVuf7ZU&amp;t=804s", "Go to time")</f>
        <v/>
      </c>
    </row>
    <row r="1760">
      <c r="A1760">
        <f>HYPERLINK("https://www.youtube.com/watch?v=a-H2YVuf7ZU", "Video")</f>
        <v/>
      </c>
      <c r="B1760" t="inlineStr">
        <is>
          <t>14:11</t>
        </is>
      </c>
      <c r="C1760" t="inlineStr">
        <is>
          <t>Odyssey directed by Stanley Kubrick with</t>
        </is>
      </c>
      <c r="D1760">
        <f>HYPERLINK("https://www.youtube.com/watch?v=a-H2YVuf7ZU&amp;t=851s", "Go to time")</f>
        <v/>
      </c>
    </row>
    <row r="1761">
      <c r="A1761">
        <f>HYPERLINK("https://www.youtube.com/watch?v=a-H2YVuf7ZU", "Video")</f>
        <v/>
      </c>
      <c r="B1761" t="inlineStr">
        <is>
          <t>16:57</t>
        </is>
      </c>
      <c r="C1761" t="inlineStr">
        <is>
          <t>with the directors to establish the</t>
        </is>
      </c>
      <c r="D1761">
        <f>HYPERLINK("https://www.youtube.com/watch?v=a-H2YVuf7ZU&amp;t=1017s", "Go to time")</f>
        <v/>
      </c>
    </row>
    <row r="1762">
      <c r="A1762">
        <f>HYPERLINK("https://www.youtube.com/watch?v=a-H2YVuf7ZU", "Video")</f>
        <v/>
      </c>
      <c r="B1762" t="inlineStr">
        <is>
          <t>17:34</t>
        </is>
      </c>
      <c r="C1762" t="inlineStr">
        <is>
          <t>the directors wanted each frame to look</t>
        </is>
      </c>
      <c r="D1762">
        <f>HYPERLINK("https://www.youtube.com/watch?v=a-H2YVuf7ZU&amp;t=1054s", "Go to time")</f>
        <v/>
      </c>
    </row>
    <row r="1763">
      <c r="A1763">
        <f>HYPERLINK("https://www.youtube.com/watch?v=a-H2YVuf7ZU", "Video")</f>
        <v/>
      </c>
      <c r="B1763" t="inlineStr">
        <is>
          <t>18:30</t>
        </is>
      </c>
      <c r="C1763" t="inlineStr">
        <is>
          <t>director George Miller and</t>
        </is>
      </c>
      <c r="D1763">
        <f>HYPERLINK("https://www.youtube.com/watch?v=a-H2YVuf7ZU&amp;t=1110s", "Go to time")</f>
        <v/>
      </c>
    </row>
    <row r="1764">
      <c r="A1764">
        <f>HYPERLINK("https://www.youtube.com/watch?v=a-H2YVuf7ZU", "Video")</f>
        <v/>
      </c>
      <c r="B1764" t="inlineStr">
        <is>
          <t>20:39</t>
        </is>
      </c>
      <c r="C1764" t="inlineStr">
        <is>
          <t>directed by Ryan Johnson with</t>
        </is>
      </c>
      <c r="D1764">
        <f>HYPERLINK("https://www.youtube.com/watch?v=a-H2YVuf7ZU&amp;t=1239s", "Go to time")</f>
        <v/>
      </c>
    </row>
    <row r="1765">
      <c r="A1765">
        <f>HYPERLINK("https://www.youtube.com/watch?v=a-H2YVuf7ZU", "Video")</f>
        <v/>
      </c>
      <c r="B1765" t="inlineStr">
        <is>
          <t>22:32</t>
        </is>
      </c>
      <c r="C1765" t="inlineStr">
        <is>
          <t>directed by the wachowskis with</t>
        </is>
      </c>
      <c r="D1765">
        <f>HYPERLINK("https://www.youtube.com/watch?v=a-H2YVuf7ZU&amp;t=1352s", "Go to time")</f>
        <v/>
      </c>
    </row>
    <row r="1766">
      <c r="A1766">
        <f>HYPERLINK("https://www.youtube.com/watch?v=xpdiwHchwYQ", "Video")</f>
        <v/>
      </c>
      <c r="B1766" t="inlineStr">
        <is>
          <t>10:37</t>
        </is>
      </c>
      <c r="C1766" t="inlineStr">
        <is>
          <t>says this movie which was directed by</t>
        </is>
      </c>
      <c r="D1766">
        <f>HYPERLINK("https://www.youtube.com/watch?v=xpdiwHchwYQ&amp;t=637s", "Go to time")</f>
        <v/>
      </c>
    </row>
    <row r="1767">
      <c r="A1767">
        <f>HYPERLINK("https://www.youtube.com/watch?v=xpdiwHchwYQ", "Video")</f>
        <v/>
      </c>
      <c r="B1767" t="inlineStr">
        <is>
          <t>25:57</t>
        </is>
      </c>
      <c r="C1767" t="inlineStr">
        <is>
          <t>the directors and original producers</t>
        </is>
      </c>
      <c r="D1767">
        <f>HYPERLINK("https://www.youtube.com/watch?v=xpdiwHchwYQ&amp;t=1557s", "Go to time")</f>
        <v/>
      </c>
    </row>
    <row r="1768">
      <c r="A1768">
        <f>HYPERLINK("https://www.youtube.com/watch?v=xpdiwHchwYQ", "Video")</f>
        <v/>
      </c>
      <c r="B1768" t="inlineStr">
        <is>
          <t>30:46</t>
        </is>
      </c>
      <c r="C1768" t="inlineStr">
        <is>
          <t>put it just on the directors I think</t>
        </is>
      </c>
      <c r="D1768">
        <f>HYPERLINK("https://www.youtube.com/watch?v=xpdiwHchwYQ&amp;t=1846s", "Go to time")</f>
        <v/>
      </c>
    </row>
    <row r="1769">
      <c r="A1769">
        <f>HYPERLINK("https://www.youtube.com/watch?v=xpdiwHchwYQ", "Video")</f>
        <v/>
      </c>
      <c r="B1769" t="inlineStr">
        <is>
          <t>39:06</t>
        </is>
      </c>
      <c r="C1769" t="inlineStr">
        <is>
          <t>director's Cup oh yeah because he needs</t>
        </is>
      </c>
      <c r="D1769">
        <f>HYPERLINK("https://www.youtube.com/watch?v=xpdiwHchwYQ&amp;t=2346s", "Go to time")</f>
        <v/>
      </c>
    </row>
    <row r="1770">
      <c r="A1770">
        <f>HYPERLINK("https://www.youtube.com/watch?v=xpdiwHchwYQ", "Video")</f>
        <v/>
      </c>
      <c r="B1770" t="inlineStr">
        <is>
          <t>41:26</t>
        </is>
      </c>
      <c r="C1770" t="inlineStr">
        <is>
          <t>spin on it because I'm the director I'm</t>
        </is>
      </c>
      <c r="D1770">
        <f>HYPERLINK("https://www.youtube.com/watch?v=xpdiwHchwYQ&amp;t=2486s", "Go to time")</f>
        <v/>
      </c>
    </row>
    <row r="1771">
      <c r="A1771">
        <f>HYPERLINK("https://www.youtube.com/watch?v=xpdiwHchwYQ", "Video")</f>
        <v/>
      </c>
      <c r="B1771" t="inlineStr">
        <is>
          <t>41:52</t>
        </is>
      </c>
      <c r="C1771" t="inlineStr">
        <is>
          <t>director told them yeah the director was</t>
        </is>
      </c>
      <c r="D1771">
        <f>HYPERLINK("https://www.youtube.com/watch?v=xpdiwHchwYQ&amp;t=2512s", "Go to time")</f>
        <v/>
      </c>
    </row>
    <row r="1772">
      <c r="A1772">
        <f>HYPERLINK("https://www.youtube.com/watch?v=xpdiwHchwYQ", "Video")</f>
        <v/>
      </c>
      <c r="B1772" t="inlineStr">
        <is>
          <t>41:55</t>
        </is>
      </c>
      <c r="C1772" t="inlineStr">
        <is>
          <t>like y'all are idiots and the director</t>
        </is>
      </c>
      <c r="D1772">
        <f>HYPERLINK("https://www.youtube.com/watch?v=xpdiwHchwYQ&amp;t=2515s", "Go to time")</f>
        <v/>
      </c>
    </row>
    <row r="1773">
      <c r="A1773">
        <f>HYPERLINK("https://www.youtube.com/watch?v=65yoPDVIkos", "Video")</f>
        <v/>
      </c>
      <c r="B1773" t="inlineStr">
        <is>
          <t>0:29</t>
        </is>
      </c>
      <c r="C1773" t="inlineStr">
        <is>
          <t>different lady and there's a direct</t>
        </is>
      </c>
      <c r="D1773">
        <f>HYPERLINK("https://www.youtube.com/watch?v=65yoPDVIkos&amp;t=29s", "Go to time")</f>
        <v/>
      </c>
    </row>
    <row r="1774">
      <c r="A1774">
        <f>HYPERLINK("https://www.youtube.com/watch?v=cCiIu63Sh3k", "Video")</f>
        <v/>
      </c>
      <c r="B1774" t="inlineStr">
        <is>
          <t>13:02</t>
        </is>
      </c>
      <c r="C1774" t="inlineStr">
        <is>
          <t>members there are a lot of directors in</t>
        </is>
      </c>
      <c r="D1774">
        <f>HYPERLINK("https://www.youtube.com/watch?v=cCiIu63Sh3k&amp;t=782s", "Go to time")</f>
        <v/>
      </c>
    </row>
    <row r="1775">
      <c r="A1775">
        <f>HYPERLINK("https://www.youtube.com/watch?v=cCiIu63Sh3k", "Video")</f>
        <v/>
      </c>
      <c r="B1775" t="inlineStr">
        <is>
          <t>13:04</t>
        </is>
      </c>
      <c r="C1775" t="inlineStr">
        <is>
          <t>the Director's Guild who were also</t>
        </is>
      </c>
      <c r="D1775">
        <f>HYPERLINK("https://www.youtube.com/watch?v=cCiIu63Sh3k&amp;t=784s", "Go to time")</f>
        <v/>
      </c>
    </row>
    <row r="1776">
      <c r="A1776">
        <f>HYPERLINK("https://www.youtube.com/watch?v=cCiIu63Sh3k", "Video")</f>
        <v/>
      </c>
      <c r="B1776" t="inlineStr">
        <is>
          <t>13:29</t>
        </is>
      </c>
      <c r="C1776" t="inlineStr">
        <is>
          <t>Director's Guild otherwise it was like</t>
        </is>
      </c>
      <c r="D1776">
        <f>HYPERLINK("https://www.youtube.com/watch?v=cCiIu63Sh3k&amp;t=809s", "Go to time")</f>
        <v/>
      </c>
    </row>
    <row r="1777">
      <c r="A1777">
        <f>HYPERLINK("https://www.youtube.com/watch?v=cCiIu63Sh3k", "Video")</f>
        <v/>
      </c>
      <c r="B1777" t="inlineStr">
        <is>
          <t>13:48</t>
        </is>
      </c>
      <c r="C1777" t="inlineStr">
        <is>
          <t>going to pick maybe what the Director's</t>
        </is>
      </c>
      <c r="D1777">
        <f>HYPERLINK("https://www.youtube.com/watch?v=cCiIu63Sh3k&amp;t=828s", "Go to time")</f>
        <v/>
      </c>
    </row>
    <row r="1778">
      <c r="A1778">
        <f>HYPERLINK("https://www.youtube.com/watch?v=cCiIu63Sh3k", "Video")</f>
        <v/>
      </c>
      <c r="B1778" t="inlineStr">
        <is>
          <t>14:15</t>
        </is>
      </c>
      <c r="C1778" t="inlineStr">
        <is>
          <t>Baker too uh could get Best Director</t>
        </is>
      </c>
      <c r="D1778">
        <f>HYPERLINK("https://www.youtube.com/watch?v=cCiIu63Sh3k&amp;t=855s", "Go to time")</f>
        <v/>
      </c>
    </row>
    <row r="1779">
      <c r="A1779">
        <f>HYPERLINK("https://www.youtube.com/watch?v=cCiIu63Sh3k", "Video")</f>
        <v/>
      </c>
      <c r="B1779" t="inlineStr">
        <is>
          <t>15:51</t>
        </is>
      </c>
      <c r="C1779" t="inlineStr">
        <is>
          <t>director but we've seen this before that</t>
        </is>
      </c>
      <c r="D1779">
        <f>HYPERLINK("https://www.youtube.com/watch?v=cCiIu63Sh3k&amp;t=951s", "Go to time")</f>
        <v/>
      </c>
    </row>
    <row r="1780">
      <c r="A1780">
        <f>HYPERLINK("https://www.youtube.com/watch?v=cCiIu63Sh3k", "Video")</f>
        <v/>
      </c>
      <c r="B1780" t="inlineStr">
        <is>
          <t>16:33</t>
        </is>
      </c>
      <c r="C1780" t="inlineStr">
        <is>
          <t>direction is not on point an Oscar</t>
        </is>
      </c>
      <c r="D1780">
        <f>HYPERLINK("https://www.youtube.com/watch?v=cCiIu63Sh3k&amp;t=993s", "Go to time")</f>
        <v/>
      </c>
    </row>
    <row r="1781">
      <c r="A1781">
        <f>HYPERLINK("https://www.youtube.com/watch?v=QDZsrAaq1MM", "Video")</f>
        <v/>
      </c>
      <c r="B1781" t="inlineStr">
        <is>
          <t>1:27</t>
        </is>
      </c>
      <c r="C1781" t="inlineStr">
        <is>
          <t>legendary director who you know the tail</t>
        </is>
      </c>
      <c r="D1781">
        <f>HYPERLINK("https://www.youtube.com/watch?v=QDZsrAaq1MM&amp;t=87s", "Go to time")</f>
        <v/>
      </c>
    </row>
    <row r="1782">
      <c r="A1782">
        <f>HYPERLINK("https://www.youtube.com/watch?v=QDZsrAaq1MM", "Video")</f>
        <v/>
      </c>
      <c r="B1782" t="inlineStr">
        <is>
          <t>8:04</t>
        </is>
      </c>
      <c r="C1782" t="inlineStr">
        <is>
          <t>directed by David Fincher like I don't</t>
        </is>
      </c>
      <c r="D1782">
        <f>HYPERLINK("https://www.youtube.com/watch?v=QDZsrAaq1MM&amp;t=484s", "Go to time")</f>
        <v/>
      </c>
    </row>
    <row r="1783">
      <c r="A1783">
        <f>HYPERLINK("https://www.youtube.com/watch?v=QDZsrAaq1MM", "Video")</f>
        <v/>
      </c>
      <c r="B1783" t="inlineStr">
        <is>
          <t>11:15</t>
        </is>
      </c>
      <c r="C1783" t="inlineStr">
        <is>
          <t>career director Gary Marshall wasn't</t>
        </is>
      </c>
      <c r="D1783">
        <f>HYPERLINK("https://www.youtube.com/watch?v=QDZsrAaq1MM&amp;t=675s", "Go to time")</f>
        <v/>
      </c>
    </row>
    <row r="1784">
      <c r="A1784">
        <f>HYPERLINK("https://www.youtube.com/watch?v=QDZsrAaq1MM", "Video")</f>
        <v/>
      </c>
      <c r="B1784" t="inlineStr">
        <is>
          <t>19:19</t>
        </is>
      </c>
      <c r="C1784" t="inlineStr">
        <is>
          <t>most bizarre Direction Choice I've ever</t>
        </is>
      </c>
      <c r="D1784">
        <f>HYPERLINK("https://www.youtube.com/watch?v=QDZsrAaq1MM&amp;t=1159s", "Go to time")</f>
        <v/>
      </c>
    </row>
    <row r="1785">
      <c r="A1785">
        <f>HYPERLINK("https://www.youtube.com/watch?v=2LcElkbj3mQ", "Video")</f>
        <v/>
      </c>
      <c r="B1785" t="inlineStr">
        <is>
          <t>0:43</t>
        </is>
      </c>
      <c r="C1785" t="inlineStr">
        <is>
          <t>Direction please stop moving please I</t>
        </is>
      </c>
      <c r="D1785">
        <f>HYPERLINK("https://www.youtube.com/watch?v=2LcElkbj3mQ&amp;t=43s", "Go to time")</f>
        <v/>
      </c>
    </row>
    <row r="1786">
      <c r="A1786">
        <f>HYPERLINK("https://www.youtube.com/watch?v=8t2aD5BCr3s", "Video")</f>
        <v/>
      </c>
      <c r="B1786" t="inlineStr">
        <is>
          <t>3:23</t>
        </is>
      </c>
      <c r="C1786" t="inlineStr">
        <is>
          <t>best part of being a director kind of</t>
        </is>
      </c>
      <c r="D1786">
        <f>HYPERLINK("https://www.youtube.com/watch?v=8t2aD5BCr3s&amp;t=203s", "Go to time")</f>
        <v/>
      </c>
    </row>
    <row r="1787">
      <c r="A1787">
        <f>HYPERLINK("https://www.youtube.com/watch?v=8t2aD5BCr3s", "Video")</f>
        <v/>
      </c>
      <c r="B1787" t="inlineStr">
        <is>
          <t>3:25</t>
        </is>
      </c>
      <c r="C1787" t="inlineStr">
        <is>
          <t>best to the director yeah okay I feel</t>
        </is>
      </c>
      <c r="D1787">
        <f>HYPERLINK("https://www.youtube.com/watch?v=8t2aD5BCr3s&amp;t=205s", "Go to time")</f>
        <v/>
      </c>
    </row>
    <row r="1788">
      <c r="A1788">
        <f>HYPERLINK("https://www.youtube.com/watch?v=8t2aD5BCr3s", "Video")</f>
        <v/>
      </c>
      <c r="B1788" t="inlineStr">
        <is>
          <t>4:00</t>
        </is>
      </c>
      <c r="C1788" t="inlineStr">
        <is>
          <t>favorite scene to direct you know what's</t>
        </is>
      </c>
      <c r="D1788">
        <f>HYPERLINK("https://www.youtube.com/watch?v=8t2aD5BCr3s&amp;t=240s", "Go to time")</f>
        <v/>
      </c>
    </row>
    <row r="1789">
      <c r="A1789">
        <f>HYPERLINK("https://www.youtube.com/watch?v=8t2aD5BCr3s", "Video")</f>
        <v/>
      </c>
      <c r="B1789" t="inlineStr">
        <is>
          <t>4:06</t>
        </is>
      </c>
      <c r="C1789" t="inlineStr">
        <is>
          <t>being a director but like I think I'm</t>
        </is>
      </c>
      <c r="D1789">
        <f>HYPERLINK("https://www.youtube.com/watch?v=8t2aD5BCr3s&amp;t=246s", "Go to time")</f>
        <v/>
      </c>
    </row>
    <row r="1790">
      <c r="A1790">
        <f>HYPERLINK("https://www.youtube.com/watch?v=8t2aD5BCr3s", "Video")</f>
        <v/>
      </c>
      <c r="B1790" t="inlineStr">
        <is>
          <t>4:14</t>
        </is>
      </c>
      <c r="C1790" t="inlineStr">
        <is>
          <t>time making the movie but as a director</t>
        </is>
      </c>
      <c r="D1790">
        <f>HYPERLINK("https://www.youtube.com/watch?v=8t2aD5BCr3s&amp;t=254s", "Go to time")</f>
        <v/>
      </c>
    </row>
    <row r="1791">
      <c r="A1791">
        <f>HYPERLINK("https://www.youtube.com/watch?v=8t2aD5BCr3s", "Video")</f>
        <v/>
      </c>
      <c r="B1791" t="inlineStr">
        <is>
          <t>7:27</t>
        </is>
      </c>
      <c r="C1791" t="inlineStr">
        <is>
          <t>sort of aware of certain directors</t>
        </is>
      </c>
      <c r="D1791">
        <f>HYPERLINK("https://www.youtube.com/watch?v=8t2aD5BCr3s&amp;t=447s", "Go to time")</f>
        <v/>
      </c>
    </row>
    <row r="1792">
      <c r="A1792">
        <f>HYPERLINK("https://www.youtube.com/watch?v=JkGz7ahL7qM", "Video")</f>
        <v/>
      </c>
      <c r="B1792" t="inlineStr">
        <is>
          <t>0:16</t>
        </is>
      </c>
      <c r="C1792" t="inlineStr">
        <is>
          <t>directly from it I'll just read the last</t>
        </is>
      </c>
      <c r="D1792">
        <f>HYPERLINK("https://www.youtube.com/watch?v=JkGz7ahL7qM&amp;t=16s", "Go to time")</f>
        <v/>
      </c>
    </row>
    <row r="1793">
      <c r="A1793">
        <f>HYPERLINK("https://www.youtube.com/watch?v=OTCgs_kVjLw", "Video")</f>
        <v/>
      </c>
      <c r="B1793" t="inlineStr">
        <is>
          <t>0:29</t>
        </is>
      </c>
      <c r="C1793" t="inlineStr">
        <is>
          <t>incredible movies directed by women</t>
        </is>
      </c>
      <c r="D1793">
        <f>HYPERLINK("https://www.youtube.com/watch?v=OTCgs_kVjLw&amp;t=29s", "Go to time")</f>
        <v/>
      </c>
    </row>
    <row r="1794">
      <c r="A1794">
        <f>HYPERLINK("https://www.youtube.com/watch?v=OTCgs_kVjLw", "Video")</f>
        <v/>
      </c>
      <c r="B1794" t="inlineStr">
        <is>
          <t>0:44</t>
        </is>
      </c>
      <c r="C1794" t="inlineStr">
        <is>
          <t>became the first female director to 1984</t>
        </is>
      </c>
      <c r="D1794">
        <f>HYPERLINK("https://www.youtube.com/watch?v=OTCgs_kVjLw&amp;t=44s", "Go to time")</f>
        <v/>
      </c>
    </row>
    <row r="1795">
      <c r="A1795">
        <f>HYPERLINK("https://www.youtube.com/watch?v=OTCgs_kVjLw", "Video")</f>
        <v/>
      </c>
      <c r="B1795" t="inlineStr">
        <is>
          <t>0:52</t>
        </is>
      </c>
      <c r="C1795" t="inlineStr">
        <is>
          <t>the golden globe for best director then</t>
        </is>
      </c>
      <c r="D1795">
        <f>HYPERLINK("https://www.youtube.com/watch?v=OTCgs_kVjLw&amp;t=52s", "Go to time")</f>
        <v/>
      </c>
    </row>
    <row r="1796">
      <c r="A1796">
        <f>HYPERLINK("https://www.youtube.com/watch?v=OTCgs_kVjLw", "Video")</f>
        <v/>
      </c>
      <c r="B1796" t="inlineStr">
        <is>
          <t>0:58</t>
        </is>
      </c>
      <c r="C1796" t="inlineStr">
        <is>
          <t>take home the best director oscar more</t>
        </is>
      </c>
      <c r="D1796">
        <f>HYPERLINK("https://www.youtube.com/watch?v=OTCgs_kVjLw&amp;t=58s", "Go to time")</f>
        <v/>
      </c>
    </row>
    <row r="1797">
      <c r="A1797">
        <f>HYPERLINK("https://www.youtube.com/watch?v=OTCgs_kVjLw", "Video")</f>
        <v/>
      </c>
      <c r="B1797" t="inlineStr">
        <is>
          <t>1:00</t>
        </is>
      </c>
      <c r="C1797" t="inlineStr">
        <is>
          <t>on her soon though directors who are</t>
        </is>
      </c>
      <c r="D1797">
        <f>HYPERLINK("https://www.youtube.com/watch?v=OTCgs_kVjLw&amp;t=60s", "Go to time")</f>
        <v/>
      </c>
    </row>
    <row r="1798">
      <c r="A1798">
        <f>HYPERLINK("https://www.youtube.com/watch?v=OTCgs_kVjLw", "Video")</f>
        <v/>
      </c>
      <c r="B1798" t="inlineStr">
        <is>
          <t>1:16</t>
        </is>
      </c>
      <c r="C1798" t="inlineStr">
        <is>
          <t>picks for 21st century movies directed</t>
        </is>
      </c>
      <c r="D1798">
        <f>HYPERLINK("https://www.youtube.com/watch?v=OTCgs_kVjLw&amp;t=76s", "Go to time")</f>
        <v/>
      </c>
    </row>
    <row r="1799">
      <c r="A1799">
        <f>HYPERLINK("https://www.youtube.com/watch?v=OTCgs_kVjLw", "Video")</f>
        <v/>
      </c>
      <c r="B1799" t="inlineStr">
        <is>
          <t>1:52</t>
        </is>
      </c>
      <c r="C1799" t="inlineStr">
        <is>
          <t>directed by catherine bigelow and</t>
        </is>
      </c>
      <c r="D1799">
        <f>HYPERLINK("https://www.youtube.com/watch?v=OTCgs_kVjLw&amp;t=112s", "Go to time")</f>
        <v/>
      </c>
    </row>
    <row r="1800">
      <c r="A1800">
        <f>HYPERLINK("https://www.youtube.com/watch?v=OTCgs_kVjLw", "Video")</f>
        <v/>
      </c>
      <c r="B1800" t="inlineStr">
        <is>
          <t>2:50</t>
        </is>
      </c>
      <c r="C1800" t="inlineStr">
        <is>
          <t>breathtaking direction so what makes it</t>
        </is>
      </c>
      <c r="D1800">
        <f>HYPERLINK("https://www.youtube.com/watch?v=OTCgs_kVjLw&amp;t=170s", "Go to time")</f>
        <v/>
      </c>
    </row>
    <row r="1801">
      <c r="A1801">
        <f>HYPERLINK("https://www.youtube.com/watch?v=OTCgs_kVjLw", "Video")</f>
        <v/>
      </c>
      <c r="B1801" t="inlineStr">
        <is>
          <t>3:07</t>
        </is>
      </c>
      <c r="C1801" t="inlineStr">
        <is>
          <t>finances that other best directed</t>
        </is>
      </c>
      <c r="D1801">
        <f>HYPERLINK("https://www.youtube.com/watch?v=OTCgs_kVjLw&amp;t=187s", "Go to time")</f>
        <v/>
      </c>
    </row>
    <row r="1802">
      <c r="A1802">
        <f>HYPERLINK("https://www.youtube.com/watch?v=OTCgs_kVjLw", "Video")</f>
        <v/>
      </c>
      <c r="B1802" t="inlineStr">
        <is>
          <t>3:33</t>
        </is>
      </c>
      <c r="C1802" t="inlineStr">
        <is>
          <t>picture best director and best original</t>
        </is>
      </c>
      <c r="D1802">
        <f>HYPERLINK("https://www.youtube.com/watch?v=OTCgs_kVjLw&amp;t=213s", "Go to time")</f>
        <v/>
      </c>
    </row>
    <row r="1803">
      <c r="A1803">
        <f>HYPERLINK("https://www.youtube.com/watch?v=OTCgs_kVjLw", "Video")</f>
        <v/>
      </c>
      <c r="B1803" t="inlineStr">
        <is>
          <t>3:57</t>
        </is>
      </c>
      <c r="C1803" t="inlineStr">
        <is>
          <t>writer director d reese proved to be a</t>
        </is>
      </c>
      <c r="D1803">
        <f>HYPERLINK("https://www.youtube.com/watch?v=OTCgs_kVjLw&amp;t=237s", "Go to time")</f>
        <v/>
      </c>
    </row>
    <row r="1804">
      <c r="A1804">
        <f>HYPERLINK("https://www.youtube.com/watch?v=OTCgs_kVjLw", "Video")</f>
        <v/>
      </c>
      <c r="B1804" t="inlineStr">
        <is>
          <t>4:38</t>
        </is>
      </c>
      <c r="C1804" t="inlineStr">
        <is>
          <t>directing and screenwriting it was</t>
        </is>
      </c>
      <c r="D1804">
        <f>HYPERLINK("https://www.youtube.com/watch?v=OTCgs_kVjLw&amp;t=278s", "Go to time")</f>
        <v/>
      </c>
    </row>
    <row r="1805">
      <c r="A1805">
        <f>HYPERLINK("https://www.youtube.com/watch?v=OTCgs_kVjLw", "Video")</f>
        <v/>
      </c>
      <c r="B1805" t="inlineStr">
        <is>
          <t>5:41</t>
        </is>
      </c>
      <c r="C1805" t="inlineStr">
        <is>
          <t>director and outstanding independent</t>
        </is>
      </c>
      <c r="D1805">
        <f>HYPERLINK("https://www.youtube.com/watch?v=OTCgs_kVjLw&amp;t=341s", "Go to time")</f>
        <v/>
      </c>
    </row>
    <row r="1806">
      <c r="A1806">
        <f>HYPERLINK("https://www.youtube.com/watch?v=OTCgs_kVjLw", "Video")</f>
        <v/>
      </c>
      <c r="B1806" t="inlineStr">
        <is>
          <t>5:54</t>
        </is>
      </c>
      <c r="C1806" t="inlineStr">
        <is>
          <t>written and directed 2017's mudbound and</t>
        </is>
      </c>
      <c r="D1806">
        <f>HYPERLINK("https://www.youtube.com/watch?v=OTCgs_kVjLw&amp;t=354s", "Go to time")</f>
        <v/>
      </c>
    </row>
    <row r="1807">
      <c r="A1807">
        <f>HYPERLINK("https://www.youtube.com/watch?v=OTCgs_kVjLw", "Video")</f>
        <v/>
      </c>
      <c r="B1807" t="inlineStr">
        <is>
          <t>6:34</t>
        </is>
      </c>
      <c r="C1807" t="inlineStr">
        <is>
          <t>written and directed by australian</t>
        </is>
      </c>
      <c r="D1807">
        <f>HYPERLINK("https://www.youtube.com/watch?v=OTCgs_kVjLw&amp;t=394s", "Go to time")</f>
        <v/>
      </c>
    </row>
    <row r="1808">
      <c r="A1808">
        <f>HYPERLINK("https://www.youtube.com/watch?v=OTCgs_kVjLw", "Video")</f>
        <v/>
      </c>
      <c r="B1808" t="inlineStr">
        <is>
          <t>8:15</t>
        </is>
      </c>
      <c r="C1808" t="inlineStr">
        <is>
          <t>directed the exorcist you know the</t>
        </is>
      </c>
      <c r="D1808">
        <f>HYPERLINK("https://www.youtube.com/watch?v=OTCgs_kVjLw&amp;t=495s", "Go to time")</f>
        <v/>
      </c>
    </row>
    <row r="1809">
      <c r="A1809">
        <f>HYPERLINK("https://www.youtube.com/watch?v=OTCgs_kVjLw", "Video")</f>
        <v/>
      </c>
      <c r="B1809" t="inlineStr">
        <is>
          <t>8:58</t>
        </is>
      </c>
      <c r="C1809" t="inlineStr">
        <is>
          <t>historical drama directed by ava duvenay</t>
        </is>
      </c>
      <c r="D1809">
        <f>HYPERLINK("https://www.youtube.com/watch?v=OTCgs_kVjLw&amp;t=538s", "Go to time")</f>
        <v/>
      </c>
    </row>
    <row r="1810">
      <c r="A1810">
        <f>HYPERLINK("https://www.youtube.com/watch?v=OTCgs_kVjLw", "Video")</f>
        <v/>
      </c>
      <c r="B1810" t="inlineStr">
        <is>
          <t>9:39</t>
        </is>
      </c>
      <c r="C1810" t="inlineStr">
        <is>
          <t>to selma duvenay signed on to direct in</t>
        </is>
      </c>
      <c r="D1810">
        <f>HYPERLINK("https://www.youtube.com/watch?v=OTCgs_kVjLw&amp;t=579s", "Go to time")</f>
        <v/>
      </c>
    </row>
    <row r="1811">
      <c r="A1811">
        <f>HYPERLINK("https://www.youtube.com/watch?v=OTCgs_kVjLw", "Video")</f>
        <v/>
      </c>
      <c r="B1811" t="inlineStr">
        <is>
          <t>10:36</t>
        </is>
      </c>
      <c r="C1811" t="inlineStr">
        <is>
          <t>other writer directors however a</t>
        </is>
      </c>
      <c r="D1811">
        <f>HYPERLINK("https://www.youtube.com/watch?v=OTCgs_kVjLw&amp;t=636s", "Go to time")</f>
        <v/>
      </c>
    </row>
    <row r="1812">
      <c r="A1812">
        <f>HYPERLINK("https://www.youtube.com/watch?v=OTCgs_kVjLw", "Video")</f>
        <v/>
      </c>
      <c r="B1812" t="inlineStr">
        <is>
          <t>10:51</t>
        </is>
      </c>
      <c r="C1812" t="inlineStr">
        <is>
          <t>direction the washington post wrote that</t>
        </is>
      </c>
      <c r="D1812">
        <f>HYPERLINK("https://www.youtube.com/watch?v=OTCgs_kVjLw&amp;t=651s", "Go to time")</f>
        <v/>
      </c>
    </row>
    <row r="1813">
      <c r="A1813">
        <f>HYPERLINK("https://www.youtube.com/watch?v=OTCgs_kVjLw", "Video")</f>
        <v/>
      </c>
      <c r="B1813" t="inlineStr">
        <is>
          <t>10:54</t>
        </is>
      </c>
      <c r="C1813" t="inlineStr">
        <is>
          <t>director ava duvenay has created a</t>
        </is>
      </c>
      <c r="D1813">
        <f>HYPERLINK("https://www.youtube.com/watch?v=OTCgs_kVjLw&amp;t=654s", "Go to time")</f>
        <v/>
      </c>
    </row>
    <row r="1814">
      <c r="A1814">
        <f>HYPERLINK("https://www.youtube.com/watch?v=OTCgs_kVjLw", "Video")</f>
        <v/>
      </c>
      <c r="B1814" t="inlineStr">
        <is>
          <t>12:01</t>
        </is>
      </c>
      <c r="C1814" t="inlineStr">
        <is>
          <t>directed by patty jenkins who had risen</t>
        </is>
      </c>
      <c r="D1814">
        <f>HYPERLINK("https://www.youtube.com/watch?v=OTCgs_kVjLw&amp;t=721s", "Go to time")</f>
        <v/>
      </c>
    </row>
    <row r="1815">
      <c r="A1815">
        <f>HYPERLINK("https://www.youtube.com/watch?v=OTCgs_kVjLw", "Video")</f>
        <v/>
      </c>
      <c r="B1815" t="inlineStr">
        <is>
          <t>12:14</t>
        </is>
      </c>
      <c r="C1815" t="inlineStr">
        <is>
          <t>producers were considering directors</t>
        </is>
      </c>
      <c r="D1815">
        <f>HYPERLINK("https://www.youtube.com/watch?v=OTCgs_kVjLw&amp;t=734s", "Go to time")</f>
        <v/>
      </c>
    </row>
    <row r="1816">
      <c r="A1816">
        <f>HYPERLINK("https://www.youtube.com/watch?v=OTCgs_kVjLw", "Video")</f>
        <v/>
      </c>
      <c r="B1816" t="inlineStr">
        <is>
          <t>12:52</t>
        </is>
      </c>
      <c r="C1816" t="inlineStr">
        <is>
          <t>producer and set to direct that fell</t>
        </is>
      </c>
      <c r="D1816">
        <f>HYPERLINK("https://www.youtube.com/watch?v=OTCgs_kVjLw&amp;t=772s", "Go to time")</f>
        <v/>
      </c>
    </row>
    <row r="1817">
      <c r="A1817">
        <f>HYPERLINK("https://www.youtube.com/watch?v=OTCgs_kVjLw", "Video")</f>
        <v/>
      </c>
      <c r="B1817" t="inlineStr">
        <is>
          <t>13:21</t>
        </is>
      </c>
      <c r="C1817" t="inlineStr">
        <is>
          <t>extraordinary with jenkins directing a</t>
        </is>
      </c>
      <c r="D1817">
        <f>HYPERLINK("https://www.youtube.com/watch?v=OTCgs_kVjLw&amp;t=801s", "Go to time")</f>
        <v/>
      </c>
    </row>
    <row r="1818">
      <c r="A1818">
        <f>HYPERLINK("https://www.youtube.com/watch?v=OTCgs_kVjLw", "Video")</f>
        <v/>
      </c>
      <c r="B1818" t="inlineStr">
        <is>
          <t>14:18</t>
        </is>
      </c>
      <c r="C1818" t="inlineStr">
        <is>
          <t>biographical drama directed by the</t>
        </is>
      </c>
      <c r="D1818">
        <f>HYPERLINK("https://www.youtube.com/watch?v=OTCgs_kVjLw&amp;t=858s", "Go to time")</f>
        <v/>
      </c>
    </row>
    <row r="1819">
      <c r="A1819">
        <f>HYPERLINK("https://www.youtube.com/watch?v=OTCgs_kVjLw", "Video")</f>
        <v/>
      </c>
      <c r="B1819" t="inlineStr">
        <is>
          <t>16:50</t>
        </is>
      </c>
      <c r="C1819" t="inlineStr">
        <is>
          <t>greta gerwig wrote and directed 2019's</t>
        </is>
      </c>
      <c r="D1819">
        <f>HYPERLINK("https://www.youtube.com/watch?v=OTCgs_kVjLw&amp;t=1010s", "Go to time")</f>
        <v/>
      </c>
    </row>
    <row r="1820">
      <c r="A1820">
        <f>HYPERLINK("https://www.youtube.com/watch?v=OTCgs_kVjLw", "Video")</f>
        <v/>
      </c>
      <c r="B1820" t="inlineStr">
        <is>
          <t>17:54</t>
        </is>
      </c>
      <c r="C1820" t="inlineStr">
        <is>
          <t>writer and director finding parallels in</t>
        </is>
      </c>
      <c r="D1820">
        <f>HYPERLINK("https://www.youtube.com/watch?v=OTCgs_kVjLw&amp;t=1074s", "Go to time")</f>
        <v/>
      </c>
    </row>
    <row r="1821">
      <c r="A1821">
        <f>HYPERLINK("https://www.youtube.com/watch?v=OTCgs_kVjLw", "Video")</f>
        <v/>
      </c>
      <c r="B1821" t="inlineStr">
        <is>
          <t>18:42</t>
        </is>
      </c>
      <c r="C1821" t="inlineStr">
        <is>
          <t>writer directors gerwig's persistence</t>
        </is>
      </c>
      <c r="D1821">
        <f>HYPERLINK("https://www.youtube.com/watch?v=OTCgs_kVjLw&amp;t=1122s", "Go to time")</f>
        <v/>
      </c>
    </row>
    <row r="1822">
      <c r="A1822">
        <f>HYPERLINK("https://www.youtube.com/watch?v=OTCgs_kVjLw", "Video")</f>
        <v/>
      </c>
      <c r="B1822" t="inlineStr">
        <is>
          <t>19:05</t>
        </is>
      </c>
      <c r="C1822" t="inlineStr">
        <is>
          <t>best director nomination</t>
        </is>
      </c>
      <c r="D1822">
        <f>HYPERLINK("https://www.youtube.com/watch?v=OTCgs_kVjLw&amp;t=1145s", "Go to time")</f>
        <v/>
      </c>
    </row>
    <row r="1823">
      <c r="A1823">
        <f>HYPERLINK("https://www.youtube.com/watch?v=OTCgs_kVjLw", "Video")</f>
        <v/>
      </c>
      <c r="B1823" t="inlineStr">
        <is>
          <t>19:46</t>
        </is>
      </c>
      <c r="C1823" t="inlineStr">
        <is>
          <t>and directed by lulu wang it's the story</t>
        </is>
      </c>
      <c r="D1823">
        <f>HYPERLINK("https://www.youtube.com/watch?v=OTCgs_kVjLw&amp;t=1186s", "Go to time")</f>
        <v/>
      </c>
    </row>
    <row r="1824">
      <c r="A1824">
        <f>HYPERLINK("https://www.youtube.com/watch?v=OTCgs_kVjLw", "Video")</f>
        <v/>
      </c>
      <c r="B1824" t="inlineStr">
        <is>
          <t>21:31</t>
        </is>
      </c>
      <c r="C1824" t="inlineStr">
        <is>
          <t>director</t>
        </is>
      </c>
      <c r="D1824">
        <f>HYPERLINK("https://www.youtube.com/watch?v=OTCgs_kVjLw&amp;t=1291s", "Go to time")</f>
        <v/>
      </c>
    </row>
    <row r="1825">
      <c r="A1825">
        <f>HYPERLINK("https://www.youtube.com/watch?v=OTCgs_kVjLw", "Video")</f>
        <v/>
      </c>
      <c r="B1825" t="inlineStr">
        <is>
          <t>21:53</t>
        </is>
      </c>
      <c r="C1825" t="inlineStr">
        <is>
          <t>nomad land a drama written and directed</t>
        </is>
      </c>
      <c r="D1825">
        <f>HYPERLINK("https://www.youtube.com/watch?v=OTCgs_kVjLw&amp;t=1313s", "Go to time")</f>
        <v/>
      </c>
    </row>
    <row r="1826">
      <c r="A1826">
        <f>HYPERLINK("https://www.youtube.com/watch?v=OTCgs_kVjLw", "Video")</f>
        <v/>
      </c>
      <c r="B1826" t="inlineStr">
        <is>
          <t>23:14</t>
        </is>
      </c>
      <c r="C1826" t="inlineStr">
        <is>
          <t>best director for zhao this made zhao</t>
        </is>
      </c>
      <c r="D1826">
        <f>HYPERLINK("https://www.youtube.com/watch?v=OTCgs_kVjLw&amp;t=1394s", "Go to time")</f>
        <v/>
      </c>
    </row>
    <row r="1827">
      <c r="A1827">
        <f>HYPERLINK("https://www.youtube.com/watch?v=OTCgs_kVjLw", "Video")</f>
        <v/>
      </c>
      <c r="B1827" t="inlineStr">
        <is>
          <t>23:18</t>
        </is>
      </c>
      <c r="C1827" t="inlineStr">
        <is>
          <t>second woman ever to win best director</t>
        </is>
      </c>
      <c r="D1827">
        <f>HYPERLINK("https://www.youtube.com/watch?v=OTCgs_kVjLw&amp;t=1398s", "Go to time")</f>
        <v/>
      </c>
    </row>
    <row r="1828">
      <c r="A1828">
        <f>HYPERLINK("https://www.youtube.com/watch?v=OTCgs_kVjLw", "Video")</f>
        <v/>
      </c>
      <c r="B1828" t="inlineStr">
        <is>
          <t>23:47</t>
        </is>
      </c>
      <c r="C1828" t="inlineStr">
        <is>
          <t>a western drama written and directed by</t>
        </is>
      </c>
      <c r="D1828">
        <f>HYPERLINK("https://www.youtube.com/watch?v=OTCgs_kVjLw&amp;t=1427s", "Go to time")</f>
        <v/>
      </c>
    </row>
    <row r="1829">
      <c r="A1829">
        <f>HYPERLINK("https://www.youtube.com/watch?v=OTCgs_kVjLw", "Video")</f>
        <v/>
      </c>
      <c r="B1829" t="inlineStr">
        <is>
          <t>25:01</t>
        </is>
      </c>
      <c r="C1829" t="inlineStr">
        <is>
          <t>director garnering 12 total academy</t>
        </is>
      </c>
      <c r="D1829">
        <f>HYPERLINK("https://www.youtube.com/watch?v=OTCgs_kVjLw&amp;t=1501s", "Go to time")</f>
        <v/>
      </c>
    </row>
    <row r="1830">
      <c r="A1830">
        <f>HYPERLINK("https://www.youtube.com/watch?v=OTCgs_kVjLw", "Video")</f>
        <v/>
      </c>
      <c r="B1830" t="inlineStr">
        <is>
          <t>25:10</t>
        </is>
      </c>
      <c r="C1830" t="inlineStr">
        <is>
          <t>movies directed by women as always we</t>
        </is>
      </c>
      <c r="D1830">
        <f>HYPERLINK("https://www.youtube.com/watch?v=OTCgs_kVjLw&amp;t=1510s", "Go to time")</f>
        <v/>
      </c>
    </row>
    <row r="1831">
      <c r="A1831">
        <f>HYPERLINK("https://www.youtube.com/watch?v=ipxzPnINdpk", "Video")</f>
        <v/>
      </c>
      <c r="B1831" t="inlineStr">
        <is>
          <t>0:55</t>
        </is>
      </c>
      <c r="C1831" t="inlineStr">
        <is>
          <t>guaranteed direct all ground units</t>
        </is>
      </c>
      <c r="D1831">
        <f>HYPERLINK("https://www.youtube.com/watch?v=ipxzPnINdpk&amp;t=55s", "Go to time")</f>
        <v/>
      </c>
    </row>
    <row r="1832">
      <c r="A1832">
        <f>HYPERLINK("https://www.youtube.com/watch?v=G4i2gzgCgtE", "Video")</f>
        <v/>
      </c>
      <c r="B1832" t="inlineStr">
        <is>
          <t>1:36</t>
        </is>
      </c>
      <c r="C1832" t="inlineStr">
        <is>
          <t>this film was directed produced and</t>
        </is>
      </c>
      <c r="D1832">
        <f>HYPERLINK("https://www.youtube.com/watch?v=G4i2gzgCgtE&amp;t=96s", "Go to time")</f>
        <v/>
      </c>
    </row>
    <row r="1833">
      <c r="A1833">
        <f>HYPERLINK("https://www.youtube.com/watch?v=G4i2gzgCgtE", "Video")</f>
        <v/>
      </c>
      <c r="B1833" t="inlineStr">
        <is>
          <t>2:09</t>
        </is>
      </c>
      <c r="C1833" t="inlineStr">
        <is>
          <t>to the director too but he began in</t>
        </is>
      </c>
      <c r="D1833">
        <f>HYPERLINK("https://www.youtube.com/watch?v=G4i2gzgCgtE&amp;t=129s", "Go to time")</f>
        <v/>
      </c>
    </row>
    <row r="1834">
      <c r="A1834">
        <f>HYPERLINK("https://www.youtube.com/watch?v=G4i2gzgCgtE", "Video")</f>
        <v/>
      </c>
      <c r="B1834" t="inlineStr">
        <is>
          <t>3:58</t>
        </is>
      </c>
      <c r="C1834" t="inlineStr">
        <is>
          <t>the director's cut of the 2017 film</t>
        </is>
      </c>
      <c r="D1834">
        <f>HYPERLINK("https://www.youtube.com/watch?v=G4i2gzgCgtE&amp;t=238s", "Go to time")</f>
        <v/>
      </c>
    </row>
    <row r="1835">
      <c r="A1835">
        <f>HYPERLINK("https://www.youtube.com/watch?v=G4i2gzgCgtE", "Video")</f>
        <v/>
      </c>
      <c r="B1835" t="inlineStr">
        <is>
          <t>4:01</t>
        </is>
      </c>
      <c r="C1835" t="inlineStr">
        <is>
          <t>Justice League as the original director</t>
        </is>
      </c>
      <c r="D1835">
        <f>HYPERLINK("https://www.youtube.com/watch?v=G4i2gzgCgtE&amp;t=241s", "Go to time")</f>
        <v/>
      </c>
    </row>
    <row r="1836">
      <c r="A1836">
        <f>HYPERLINK("https://www.youtube.com/watch?v=G4i2gzgCgtE", "Video")</f>
        <v/>
      </c>
      <c r="B1836" t="inlineStr">
        <is>
          <t>5:23</t>
        </is>
      </c>
      <c r="C1836" t="inlineStr">
        <is>
          <t>directed over Zoom ultimately the Snyder</t>
        </is>
      </c>
      <c r="D1836">
        <f>HYPERLINK("https://www.youtube.com/watch?v=G4i2gzgCgtE&amp;t=323s", "Go to time")</f>
        <v/>
      </c>
    </row>
    <row r="1837">
      <c r="A1837">
        <f>HYPERLINK("https://www.youtube.com/watch?v=G4i2gzgCgtE", "Video")</f>
        <v/>
      </c>
      <c r="B1837" t="inlineStr">
        <is>
          <t>6:29</t>
        </is>
      </c>
      <c r="C1837" t="inlineStr">
        <is>
          <t>in 1991. it was directed by Andrew</t>
        </is>
      </c>
      <c r="D1837">
        <f>HYPERLINK("https://www.youtube.com/watch?v=G4i2gzgCgtE&amp;t=389s", "Go to time")</f>
        <v/>
      </c>
    </row>
    <row r="1838">
      <c r="A1838">
        <f>HYPERLINK("https://www.youtube.com/watch?v=G4i2gzgCgtE", "Video")</f>
        <v/>
      </c>
      <c r="B1838" t="inlineStr">
        <is>
          <t>6:34</t>
        </is>
      </c>
      <c r="C1838" t="inlineStr">
        <is>
          <t>directorial debuts as it turns out this</t>
        </is>
      </c>
      <c r="D1838">
        <f>HYPERLINK("https://www.youtube.com/watch?v=G4i2gzgCgtE&amp;t=394s", "Go to time")</f>
        <v/>
      </c>
    </row>
    <row r="1839">
      <c r="A1839">
        <f>HYPERLINK("https://www.youtube.com/watch?v=G4i2gzgCgtE", "Video")</f>
        <v/>
      </c>
      <c r="B1839" t="inlineStr">
        <is>
          <t>8:38</t>
        </is>
      </c>
      <c r="C1839" t="inlineStr">
        <is>
          <t>film was written produced directed and</t>
        </is>
      </c>
      <c r="D1839">
        <f>HYPERLINK("https://www.youtube.com/watch?v=G4i2gzgCgtE&amp;t=518s", "Go to time")</f>
        <v/>
      </c>
    </row>
    <row r="1840">
      <c r="A1840">
        <f>HYPERLINK("https://www.youtube.com/watch?v=G4i2gzgCgtE", "Video")</f>
        <v/>
      </c>
      <c r="B1840" t="inlineStr">
        <is>
          <t>9:11</t>
        </is>
      </c>
      <c r="C1840" t="inlineStr">
        <is>
          <t>meticulous direction of Lynch and</t>
        </is>
      </c>
      <c r="D1840">
        <f>HYPERLINK("https://www.youtube.com/watch?v=G4i2gzgCgtE&amp;t=551s", "Go to time")</f>
        <v/>
      </c>
    </row>
    <row r="1841">
      <c r="A1841">
        <f>HYPERLINK("https://www.youtube.com/watch?v=G4i2gzgCgtE", "Video")</f>
        <v/>
      </c>
      <c r="B1841" t="inlineStr">
        <is>
          <t>13:13</t>
        </is>
      </c>
      <c r="C1841" t="inlineStr">
        <is>
          <t>of the bamboo cutter it was directed and</t>
        </is>
      </c>
      <c r="D1841">
        <f>HYPERLINK("https://www.youtube.com/watch?v=G4i2gzgCgtE&amp;t=793s", "Go to time")</f>
        <v/>
      </c>
    </row>
    <row r="1842">
      <c r="A1842">
        <f>HYPERLINK("https://www.youtube.com/watch?v=G4i2gzgCgtE", "Video")</f>
        <v/>
      </c>
      <c r="B1842" t="inlineStr">
        <is>
          <t>13:44</t>
        </is>
      </c>
      <c r="C1842" t="inlineStr">
        <is>
          <t>basically the story is that the director</t>
        </is>
      </c>
      <c r="D1842">
        <f>HYPERLINK("https://www.youtube.com/watch?v=G4i2gzgCgtE&amp;t=824s", "Go to time")</f>
        <v/>
      </c>
    </row>
    <row r="1843">
      <c r="A1843">
        <f>HYPERLINK("https://www.youtube.com/watch?v=G4i2gzgCgtE", "Video")</f>
        <v/>
      </c>
      <c r="B1843" t="inlineStr">
        <is>
          <t>15:20</t>
        </is>
      </c>
      <c r="C1843" t="inlineStr">
        <is>
          <t>directed by Richard linklater and unlike</t>
        </is>
      </c>
      <c r="D1843">
        <f>HYPERLINK("https://www.youtube.com/watch?v=G4i2gzgCgtE&amp;t=920s", "Go to time")</f>
        <v/>
      </c>
    </row>
    <row r="1844">
      <c r="A1844">
        <f>HYPERLINK("https://www.youtube.com/watch?v=G4i2gzgCgtE", "Video")</f>
        <v/>
      </c>
      <c r="B1844" t="inlineStr">
        <is>
          <t>17:43</t>
        </is>
      </c>
      <c r="C1844" t="inlineStr">
        <is>
          <t>water this film was directed by James</t>
        </is>
      </c>
      <c r="D1844">
        <f>HYPERLINK("https://www.youtube.com/watch?v=G4i2gzgCgtE&amp;t=1063s", "Go to time")</f>
        <v/>
      </c>
    </row>
    <row r="1845">
      <c r="A1845">
        <f>HYPERLINK("https://www.youtube.com/watch?v=G4i2gzgCgtE", "Video")</f>
        <v/>
      </c>
      <c r="B1845" t="inlineStr">
        <is>
          <t>19:57</t>
        </is>
      </c>
      <c r="C1845" t="inlineStr">
        <is>
          <t>film was directed written and produced</t>
        </is>
      </c>
      <c r="D1845">
        <f>HYPERLINK("https://www.youtube.com/watch?v=G4i2gzgCgtE&amp;t=1197s", "Go to time")</f>
        <v/>
      </c>
    </row>
    <row r="1846">
      <c r="A1846">
        <f>HYPERLINK("https://www.youtube.com/watch?v=G4i2gzgCgtE", "Video")</f>
        <v/>
      </c>
      <c r="B1846" t="inlineStr">
        <is>
          <t>22:12</t>
        </is>
      </c>
      <c r="C1846" t="inlineStr">
        <is>
          <t>satirical drama was directed co-written</t>
        </is>
      </c>
      <c r="D1846">
        <f>HYPERLINK("https://www.youtube.com/watch?v=G4i2gzgCgtE&amp;t=1332s", "Go to time")</f>
        <v/>
      </c>
    </row>
    <row r="1847">
      <c r="A1847">
        <f>HYPERLINK("https://www.youtube.com/watch?v=G4i2gzgCgtE", "Video")</f>
        <v/>
      </c>
      <c r="B1847" t="inlineStr">
        <is>
          <t>22:24</t>
        </is>
      </c>
      <c r="C1847" t="inlineStr">
        <is>
          <t>follows a Maverick director who returns</t>
        </is>
      </c>
      <c r="D1847">
        <f>HYPERLINK("https://www.youtube.com/watch?v=G4i2gzgCgtE&amp;t=1344s", "Go to time")</f>
        <v/>
      </c>
    </row>
    <row r="1848">
      <c r="A1848">
        <f>HYPERLINK("https://www.youtube.com/watch?v=PEzNimdqsi8", "Video")</f>
        <v/>
      </c>
      <c r="B1848" t="inlineStr">
        <is>
          <t>5:14</t>
        </is>
      </c>
      <c r="C1848" t="inlineStr">
        <is>
          <t>not just my director GRE redar and Clint</t>
        </is>
      </c>
      <c r="D1848">
        <f>HYPERLINK("https://www.youtube.com/watch?v=PEzNimdqsi8&amp;t=314s", "Go to time")</f>
        <v/>
      </c>
    </row>
    <row r="1849">
      <c r="A1849">
        <f>HYPERLINK("https://www.youtube.com/watch?v=PEzNimdqsi8", "Video")</f>
        <v/>
      </c>
      <c r="B1849" t="inlineStr">
        <is>
          <t>13:01</t>
        </is>
      </c>
      <c r="C1849" t="inlineStr">
        <is>
          <t>directorial skills with with my director</t>
        </is>
      </c>
      <c r="D1849">
        <f>HYPERLINK("https://www.youtube.com/watch?v=PEzNimdqsi8&amp;t=781s", "Go to time")</f>
        <v/>
      </c>
    </row>
    <row r="1850">
      <c r="A1850">
        <f>HYPERLINK("https://www.youtube.com/watch?v=PEzNimdqsi8", "Video")</f>
        <v/>
      </c>
      <c r="B1850" t="inlineStr">
        <is>
          <t>15:08</t>
        </is>
      </c>
      <c r="C1850" t="inlineStr">
        <is>
          <t>directing on Broadway you were casting I</t>
        </is>
      </c>
      <c r="D1850">
        <f>HYPERLINK("https://www.youtube.com/watch?v=PEzNimdqsi8&amp;t=908s", "Go to time")</f>
        <v/>
      </c>
    </row>
    <row r="1851">
      <c r="A1851">
        <f>HYPERLINK("https://www.youtube.com/watch?v=PEzNimdqsi8", "Video")</f>
        <v/>
      </c>
      <c r="B1851" t="inlineStr">
        <is>
          <t>15:37</t>
        </is>
      </c>
      <c r="C1851" t="inlineStr">
        <is>
          <t>to do the actor writer director writer</t>
        </is>
      </c>
      <c r="D1851">
        <f>HYPERLINK("https://www.youtube.com/watch?v=PEzNimdqsi8&amp;t=937s", "Go to time")</f>
        <v/>
      </c>
    </row>
    <row r="1852">
      <c r="A1852">
        <f>HYPERLINK("https://www.youtube.com/watch?v=PEzNimdqsi8", "Video")</f>
        <v/>
      </c>
      <c r="B1852" t="inlineStr">
        <is>
          <t>16:08</t>
        </is>
      </c>
      <c r="C1852" t="inlineStr">
        <is>
          <t>production company I'm a director a</t>
        </is>
      </c>
      <c r="D1852">
        <f>HYPERLINK("https://www.youtube.com/watch?v=PEzNimdqsi8&amp;t=968s", "Go to time")</f>
        <v/>
      </c>
    </row>
    <row r="1853">
      <c r="A1853">
        <f>HYPERLINK("https://www.youtube.com/watch?v=PEzNimdqsi8", "Video")</f>
        <v/>
      </c>
      <c r="B1853" t="inlineStr">
        <is>
          <t>16:29</t>
        </is>
      </c>
      <c r="C1853" t="inlineStr">
        <is>
          <t>directing as a young theater maker in my</t>
        </is>
      </c>
      <c r="D1853">
        <f>HYPERLINK("https://www.youtube.com/watch?v=PEzNimdqsi8&amp;t=989s", "Go to time")</f>
        <v/>
      </c>
    </row>
    <row r="1854">
      <c r="A1854">
        <f>HYPERLINK("https://www.youtube.com/watch?v=PEzNimdqsi8", "Video")</f>
        <v/>
      </c>
      <c r="B1854" t="inlineStr">
        <is>
          <t>21:45</t>
        </is>
      </c>
      <c r="C1854" t="inlineStr">
        <is>
          <t>different directors and even going back</t>
        </is>
      </c>
      <c r="D1854">
        <f>HYPERLINK("https://www.youtube.com/watch?v=PEzNimdqsi8&amp;t=1305s", "Go to time")</f>
        <v/>
      </c>
    </row>
    <row r="1855">
      <c r="A1855">
        <f>HYPERLINK("https://www.youtube.com/watch?v=PEzNimdqsi8", "Video")</f>
        <v/>
      </c>
      <c r="B1855" t="inlineStr">
        <is>
          <t>23:27</t>
        </is>
      </c>
      <c r="C1855" t="inlineStr">
        <is>
          <t>I learned things from every director I</t>
        </is>
      </c>
      <c r="D1855">
        <f>HYPERLINK("https://www.youtube.com/watch?v=PEzNimdqsi8&amp;t=1407s", "Go to time")</f>
        <v/>
      </c>
    </row>
    <row r="1856">
      <c r="A1856">
        <f>HYPERLINK("https://www.youtube.com/watch?v=PEzNimdqsi8", "Video")</f>
        <v/>
      </c>
      <c r="B1856" t="inlineStr">
        <is>
          <t>23:52</t>
        </is>
      </c>
      <c r="C1856" t="inlineStr">
        <is>
          <t>most talented directors on the planet</t>
        </is>
      </c>
      <c r="D1856">
        <f>HYPERLINK("https://www.youtube.com/watch?v=PEzNimdqsi8&amp;t=1432s", "Go to time")</f>
        <v/>
      </c>
    </row>
    <row r="1857">
      <c r="A1857">
        <f>HYPERLINK("https://www.youtube.com/watch?v=PEzNimdqsi8", "Video")</f>
        <v/>
      </c>
      <c r="B1857" t="inlineStr">
        <is>
          <t>23:59</t>
        </is>
      </c>
      <c r="C1857" t="inlineStr">
        <is>
          <t>a lot of these writer directors write</t>
        </is>
      </c>
      <c r="D1857">
        <f>HYPERLINK("https://www.youtube.com/watch?v=PEzNimdqsi8&amp;t=1439s", "Go to time")</f>
        <v/>
      </c>
    </row>
    <row r="1858">
      <c r="A1858">
        <f>HYPERLINK("https://www.youtube.com/watch?v=PEzNimdqsi8", "Video")</f>
        <v/>
      </c>
      <c r="B1858" t="inlineStr">
        <is>
          <t>24:44</t>
        </is>
      </c>
      <c r="C1858" t="inlineStr">
        <is>
          <t>those are the directors and the projects</t>
        </is>
      </c>
      <c r="D1858">
        <f>HYPERLINK("https://www.youtube.com/watch?v=PEzNimdqsi8&amp;t=1484s", "Go to time")</f>
        <v/>
      </c>
    </row>
    <row r="1859">
      <c r="A1859">
        <f>HYPERLINK("https://www.youtube.com/watch?v=PEzNimdqsi8", "Video")</f>
        <v/>
      </c>
      <c r="B1859" t="inlineStr">
        <is>
          <t>25:58</t>
        </is>
      </c>
      <c r="C1859" t="inlineStr">
        <is>
          <t>think that's the kind of director I am</t>
        </is>
      </c>
      <c r="D1859">
        <f>HYPERLINK("https://www.youtube.com/watch?v=PEzNimdqsi8&amp;t=1558s", "Go to time")</f>
        <v/>
      </c>
    </row>
    <row r="1860">
      <c r="A1860">
        <f>HYPERLINK("https://www.youtube.com/watch?v=bgon1Z4pzKw", "Video")</f>
        <v/>
      </c>
      <c r="B1860" t="inlineStr">
        <is>
          <t>0:57</t>
        </is>
      </c>
      <c r="C1860" t="inlineStr">
        <is>
          <t>the director's fifth collab with Robert</t>
        </is>
      </c>
      <c r="D1860">
        <f>HYPERLINK("https://www.youtube.com/watch?v=bgon1Z4pzKw&amp;t=57s", "Go to time")</f>
        <v/>
      </c>
    </row>
    <row r="1861">
      <c r="A1861">
        <f>HYPERLINK("https://www.youtube.com/watch?v=bgon1Z4pzKw", "Video")</f>
        <v/>
      </c>
      <c r="B1861" t="inlineStr">
        <is>
          <t>2:01</t>
        </is>
      </c>
      <c r="C1861" t="inlineStr">
        <is>
          <t>TV director but also included his</t>
        </is>
      </c>
      <c r="D1861">
        <f>HYPERLINK("https://www.youtube.com/watch?v=bgon1Z4pzKw&amp;t=121s", "Go to time")</f>
        <v/>
      </c>
    </row>
    <row r="1862">
      <c r="A1862">
        <f>HYPERLINK("https://www.youtube.com/watch?v=bgon1Z4pzKw", "Video")</f>
        <v/>
      </c>
      <c r="B1862" t="inlineStr">
        <is>
          <t>2:13</t>
        </is>
      </c>
      <c r="C1862" t="inlineStr">
        <is>
          <t>Driver director scorsi and star dairo</t>
        </is>
      </c>
      <c r="D1862">
        <f>HYPERLINK("https://www.youtube.com/watch?v=bgon1Z4pzKw&amp;t=133s", "Go to time")</f>
        <v/>
      </c>
    </row>
    <row r="1863">
      <c r="A1863">
        <f>HYPERLINK("https://www.youtube.com/watch?v=bgon1Z4pzKw", "Video")</f>
        <v/>
      </c>
      <c r="B1863" t="inlineStr">
        <is>
          <t>5:47</t>
        </is>
      </c>
      <c r="C1863" t="inlineStr">
        <is>
          <t>movie won Best Picture and best director</t>
        </is>
      </c>
      <c r="D1863">
        <f>HYPERLINK("https://www.youtube.com/watch?v=bgon1Z4pzKw&amp;t=347s", "Go to time")</f>
        <v/>
      </c>
    </row>
    <row r="1864">
      <c r="A1864">
        <f>HYPERLINK("https://www.youtube.com/watch?v=bgon1Z4pzKw", "Video")</f>
        <v/>
      </c>
      <c r="B1864" t="inlineStr">
        <is>
          <t>6:23</t>
        </is>
      </c>
      <c r="C1864" t="inlineStr">
        <is>
          <t>overdose that the director began to</t>
        </is>
      </c>
      <c r="D1864">
        <f>HYPERLINK("https://www.youtube.com/watch?v=bgon1Z4pzKw&amp;t=383s", "Go to time")</f>
        <v/>
      </c>
    </row>
    <row r="1865">
      <c r="A1865">
        <f>HYPERLINK("https://www.youtube.com/watch?v=bgon1Z4pzKw", "Video")</f>
        <v/>
      </c>
      <c r="B1865" t="inlineStr">
        <is>
          <t>13:25</t>
        </is>
      </c>
      <c r="C1865" t="inlineStr">
        <is>
          <t>first time the director worked with</t>
        </is>
      </c>
      <c r="D1865">
        <f>HYPERLINK("https://www.youtube.com/watch?v=bgon1Z4pzKw&amp;t=805s", "Go to time")</f>
        <v/>
      </c>
    </row>
    <row r="1866">
      <c r="A1866">
        <f>HYPERLINK("https://www.youtube.com/watch?v=UJMdjneHI0A", "Video")</f>
        <v/>
      </c>
      <c r="B1866" t="inlineStr">
        <is>
          <t>0:12</t>
        </is>
      </c>
      <c r="C1866" t="inlineStr">
        <is>
          <t>Direction it's a bomber ETA 1 minute C</t>
        </is>
      </c>
      <c r="D1866">
        <f>HYPERLINK("https://www.youtube.com/watch?v=UJMdjneHI0A&amp;t=12s", "Go to time")</f>
        <v/>
      </c>
    </row>
    <row r="1867">
      <c r="A1867">
        <f>HYPERLINK("https://www.youtube.com/watch?v=nJwKAhgWHOc", "Video")</f>
        <v/>
      </c>
      <c r="B1867" t="inlineStr">
        <is>
          <t>1:55</t>
        </is>
      </c>
      <c r="C1867" t="inlineStr">
        <is>
          <t>away who's got impact Check Direct Hit</t>
        </is>
      </c>
      <c r="D1867">
        <f>HYPERLINK("https://www.youtube.com/watch?v=nJwKAhgWHOc&amp;t=115s", "Go to time")</f>
        <v/>
      </c>
    </row>
    <row r="1868">
      <c r="A1868">
        <f>HYPERLINK("https://www.youtube.com/watch?v=nJwKAhgWHOc", "Video")</f>
        <v/>
      </c>
      <c r="B1868" t="inlineStr">
        <is>
          <t>1:58</t>
        </is>
      </c>
      <c r="C1868" t="inlineStr">
        <is>
          <t>Direct Hit that's Miracle number one</t>
        </is>
      </c>
      <c r="D1868">
        <f>HYPERLINK("https://www.youtube.com/watch?v=nJwKAhgWHOc&amp;t=118s", "Go to time")</f>
        <v/>
      </c>
    </row>
    <row r="1869">
      <c r="A1869">
        <f>HYPERLINK("https://www.youtube.com/watch?v=a6QMSQ9NtGM", "Video")</f>
        <v/>
      </c>
      <c r="B1869" t="inlineStr">
        <is>
          <t>0:24</t>
        </is>
      </c>
      <c r="C1869" t="inlineStr">
        <is>
          <t>Autobahn now directly behind the display</t>
        </is>
      </c>
      <c r="D1869">
        <f>HYPERLINK("https://www.youtube.com/watch?v=a6QMSQ9NtGM&amp;t=24s", "Go to time")</f>
        <v/>
      </c>
    </row>
    <row r="1870">
      <c r="A1870">
        <f>HYPERLINK("https://www.youtube.com/watch?v=xliLM3eaOa0", "Video")</f>
        <v/>
      </c>
      <c r="B1870" t="inlineStr">
        <is>
          <t>1:07</t>
        </is>
      </c>
      <c r="C1870" t="inlineStr">
        <is>
          <t>direction that was a 360. i overshot it</t>
        </is>
      </c>
      <c r="D1870">
        <f>HYPERLINK("https://www.youtube.com/watch?v=xliLM3eaOa0&amp;t=67s", "Go to time")</f>
        <v/>
      </c>
    </row>
    <row r="1871">
      <c r="A1871">
        <f>HYPERLINK("https://www.youtube.com/watch?v=MtKLq8kn7fA", "Video")</f>
        <v/>
      </c>
      <c r="B1871" t="inlineStr">
        <is>
          <t>1:15</t>
        </is>
      </c>
      <c r="C1871" t="inlineStr">
        <is>
          <t>directive it doesn't understand PID or</t>
        </is>
      </c>
      <c r="D1871">
        <f>HYPERLINK("https://www.youtube.com/watch?v=MtKLq8kn7fA&amp;t=75s", "Go to time")</f>
        <v/>
      </c>
    </row>
    <row r="1872">
      <c r="A1872">
        <f>HYPERLINK("https://www.youtube.com/watch?v=0FVuRP-y9wU", "Video")</f>
        <v/>
      </c>
      <c r="B1872" t="inlineStr">
        <is>
          <t>12:17</t>
        </is>
      </c>
      <c r="C1872" t="inlineStr">
        <is>
          <t>with the way I was directed than just</t>
        </is>
      </c>
      <c r="D1872">
        <f>HYPERLINK("https://www.youtube.com/watch?v=0FVuRP-y9wU&amp;t=737s", "Go to time")</f>
        <v/>
      </c>
    </row>
    <row r="1873">
      <c r="A1873">
        <f>HYPERLINK("https://www.youtube.com/watch?v=muyfZdps68Y", "Video")</f>
        <v/>
      </c>
      <c r="B1873" t="inlineStr">
        <is>
          <t>1:03</t>
        </is>
      </c>
      <c r="C1873" t="inlineStr">
        <is>
          <t>your gaze is very direct miss</t>
        </is>
      </c>
      <c r="D1873">
        <f>HYPERLINK("https://www.youtube.com/watch?v=muyfZdps68Y&amp;t=63s", "Go to time")</f>
        <v/>
      </c>
    </row>
    <row r="1874">
      <c r="A1874">
        <f>HYPERLINK("https://www.youtube.com/watch?v=79qdAq5f7zU", "Video")</f>
        <v/>
      </c>
      <c r="B1874" t="inlineStr">
        <is>
          <t>9:19</t>
        </is>
      </c>
      <c r="C1874" t="inlineStr">
        <is>
          <t>of the most influential action directors</t>
        </is>
      </c>
      <c r="D1874">
        <f>HYPERLINK("https://www.youtube.com/watch?v=79qdAq5f7zU&amp;t=559s", "Go to time")</f>
        <v/>
      </c>
    </row>
    <row r="1875">
      <c r="A1875">
        <f>HYPERLINK("https://www.youtube.com/watch?v=79qdAq5f7zU", "Video")</f>
        <v/>
      </c>
      <c r="B1875" t="inlineStr">
        <is>
          <t>11:13</t>
        </is>
      </c>
      <c r="C1875" t="inlineStr">
        <is>
          <t>approached to direct but once he visited</t>
        </is>
      </c>
      <c r="D1875">
        <f>HYPERLINK("https://www.youtube.com/watch?v=79qdAq5f7zU&amp;t=673s", "Go to time")</f>
        <v/>
      </c>
    </row>
    <row r="1876">
      <c r="A1876">
        <f>HYPERLINK("https://www.youtube.com/watch?v=79qdAq5f7zU", "Video")</f>
        <v/>
      </c>
      <c r="B1876" t="inlineStr">
        <is>
          <t>13:14</t>
        </is>
      </c>
      <c r="C1876" t="inlineStr">
        <is>
          <t>real script and director john</t>
        </is>
      </c>
      <c r="D1876">
        <f>HYPERLINK("https://www.youtube.com/watch?v=79qdAq5f7zU&amp;t=794s", "Go to time")</f>
        <v/>
      </c>
    </row>
    <row r="1877">
      <c r="A1877">
        <f>HYPERLINK("https://www.youtube.com/watch?v=79qdAq5f7zU", "Video")</f>
        <v/>
      </c>
      <c r="B1877" t="inlineStr">
        <is>
          <t>16:25</t>
        </is>
      </c>
      <c r="C1877" t="inlineStr">
        <is>
          <t>lived i repeat directed by doug lyman</t>
        </is>
      </c>
      <c r="D1877">
        <f>HYPERLINK("https://www.youtube.com/watch?v=79qdAq5f7zU&amp;t=985s", "Go to time")</f>
        <v/>
      </c>
    </row>
    <row r="1878">
      <c r="A1878">
        <f>HYPERLINK("https://www.youtube.com/watch?v=79qdAq5f7zU", "Video")</f>
        <v/>
      </c>
      <c r="B1878" t="inlineStr">
        <is>
          <t>20:27</t>
        </is>
      </c>
      <c r="C1878" t="inlineStr">
        <is>
          <t>director kurt wimmer depicts the firearm</t>
        </is>
      </c>
      <c r="D1878">
        <f>HYPERLINK("https://www.youtube.com/watch?v=79qdAq5f7zU&amp;t=1227s", "Go to time")</f>
        <v/>
      </c>
    </row>
    <row r="1879">
      <c r="A1879">
        <f>HYPERLINK("https://www.youtube.com/watch?v=79qdAq5f7zU", "Video")</f>
        <v/>
      </c>
      <c r="B1879" t="inlineStr">
        <is>
          <t>21:42</t>
        </is>
      </c>
      <c r="C1879" t="inlineStr">
        <is>
          <t>robot director neil blomkamp was already</t>
        </is>
      </c>
      <c r="D1879">
        <f>HYPERLINK("https://www.youtube.com/watch?v=79qdAq5f7zU&amp;t=1302s", "Go to time")</f>
        <v/>
      </c>
    </row>
    <row r="1880">
      <c r="A1880">
        <f>HYPERLINK("https://www.youtube.com/watch?v=79qdAq5f7zU", "Video")</f>
        <v/>
      </c>
      <c r="B1880" t="inlineStr">
        <is>
          <t>21:57</t>
        </is>
      </c>
      <c r="C1880" t="inlineStr">
        <is>
          <t>really supposed to direct a film</t>
        </is>
      </c>
      <c r="D1880">
        <f>HYPERLINK("https://www.youtube.com/watch?v=79qdAq5f7zU&amp;t=1317s", "Go to time")</f>
        <v/>
      </c>
    </row>
    <row r="1881">
      <c r="A1881">
        <f>HYPERLINK("https://www.youtube.com/watch?v=79qdAq5f7zU", "Video")</f>
        <v/>
      </c>
      <c r="B1881" t="inlineStr">
        <is>
          <t>23:34</t>
        </is>
      </c>
      <c r="C1881" t="inlineStr">
        <is>
          <t>2013 monster film pacific rim directed</t>
        </is>
      </c>
      <c r="D1881">
        <f>HYPERLINK("https://www.youtube.com/watch?v=79qdAq5f7zU&amp;t=1414s", "Go to time")</f>
        <v/>
      </c>
    </row>
    <row r="1882">
      <c r="A1882">
        <f>HYPERLINK("https://www.youtube.com/watch?v=79qdAq5f7zU", "Video")</f>
        <v/>
      </c>
      <c r="B1882" t="inlineStr">
        <is>
          <t>24:48</t>
        </is>
      </c>
      <c r="C1882" t="inlineStr">
        <is>
          <t>by 3210 studios the acclaimed director</t>
        </is>
      </c>
      <c r="D1882">
        <f>HYPERLINK("https://www.youtube.com/watch?v=79qdAq5f7zU&amp;t=1488s", "Go to time")</f>
        <v/>
      </c>
    </row>
    <row r="1883">
      <c r="A1883">
        <f>HYPERLINK("https://www.youtube.com/watch?v=y2C7VNd8xn8", "Video")</f>
        <v/>
      </c>
      <c r="B1883" t="inlineStr">
        <is>
          <t>1:52</t>
        </is>
      </c>
      <c r="C1883" t="inlineStr">
        <is>
          <t>director about it because it's based on</t>
        </is>
      </c>
      <c r="D1883">
        <f>HYPERLINK("https://www.youtube.com/watch?v=y2C7VNd8xn8&amp;t=112s", "Go to time")</f>
        <v/>
      </c>
    </row>
    <row r="1884">
      <c r="A1884">
        <f>HYPERLINK("https://www.youtube.com/watch?v=y2C7VNd8xn8", "Video")</f>
        <v/>
      </c>
      <c r="B1884" t="inlineStr">
        <is>
          <t>2:29</t>
        </is>
      </c>
      <c r="C1884" t="inlineStr">
        <is>
          <t>director and sort of like what he wanted</t>
        </is>
      </c>
      <c r="D1884">
        <f>HYPERLINK("https://www.youtube.com/watch?v=y2C7VNd8xn8&amp;t=149s", "Go to time")</f>
        <v/>
      </c>
    </row>
    <row r="1885">
      <c r="A1885">
        <f>HYPERLINK("https://www.youtube.com/watch?v=y2C7VNd8xn8", "Video")</f>
        <v/>
      </c>
      <c r="B1885" t="inlineStr">
        <is>
          <t>12:37</t>
        </is>
      </c>
      <c r="C1885" t="inlineStr">
        <is>
          <t>first directing yeah and that was a</t>
        </is>
      </c>
      <c r="D1885">
        <f>HYPERLINK("https://www.youtube.com/watch?v=y2C7VNd8xn8&amp;t=757s", "Go to time")</f>
        <v/>
      </c>
    </row>
    <row r="1886">
      <c r="A1886">
        <f>HYPERLINK("https://www.youtube.com/watch?v=y2C7VNd8xn8", "Video")</f>
        <v/>
      </c>
      <c r="B1886" t="inlineStr">
        <is>
          <t>12:53</t>
        </is>
      </c>
      <c r="C1886" t="inlineStr">
        <is>
          <t>that with actors when they're directed</t>
        </is>
      </c>
      <c r="D1886">
        <f>HYPERLINK("https://www.youtube.com/watch?v=y2C7VNd8xn8&amp;t=773s", "Go to time")</f>
        <v/>
      </c>
    </row>
    <row r="1887">
      <c r="A1887">
        <f>HYPERLINK("https://www.youtube.com/watch?v=y2C7VNd8xn8", "Video")</f>
        <v/>
      </c>
      <c r="B1887" t="inlineStr">
        <is>
          <t>24:52</t>
        </is>
      </c>
      <c r="C1887" t="inlineStr">
        <is>
          <t>directors and you've seen Hollywood both</t>
        </is>
      </c>
      <c r="D1887">
        <f>HYPERLINK("https://www.youtube.com/watch?v=y2C7VNd8xn8&amp;t=1492s", "Go to time")</f>
        <v/>
      </c>
    </row>
    <row r="1888">
      <c r="A1888">
        <f>HYPERLINK("https://www.youtube.com/watch?v=y2C7VNd8xn8", "Video")</f>
        <v/>
      </c>
      <c r="B1888" t="inlineStr">
        <is>
          <t>26:26</t>
        </is>
      </c>
      <c r="C1888" t="inlineStr">
        <is>
          <t>incredible directors and somec</t>
        </is>
      </c>
      <c r="D1888">
        <f>HYPERLINK("https://www.youtube.com/watch?v=y2C7VNd8xn8&amp;t=1586s", "Go to time")</f>
        <v/>
      </c>
    </row>
    <row r="1889">
      <c r="A1889">
        <f>HYPERLINK("https://www.youtube.com/watch?v=y2C7VNd8xn8", "Video")</f>
        <v/>
      </c>
      <c r="B1889" t="inlineStr">
        <is>
          <t>26:35</t>
        </is>
      </c>
      <c r="C1889" t="inlineStr">
        <is>
          <t>the best bit of direction that you've</t>
        </is>
      </c>
      <c r="D1889">
        <f>HYPERLINK("https://www.youtube.com/watch?v=y2C7VNd8xn8&amp;t=1595s", "Go to time")</f>
        <v/>
      </c>
    </row>
    <row r="1890">
      <c r="A1890">
        <f>HYPERLINK("https://www.youtube.com/watch?v=y2C7VNd8xn8", "Video")</f>
        <v/>
      </c>
      <c r="B1890" t="inlineStr">
        <is>
          <t>26:36</t>
        </is>
      </c>
      <c r="C1890" t="inlineStr">
        <is>
          <t>gotten from a director in the course of</t>
        </is>
      </c>
      <c r="D1890">
        <f>HYPERLINK("https://www.youtube.com/watch?v=y2C7VNd8xn8&amp;t=1596s", "Go to time")</f>
        <v/>
      </c>
    </row>
    <row r="1891">
      <c r="A1891">
        <f>HYPERLINK("https://www.youtube.com/watch?v=y2C7VNd8xn8", "Video")</f>
        <v/>
      </c>
      <c r="B1891" t="inlineStr">
        <is>
          <t>26:44</t>
        </is>
      </c>
      <c r="C1891" t="inlineStr">
        <is>
          <t>succinct Direction don't give me a don't</t>
        </is>
      </c>
      <c r="D1891">
        <f>HYPERLINK("https://www.youtube.com/watch?v=y2C7VNd8xn8&amp;t=1604s", "Go to time")</f>
        <v/>
      </c>
    </row>
    <row r="1892">
      <c r="A1892">
        <f>HYPERLINK("https://www.youtube.com/watch?v=y2C7VNd8xn8", "Video")</f>
        <v/>
      </c>
      <c r="B1892" t="inlineStr">
        <is>
          <t>27:57</t>
        </is>
      </c>
      <c r="C1892" t="inlineStr">
        <is>
          <t>director</t>
        </is>
      </c>
      <c r="D1892">
        <f>HYPERLINK("https://www.youtube.com/watch?v=y2C7VNd8xn8&amp;t=1677s", "Go to time")</f>
        <v/>
      </c>
    </row>
    <row r="1893">
      <c r="A1893">
        <f>HYPERLINK("https://www.youtube.com/watch?v=Qwy13CLQ5RM", "Video")</f>
        <v/>
      </c>
      <c r="B1893" t="inlineStr">
        <is>
          <t>5:54</t>
        </is>
      </c>
      <c r="C1893" t="inlineStr">
        <is>
          <t>film written and directed by Kenneth</t>
        </is>
      </c>
      <c r="D1893">
        <f>HYPERLINK("https://www.youtube.com/watch?v=Qwy13CLQ5RM&amp;t=354s", "Go to time")</f>
        <v/>
      </c>
    </row>
    <row r="1894">
      <c r="A1894">
        <f>HYPERLINK("https://www.youtube.com/watch?v=Qwy13CLQ5RM", "Video")</f>
        <v/>
      </c>
      <c r="B1894" t="inlineStr">
        <is>
          <t>7:13</t>
        </is>
      </c>
      <c r="C1894" t="inlineStr">
        <is>
          <t>that includes best director for Damien</t>
        </is>
      </c>
      <c r="D1894">
        <f>HYPERLINK("https://www.youtube.com/watch?v=Qwy13CLQ5RM&amp;t=433s", "Go to time")</f>
        <v/>
      </c>
    </row>
    <row r="1895">
      <c r="A1895">
        <f>HYPERLINK("https://www.youtube.com/watch?v=Qwy13CLQ5RM", "Video")</f>
        <v/>
      </c>
      <c r="B1895" t="inlineStr">
        <is>
          <t>9:44</t>
        </is>
      </c>
      <c r="C1895" t="inlineStr">
        <is>
          <t>so close to its release that director</t>
        </is>
      </c>
      <c r="D1895">
        <f>HYPERLINK("https://www.youtube.com/watch?v=Qwy13CLQ5RM&amp;t=584s", "Go to time")</f>
        <v/>
      </c>
    </row>
    <row r="1896">
      <c r="A1896">
        <f>HYPERLINK("https://www.youtube.com/watch?v=Qwy13CLQ5RM", "Video")</f>
        <v/>
      </c>
      <c r="B1896" t="inlineStr">
        <is>
          <t>10:07</t>
        </is>
      </c>
      <c r="C1896" t="inlineStr">
        <is>
          <t>director James Cameron offered the lead</t>
        </is>
      </c>
      <c r="D1896">
        <f>HYPERLINK("https://www.youtube.com/watch?v=Qwy13CLQ5RM&amp;t=607s", "Go to time")</f>
        <v/>
      </c>
    </row>
    <row r="1897">
      <c r="A1897">
        <f>HYPERLINK("https://www.youtube.com/watch?v=Qwy13CLQ5RM", "Video")</f>
        <v/>
      </c>
      <c r="B1897" t="inlineStr">
        <is>
          <t>13:39</t>
        </is>
      </c>
      <c r="C1897" t="inlineStr">
        <is>
          <t>black director and Ryan coogler it also</t>
        </is>
      </c>
      <c r="D1897">
        <f>HYPERLINK("https://www.youtube.com/watch?v=Qwy13CLQ5RM&amp;t=819s", "Go to time")</f>
        <v/>
      </c>
    </row>
    <row r="1898">
      <c r="A1898">
        <f>HYPERLINK("https://www.youtube.com/watch?v=Xozv95QM-Wg", "Video")</f>
        <v/>
      </c>
      <c r="B1898" t="inlineStr">
        <is>
          <t>4:10</t>
        </is>
      </c>
      <c r="C1898" t="inlineStr">
        <is>
          <t>the the Michael Bay Direction but and</t>
        </is>
      </c>
      <c r="D1898">
        <f>HYPERLINK("https://www.youtube.com/watch?v=Xozv95QM-Wg&amp;t=250s", "Go to time")</f>
        <v/>
      </c>
    </row>
    <row r="1899">
      <c r="A1899">
        <f>HYPERLINK("https://www.youtube.com/watch?v=Xozv95QM-Wg", "Video")</f>
        <v/>
      </c>
      <c r="B1899" t="inlineStr">
        <is>
          <t>10:04</t>
        </is>
      </c>
      <c r="C1899" t="inlineStr">
        <is>
          <t>Tim story directed from the barbecue yes</t>
        </is>
      </c>
      <c r="D1899">
        <f>HYPERLINK("https://www.youtube.com/watch?v=Xozv95QM-Wg&amp;t=604s", "Go to time")</f>
        <v/>
      </c>
    </row>
    <row r="1900">
      <c r="A1900">
        <f>HYPERLINK("https://www.youtube.com/watch?v=Xozv95QM-Wg", "Video")</f>
        <v/>
      </c>
      <c r="B1900" t="inlineStr">
        <is>
          <t>20:15</t>
        </is>
      </c>
      <c r="C1900" t="inlineStr">
        <is>
          <t>doing those he is the director of The</t>
        </is>
      </c>
      <c r="D1900">
        <f>HYPERLINK("https://www.youtube.com/watch?v=Xozv95QM-Wg&amp;t=1215s", "Go to time")</f>
        <v/>
      </c>
    </row>
    <row r="1901">
      <c r="A1901">
        <f>HYPERLINK("https://www.youtube.com/watch?v=QdorfKTD_SQ", "Video")</f>
        <v/>
      </c>
      <c r="B1901" t="inlineStr">
        <is>
          <t>0:34</t>
        </is>
      </c>
      <c r="C1901" t="inlineStr">
        <is>
          <t>us in the right direction to kick things</t>
        </is>
      </c>
      <c r="D1901">
        <f>HYPERLINK("https://www.youtube.com/watch?v=QdorfKTD_SQ&amp;t=34s", "Go to time")</f>
        <v/>
      </c>
    </row>
    <row r="1902">
      <c r="A1902">
        <f>HYPERLINK("https://www.youtube.com/watch?v=QdorfKTD_SQ", "Video")</f>
        <v/>
      </c>
      <c r="B1902" t="inlineStr">
        <is>
          <t>3:37</t>
        </is>
      </c>
      <c r="C1902" t="inlineStr">
        <is>
          <t>this fresh film was directed by un woo</t>
        </is>
      </c>
      <c r="D1902">
        <f>HYPERLINK("https://www.youtube.com/watch?v=QdorfKTD_SQ&amp;t=217s", "Go to time")</f>
        <v/>
      </c>
    </row>
    <row r="1903">
      <c r="A1903">
        <f>HYPERLINK("https://www.youtube.com/watch?v=QdorfKTD_SQ", "Video")</f>
        <v/>
      </c>
      <c r="B1903" t="inlineStr">
        <is>
          <t>3:59</t>
        </is>
      </c>
      <c r="C1903" t="inlineStr">
        <is>
          <t>from 2007 was directed by Danny Boyle</t>
        </is>
      </c>
      <c r="D1903">
        <f>HYPERLINK("https://www.youtube.com/watch?v=QdorfKTD_SQ&amp;t=239s", "Go to time")</f>
        <v/>
      </c>
    </row>
    <row r="1904">
      <c r="A1904">
        <f>HYPERLINK("https://www.youtube.com/watch?v=QdorfKTD_SQ", "Video")</f>
        <v/>
      </c>
      <c r="B1904" t="inlineStr">
        <is>
          <t>6:41</t>
        </is>
      </c>
      <c r="C1904" t="inlineStr">
        <is>
          <t>and director not to mention the First</t>
        </is>
      </c>
      <c r="D1904">
        <f>HYPERLINK("https://www.youtube.com/watch?v=QdorfKTD_SQ&amp;t=401s", "Go to time")</f>
        <v/>
      </c>
    </row>
    <row r="1905">
      <c r="A1905">
        <f>HYPERLINK("https://www.youtube.com/watch?v=QdorfKTD_SQ", "Video")</f>
        <v/>
      </c>
      <c r="B1905" t="inlineStr">
        <is>
          <t>9:11</t>
        </is>
      </c>
      <c r="C1905" t="inlineStr">
        <is>
          <t>along with Wu yo was part of director</t>
        </is>
      </c>
      <c r="D1905">
        <f>HYPERLINK("https://www.youtube.com/watch?v=QdorfKTD_SQ&amp;t=551s", "Go to time")</f>
        <v/>
      </c>
    </row>
    <row r="1906">
      <c r="A1906">
        <f>HYPERLINK("https://www.youtube.com/watch?v=QdorfKTD_SQ", "Video")</f>
        <v/>
      </c>
      <c r="B1906" t="inlineStr">
        <is>
          <t>9:47</t>
        </is>
      </c>
      <c r="C1906" t="inlineStr">
        <is>
          <t>police's Interpol director played by</t>
        </is>
      </c>
      <c r="D1906">
        <f>HYPERLINK("https://www.youtube.com/watch?v=QdorfKTD_SQ&amp;t=587s", "Go to time")</f>
        <v/>
      </c>
    </row>
    <row r="1907">
      <c r="A1907">
        <f>HYPERLINK("https://www.youtube.com/watch?v=QdorfKTD_SQ", "Video")</f>
        <v/>
      </c>
      <c r="B1907" t="inlineStr">
        <is>
          <t>13:28</t>
        </is>
      </c>
      <c r="C1907" t="inlineStr">
        <is>
          <t>really helps cement director Ang Lee as</t>
        </is>
      </c>
      <c r="D1907">
        <f>HYPERLINK("https://www.youtube.com/watch?v=QdorfKTD_SQ&amp;t=808s", "Go to time")</f>
        <v/>
      </c>
    </row>
    <row r="1908">
      <c r="A1908">
        <f>HYPERLINK("https://www.youtube.com/watch?v=rPWbRdk4nlY", "Video")</f>
        <v/>
      </c>
      <c r="B1908" t="inlineStr">
        <is>
          <t>13:13</t>
        </is>
      </c>
      <c r="C1908" t="inlineStr">
        <is>
          <t>visual director like Scott sometimes</t>
        </is>
      </c>
      <c r="D1908">
        <f>HYPERLINK("https://www.youtube.com/watch?v=rPWbRdk4nlY&amp;t=793s", "Go to time")</f>
        <v/>
      </c>
    </row>
    <row r="1909">
      <c r="A1909">
        <f>HYPERLINK("https://www.youtube.com/watch?v=rPWbRdk4nlY", "Video")</f>
        <v/>
      </c>
      <c r="B1909" t="inlineStr">
        <is>
          <t>20:22</t>
        </is>
      </c>
      <c r="C1909" t="inlineStr">
        <is>
          <t>talky time of him being a director he</t>
        </is>
      </c>
      <c r="D1909">
        <f>HYPERLINK("https://www.youtube.com/watch?v=rPWbRdk4nlY&amp;t=1222s", "Go to time")</f>
        <v/>
      </c>
    </row>
    <row r="1910">
      <c r="A1910">
        <f>HYPERLINK("https://www.youtube.com/watch?v=rPWbRdk4nlY", "Video")</f>
        <v/>
      </c>
      <c r="B1910" t="inlineStr">
        <is>
          <t>21:01</t>
        </is>
      </c>
      <c r="C1910" t="inlineStr">
        <is>
          <t>Bowl got directed that feels like</t>
        </is>
      </c>
      <c r="D1910">
        <f>HYPERLINK("https://www.youtube.com/watch?v=rPWbRdk4nlY&amp;t=1261s", "Go to time")</f>
        <v/>
      </c>
    </row>
    <row r="1911">
      <c r="A1911">
        <f>HYPERLINK("https://www.youtube.com/watch?v=rPWbRdk4nlY", "Video")</f>
        <v/>
      </c>
      <c r="B1911" t="inlineStr">
        <is>
          <t>25:29</t>
        </is>
      </c>
      <c r="C1911" t="inlineStr">
        <is>
          <t>Direction because I felt like I was put</t>
        </is>
      </c>
      <c r="D1911">
        <f>HYPERLINK("https://www.youtube.com/watch?v=rPWbRdk4nlY&amp;t=1529s", "Go to time")</f>
        <v/>
      </c>
    </row>
    <row r="1912">
      <c r="A1912">
        <f>HYPERLINK("https://www.youtube.com/watch?v=rPWbRdk4nlY", "Video")</f>
        <v/>
      </c>
      <c r="B1912" t="inlineStr">
        <is>
          <t>29:51</t>
        </is>
      </c>
      <c r="C1912" t="inlineStr">
        <is>
          <t>director's cutor which I'm told is</t>
        </is>
      </c>
      <c r="D1912">
        <f>HYPERLINK("https://www.youtube.com/watch?v=rPWbRdk4nlY&amp;t=1791s", "Go to time")</f>
        <v/>
      </c>
    </row>
    <row r="1913">
      <c r="A1913">
        <f>HYPERLINK("https://www.youtube.com/watch?v=rPWbRdk4nlY", "Video")</f>
        <v/>
      </c>
      <c r="B1913" t="inlineStr">
        <is>
          <t>29:59</t>
        </is>
      </c>
      <c r="C1913" t="inlineStr">
        <is>
          <t>see Legend see the director I think rley</t>
        </is>
      </c>
      <c r="D1913">
        <f>HYPERLINK("https://www.youtube.com/watch?v=rPWbRdk4nlY&amp;t=1799s", "Go to time")</f>
        <v/>
      </c>
    </row>
    <row r="1914">
      <c r="A1914">
        <f>HYPERLINK("https://www.youtube.com/watch?v=rPWbRdk4nlY", "Video")</f>
        <v/>
      </c>
      <c r="B1914" t="inlineStr">
        <is>
          <t>30:06</t>
        </is>
      </c>
      <c r="C1914" t="inlineStr">
        <is>
          <t>the director's cut I'm very curious on</t>
        </is>
      </c>
      <c r="D1914">
        <f>HYPERLINK("https://www.youtube.com/watch?v=rPWbRdk4nlY&amp;t=1806s", "Go to time")</f>
        <v/>
      </c>
    </row>
    <row r="1915">
      <c r="A1915">
        <f>HYPERLINK("https://www.youtube.com/watch?v=rPWbRdk4nlY", "Video")</f>
        <v/>
      </c>
      <c r="B1915" t="inlineStr">
        <is>
          <t>30:08</t>
        </is>
      </c>
      <c r="C1915" t="inlineStr">
        <is>
          <t>your thoughts on it so the director's</t>
        </is>
      </c>
      <c r="D1915">
        <f>HYPERLINK("https://www.youtube.com/watch?v=rPWbRdk4nlY&amp;t=1808s", "Go to time")</f>
        <v/>
      </c>
    </row>
    <row r="1916">
      <c r="A1916">
        <f>HYPERLINK("https://www.youtube.com/watch?v=rPWbRdk4nlY", "Video")</f>
        <v/>
      </c>
      <c r="B1916" t="inlineStr">
        <is>
          <t>30:15</t>
        </is>
      </c>
      <c r="C1916" t="inlineStr">
        <is>
          <t>together the end credits role director's</t>
        </is>
      </c>
      <c r="D1916">
        <f>HYPERLINK("https://www.youtube.com/watch?v=rPWbRdk4nlY&amp;t=1815s", "Go to time")</f>
        <v/>
      </c>
    </row>
    <row r="1917">
      <c r="A1917">
        <f>HYPERLINK("https://www.youtube.com/watch?v=rPWbRdk4nlY", "Video")</f>
        <v/>
      </c>
      <c r="B1917" t="inlineStr">
        <is>
          <t>34:17</t>
        </is>
      </c>
      <c r="C1917" t="inlineStr">
        <is>
          <t>about what the director's cut was going</t>
        </is>
      </c>
      <c r="D1917">
        <f>HYPERLINK("https://www.youtube.com/watch?v=rPWbRdk4nlY&amp;t=2057s", "Go to time")</f>
        <v/>
      </c>
    </row>
    <row r="1918">
      <c r="A1918">
        <f>HYPERLINK("https://www.youtube.com/watch?v=rPWbRdk4nlY", "Video")</f>
        <v/>
      </c>
      <c r="B1918" t="inlineStr">
        <is>
          <t>34:40</t>
        </is>
      </c>
      <c r="C1918" t="inlineStr">
        <is>
          <t>story and the director wasn't on board</t>
        </is>
      </c>
      <c r="D1918">
        <f>HYPERLINK("https://www.youtube.com/watch?v=rPWbRdk4nlY&amp;t=2080s", "Go to time")</f>
        <v/>
      </c>
    </row>
    <row r="1919">
      <c r="A1919">
        <f>HYPERLINK("https://www.youtube.com/watch?v=6V3vY7TW4S8", "Video")</f>
        <v/>
      </c>
      <c r="B1919" t="inlineStr">
        <is>
          <t>25:49</t>
        </is>
      </c>
      <c r="C1919" t="inlineStr">
        <is>
          <t>director at helping spot these people I</t>
        </is>
      </c>
      <c r="D1919">
        <f>HYPERLINK("https://www.youtube.com/watch?v=6V3vY7TW4S8&amp;t=1549s", "Go to time")</f>
        <v/>
      </c>
    </row>
    <row r="1920">
      <c r="A1920">
        <f>HYPERLINK("https://www.youtube.com/watch?v=6V3vY7TW4S8", "Video")</f>
        <v/>
      </c>
      <c r="B1920" t="inlineStr">
        <is>
          <t>28:53</t>
        </is>
      </c>
      <c r="C1920" t="inlineStr">
        <is>
          <t>to not feel they were directed at him</t>
        </is>
      </c>
      <c r="D1920">
        <f>HYPERLINK("https://www.youtube.com/watch?v=6V3vY7TW4S8&amp;t=1733s", "Go to time")</f>
        <v/>
      </c>
    </row>
    <row r="1921">
      <c r="A1921">
        <f>HYPERLINK("https://www.youtube.com/watch?v=6V3vY7TW4S8", "Video")</f>
        <v/>
      </c>
      <c r="B1921" t="inlineStr">
        <is>
          <t>44:47</t>
        </is>
      </c>
      <c r="C1921" t="inlineStr">
        <is>
          <t>the audience score the movie is directed</t>
        </is>
      </c>
      <c r="D1921">
        <f>HYPERLINK("https://www.youtube.com/watch?v=6V3vY7TW4S8&amp;t=2687s", "Go to time")</f>
        <v/>
      </c>
    </row>
    <row r="1922">
      <c r="A1922">
        <f>HYPERLINK("https://www.youtube.com/watch?v=6V3vY7TW4S8", "Video")</f>
        <v/>
      </c>
      <c r="B1922" t="inlineStr">
        <is>
          <t>44:48</t>
        </is>
      </c>
      <c r="C1922" t="inlineStr">
        <is>
          <t>by Tony Scott personal favorite director</t>
        </is>
      </c>
      <c r="D1922">
        <f>HYPERLINK("https://www.youtube.com/watch?v=6V3vY7TW4S8&amp;t=2688s", "Go to time")</f>
        <v/>
      </c>
    </row>
    <row r="1923">
      <c r="A1923">
        <f>HYPERLINK("https://www.youtube.com/watch?v=lOhis3kNJSE", "Video")</f>
        <v/>
      </c>
      <c r="B1923" t="inlineStr">
        <is>
          <t>1:39</t>
        </is>
      </c>
      <c r="C1923" t="inlineStr">
        <is>
          <t>was directed by accomplished</t>
        </is>
      </c>
      <c r="D1923">
        <f>HYPERLINK("https://www.youtube.com/watch?v=lOhis3kNJSE&amp;t=99s", "Go to time")</f>
        <v/>
      </c>
    </row>
    <row r="1924">
      <c r="A1924">
        <f>HYPERLINK("https://www.youtube.com/watch?v=lOhis3kNJSE", "Video")</f>
        <v/>
      </c>
      <c r="B1924" t="inlineStr">
        <is>
          <t>3:45</t>
        </is>
      </c>
      <c r="C1924" t="inlineStr">
        <is>
          <t>directed by david onspon in his</t>
        </is>
      </c>
      <c r="D1924">
        <f>HYPERLINK("https://www.youtube.com/watch?v=lOhis3kNJSE&amp;t=225s", "Go to time")</f>
        <v/>
      </c>
    </row>
    <row r="1925">
      <c r="A1925">
        <f>HYPERLINK("https://www.youtube.com/watch?v=lOhis3kNJSE", "Video")</f>
        <v/>
      </c>
      <c r="B1925" t="inlineStr">
        <is>
          <t>3:47</t>
        </is>
      </c>
      <c r="C1925" t="inlineStr">
        <is>
          <t>directorial debut who would go on to</t>
        </is>
      </c>
      <c r="D1925">
        <f>HYPERLINK("https://www.youtube.com/watch?v=lOhis3kNJSE&amp;t=227s", "Go to time")</f>
        <v/>
      </c>
    </row>
    <row r="1926">
      <c r="A1926">
        <f>HYPERLINK("https://www.youtube.com/watch?v=lOhis3kNJSE", "Video")</f>
        <v/>
      </c>
      <c r="B1926" t="inlineStr">
        <is>
          <t>3:49</t>
        </is>
      </c>
      <c r="C1926" t="inlineStr">
        <is>
          <t>direct another epic sports movie with a</t>
        </is>
      </c>
      <c r="D1926">
        <f>HYPERLINK("https://www.youtube.com/watch?v=lOhis3kNJSE&amp;t=229s", "Go to time")</f>
        <v/>
      </c>
    </row>
    <row r="1927">
      <c r="A1927">
        <f>HYPERLINK("https://www.youtube.com/watch?v=lOhis3kNJSE", "Video")</f>
        <v/>
      </c>
      <c r="B1927" t="inlineStr">
        <is>
          <t>6:18</t>
        </is>
      </c>
      <c r="C1927" t="inlineStr">
        <is>
          <t>ludacris and directed by ward cyril who</t>
        </is>
      </c>
      <c r="D1927">
        <f>HYPERLINK("https://www.youtube.com/watch?v=lOhis3kNJSE&amp;t=378s", "Go to time")</f>
        <v/>
      </c>
    </row>
    <row r="1928">
      <c r="A1928">
        <f>HYPERLINK("https://www.youtube.com/watch?v=lOhis3kNJSE", "Video")</f>
        <v/>
      </c>
      <c r="B1928" t="inlineStr">
        <is>
          <t>8:18</t>
        </is>
      </c>
      <c r="C1928" t="inlineStr">
        <is>
          <t>directed by gavin o'connor who also</t>
        </is>
      </c>
      <c r="D1928">
        <f>HYPERLINK("https://www.youtube.com/watch?v=lOhis3kNJSE&amp;t=498s", "Go to time")</f>
        <v/>
      </c>
    </row>
    <row r="1929">
      <c r="A1929">
        <f>HYPERLINK("https://www.youtube.com/watch?v=lOhis3kNJSE", "Video")</f>
        <v/>
      </c>
      <c r="B1929" t="inlineStr">
        <is>
          <t>8:20</t>
        </is>
      </c>
      <c r="C1929" t="inlineStr">
        <is>
          <t>directed the 2004 hockey classic miracle</t>
        </is>
      </c>
      <c r="D1929">
        <f>HYPERLINK("https://www.youtube.com/watch?v=lOhis3kNJSE&amp;t=500s", "Go to time")</f>
        <v/>
      </c>
    </row>
    <row r="1930">
      <c r="A1930">
        <f>HYPERLINK("https://www.youtube.com/watch?v=lOhis3kNJSE", "Video")</f>
        <v/>
      </c>
      <c r="B1930" t="inlineStr">
        <is>
          <t>10:54</t>
        </is>
      </c>
      <c r="C1930" t="inlineStr">
        <is>
          <t>film which was written and directed by</t>
        </is>
      </c>
      <c r="D1930">
        <f>HYPERLINK("https://www.youtube.com/watch?v=lOhis3kNJSE&amp;t=654s", "Go to time")</f>
        <v/>
      </c>
    </row>
    <row r="1931">
      <c r="A1931">
        <f>HYPERLINK("https://www.youtube.com/watch?v=lOhis3kNJSE", "Video")</f>
        <v/>
      </c>
      <c r="B1931" t="inlineStr">
        <is>
          <t>10:56</t>
        </is>
      </c>
      <c r="C1931" t="inlineStr">
        <is>
          <t>gina prince bythwood in her directorial</t>
        </is>
      </c>
      <c r="D1931">
        <f>HYPERLINK("https://www.youtube.com/watch?v=lOhis3kNJSE&amp;t=656s", "Go to time")</f>
        <v/>
      </c>
    </row>
    <row r="1932">
      <c r="A1932">
        <f>HYPERLINK("https://www.youtube.com/watch?v=lOhis3kNJSE", "Video")</f>
        <v/>
      </c>
      <c r="B1932" t="inlineStr">
        <is>
          <t>11:44</t>
        </is>
      </c>
      <c r="C1932" t="inlineStr">
        <is>
          <t>that it's confident directing and acting</t>
        </is>
      </c>
      <c r="D1932">
        <f>HYPERLINK("https://www.youtube.com/watch?v=lOhis3kNJSE&amp;t=704s", "Go to time")</f>
        <v/>
      </c>
    </row>
    <row r="1933">
      <c r="A1933">
        <f>HYPERLINK("https://www.youtube.com/watch?v=lOhis3kNJSE", "Video")</f>
        <v/>
      </c>
      <c r="B1933" t="inlineStr">
        <is>
          <t>12:30</t>
        </is>
      </c>
      <c r="C1933" t="inlineStr">
        <is>
          <t>basketball fanatic for a director and</t>
        </is>
      </c>
      <c r="D1933">
        <f>HYPERLINK("https://www.youtube.com/watch?v=lOhis3kNJSE&amp;t=750s", "Go to time")</f>
        <v/>
      </c>
    </row>
    <row r="1934">
      <c r="A1934">
        <f>HYPERLINK("https://www.youtube.com/watch?v=lOhis3kNJSE", "Video")</f>
        <v/>
      </c>
      <c r="B1934" t="inlineStr">
        <is>
          <t>12:36</t>
        </is>
      </c>
      <c r="C1934" t="inlineStr">
        <is>
          <t>directed by spike lee who's been a</t>
        </is>
      </c>
      <c r="D1934">
        <f>HYPERLINK("https://www.youtube.com/watch?v=lOhis3kNJSE&amp;t=756s", "Go to time")</f>
        <v/>
      </c>
    </row>
    <row r="1935">
      <c r="A1935">
        <f>HYPERLINK("https://www.youtube.com/watch?v=lOhis3kNJSE", "Video")</f>
        <v/>
      </c>
      <c r="B1935" t="inlineStr">
        <is>
          <t>16:30</t>
        </is>
      </c>
      <c r="C1935" t="inlineStr">
        <is>
          <t>directed by ron shelton known for the</t>
        </is>
      </c>
      <c r="D1935">
        <f>HYPERLINK("https://www.youtube.com/watch?v=lOhis3kNJSE&amp;t=990s", "Go to time")</f>
        <v/>
      </c>
    </row>
    <row r="1936">
      <c r="A1936">
        <f>HYPERLINK("https://www.youtube.com/watch?v=lOhis3kNJSE", "Video")</f>
        <v/>
      </c>
      <c r="B1936" t="inlineStr">
        <is>
          <t>18:02</t>
        </is>
      </c>
      <c r="C1936" t="inlineStr">
        <is>
          <t>forrester from director gus van zandt</t>
        </is>
      </c>
      <c r="D1936">
        <f>HYPERLINK("https://www.youtube.com/watch?v=lOhis3kNJSE&amp;t=1082s", "Go to time")</f>
        <v/>
      </c>
    </row>
    <row r="1937">
      <c r="A1937">
        <f>HYPERLINK("https://www.youtube.com/watch?v=a3Ea-gci8u8", "Video")</f>
        <v/>
      </c>
      <c r="B1937" t="inlineStr">
        <is>
          <t>1:20</t>
        </is>
      </c>
      <c r="C1937" t="inlineStr">
        <is>
          <t>the academy awards darling was directed</t>
        </is>
      </c>
      <c r="D1937">
        <f>HYPERLINK("https://www.youtube.com/watch?v=a3Ea-gci8u8&amp;t=80s", "Go to time")</f>
        <v/>
      </c>
    </row>
    <row r="1938">
      <c r="A1938">
        <f>HYPERLINK("https://www.youtube.com/watch?v=a3Ea-gci8u8", "Video")</f>
        <v/>
      </c>
      <c r="B1938" t="inlineStr">
        <is>
          <t>3:48</t>
        </is>
      </c>
      <c r="C1938" t="inlineStr">
        <is>
          <t>drum line directed by charles stone iii</t>
        </is>
      </c>
      <c r="D1938">
        <f>HYPERLINK("https://www.youtube.com/watch?v=a3Ea-gci8u8&amp;t=228s", "Go to time")</f>
        <v/>
      </c>
    </row>
    <row r="1939">
      <c r="A1939">
        <f>HYPERLINK("https://www.youtube.com/watch?v=a3Ea-gci8u8", "Video")</f>
        <v/>
      </c>
      <c r="B1939" t="inlineStr">
        <is>
          <t>6:19</t>
        </is>
      </c>
      <c r="C1939" t="inlineStr">
        <is>
          <t>written and directed by gina prince by</t>
        </is>
      </c>
      <c r="D1939">
        <f>HYPERLINK("https://www.youtube.com/watch?v=a3Ea-gci8u8&amp;t=379s", "Go to time")</f>
        <v/>
      </c>
    </row>
    <row r="1940">
      <c r="A1940">
        <f>HYPERLINK("https://www.youtube.com/watch?v=a3Ea-gci8u8", "Video")</f>
        <v/>
      </c>
      <c r="B1940" t="inlineStr">
        <is>
          <t>6:21</t>
        </is>
      </c>
      <c r="C1940" t="inlineStr">
        <is>
          <t>the wood in her directorial debut she</t>
        </is>
      </c>
      <c r="D1940">
        <f>HYPERLINK("https://www.youtube.com/watch?v=a3Ea-gci8u8&amp;t=381s", "Go to time")</f>
        <v/>
      </c>
    </row>
    <row r="1941">
      <c r="A1941">
        <f>HYPERLINK("https://www.youtube.com/watch?v=a3Ea-gci8u8", "Video")</f>
        <v/>
      </c>
      <c r="B1941" t="inlineStr">
        <is>
          <t>7:40</t>
        </is>
      </c>
      <c r="C1941" t="inlineStr">
        <is>
          <t>directing and acting deliver an</t>
        </is>
      </c>
      <c r="D1941">
        <f>HYPERLINK("https://www.youtube.com/watch?v=a3Ea-gci8u8&amp;t=460s", "Go to time")</f>
        <v/>
      </c>
    </row>
    <row r="1942">
      <c r="A1942">
        <f>HYPERLINK("https://www.youtube.com/watch?v=a3Ea-gci8u8", "Video")</f>
        <v/>
      </c>
      <c r="B1942" t="inlineStr">
        <is>
          <t>9:07</t>
        </is>
      </c>
      <c r="C1942" t="inlineStr">
        <is>
          <t>soul food which he wrote and directed by</t>
        </is>
      </c>
      <c r="D1942">
        <f>HYPERLINK("https://www.youtube.com/watch?v=a3Ea-gci8u8&amp;t=547s", "Go to time")</f>
        <v/>
      </c>
    </row>
    <row r="1943">
      <c r="A1943">
        <f>HYPERLINK("https://www.youtube.com/watch?v=a3Ea-gci8u8", "Video")</f>
        <v/>
      </c>
      <c r="B1943" t="inlineStr">
        <is>
          <t>10:40</t>
        </is>
      </c>
      <c r="C1943" t="inlineStr">
        <is>
          <t>written directed and executive produced</t>
        </is>
      </c>
      <c r="D1943">
        <f>HYPERLINK("https://www.youtube.com/watch?v=a3Ea-gci8u8&amp;t=640s", "Go to time")</f>
        <v/>
      </c>
    </row>
    <row r="1944">
      <c r="A1944">
        <f>HYPERLINK("https://www.youtube.com/watch?v=a3Ea-gci8u8", "Video")</f>
        <v/>
      </c>
      <c r="B1944" t="inlineStr">
        <is>
          <t>13:04</t>
        </is>
      </c>
      <c r="C1944" t="inlineStr">
        <is>
          <t>interface directly with my sand table</t>
        </is>
      </c>
      <c r="D1944">
        <f>HYPERLINK("https://www.youtube.com/watch?v=a3Ea-gci8u8&amp;t=784s", "Go to time")</f>
        <v/>
      </c>
    </row>
    <row r="1945">
      <c r="A1945">
        <f>HYPERLINK("https://www.youtube.com/watch?v=a3Ea-gci8u8", "Video")</f>
        <v/>
      </c>
      <c r="B1945" t="inlineStr">
        <is>
          <t>14:08</t>
        </is>
      </c>
      <c r="C1945" t="inlineStr">
        <is>
          <t>and directed by ryan coogler this was</t>
        </is>
      </c>
      <c r="D1945">
        <f>HYPERLINK("https://www.youtube.com/watch?v=a3Ea-gci8u8&amp;t=848s", "Go to time")</f>
        <v/>
      </c>
    </row>
    <row r="1946">
      <c r="A1946">
        <f>HYPERLINK("https://www.youtube.com/watch?v=a3Ea-gci8u8", "Video")</f>
        <v/>
      </c>
      <c r="B1946" t="inlineStr">
        <is>
          <t>14:15</t>
        </is>
      </c>
      <c r="C1946" t="inlineStr">
        <is>
          <t>director and a predominantly black cast</t>
        </is>
      </c>
      <c r="D1946">
        <f>HYPERLINK("https://www.youtube.com/watch?v=a3Ea-gci8u8&amp;t=855s", "Go to time")</f>
        <v/>
      </c>
    </row>
    <row r="1947">
      <c r="A1947">
        <f>HYPERLINK("https://www.youtube.com/watch?v=a3Ea-gci8u8", "Video")</f>
        <v/>
      </c>
      <c r="B1947" t="inlineStr">
        <is>
          <t>14:25</t>
        </is>
      </c>
      <c r="C1947" t="inlineStr">
        <is>
          <t>black director so let's give it up for</t>
        </is>
      </c>
      <c r="D1947">
        <f>HYPERLINK("https://www.youtube.com/watch?v=a3Ea-gci8u8&amp;t=865s", "Go to time")</f>
        <v/>
      </c>
    </row>
    <row r="1948">
      <c r="A1948">
        <f>HYPERLINK("https://www.youtube.com/watch?v=a3Ea-gci8u8", "Video")</f>
        <v/>
      </c>
      <c r="B1948" t="inlineStr">
        <is>
          <t>16:15</t>
        </is>
      </c>
      <c r="C1948" t="inlineStr">
        <is>
          <t>musical comedy was directed by actor</t>
        </is>
      </c>
      <c r="D1948">
        <f>HYPERLINK("https://www.youtube.com/watch?v=a3Ea-gci8u8&amp;t=975s", "Go to time")</f>
        <v/>
      </c>
    </row>
    <row r="1949">
      <c r="A1949">
        <f>HYPERLINK("https://www.youtube.com/watch?v=a3Ea-gci8u8", "Video")</f>
        <v/>
      </c>
      <c r="B1949" t="inlineStr">
        <is>
          <t>18:49</t>
        </is>
      </c>
      <c r="C1949" t="inlineStr">
        <is>
          <t>2015 comedy dope written and directed by</t>
        </is>
      </c>
      <c r="D1949">
        <f>HYPERLINK("https://www.youtube.com/watch?v=a3Ea-gci8u8&amp;t=1129s", "Go to time")</f>
        <v/>
      </c>
    </row>
    <row r="1950">
      <c r="A1950">
        <f>HYPERLINK("https://www.youtube.com/watch?v=a3Ea-gci8u8", "Video")</f>
        <v/>
      </c>
      <c r="B1950" t="inlineStr">
        <is>
          <t>18:55</t>
        </is>
      </c>
      <c r="C1950" t="inlineStr">
        <is>
          <t>directing episodes of the mandalorian</t>
        </is>
      </c>
      <c r="D1950">
        <f>HYPERLINK("https://www.youtube.com/watch?v=a3Ea-gci8u8&amp;t=1135s", "Go to time")</f>
        <v/>
      </c>
    </row>
    <row r="1951">
      <c r="A1951">
        <f>HYPERLINK("https://www.youtube.com/watch?v=a3Ea-gci8u8", "Video")</f>
        <v/>
      </c>
      <c r="B1951" t="inlineStr">
        <is>
          <t>20:34</t>
        </is>
      </c>
      <c r="C1951" t="inlineStr">
        <is>
          <t>view from writer director rick famouema</t>
        </is>
      </c>
      <c r="D1951">
        <f>HYPERLINK("https://www.youtube.com/watch?v=a3Ea-gci8u8&amp;t=1234s", "Go to time")</f>
        <v/>
      </c>
    </row>
    <row r="1952">
      <c r="A1952">
        <f>HYPERLINK("https://www.youtube.com/watch?v=a3Ea-gci8u8", "Video")</f>
        <v/>
      </c>
      <c r="B1952" t="inlineStr">
        <is>
          <t>21:50</t>
        </is>
      </c>
      <c r="C1952" t="inlineStr">
        <is>
          <t>the biographical drama was directed by</t>
        </is>
      </c>
      <c r="D1952">
        <f>HYPERLINK("https://www.youtube.com/watch?v=a3Ea-gci8u8&amp;t=1310s", "Go to time")</f>
        <v/>
      </c>
    </row>
    <row r="1953">
      <c r="A1953">
        <f>HYPERLINK("https://www.youtube.com/watch?v=a3Ea-gci8u8", "Video")</f>
        <v/>
      </c>
      <c r="B1953" t="inlineStr">
        <is>
          <t>23:19</t>
        </is>
      </c>
      <c r="C1953" t="inlineStr">
        <is>
          <t>girls trip directed by malcolm d lee</t>
        </is>
      </c>
      <c r="D1953">
        <f>HYPERLINK("https://www.youtube.com/watch?v=a3Ea-gci8u8&amp;t=1399s", "Go to time")</f>
        <v/>
      </c>
    </row>
    <row r="1954">
      <c r="A1954">
        <f>HYPERLINK("https://www.youtube.com/watch?v=a3Ea-gci8u8", "Video")</f>
        <v/>
      </c>
      <c r="B1954" t="inlineStr">
        <is>
          <t>24:14</t>
        </is>
      </c>
      <c r="C1954" t="inlineStr">
        <is>
          <t>produced written directed by and</t>
        </is>
      </c>
      <c r="D1954">
        <f>HYPERLINK("https://www.youtube.com/watch?v=a3Ea-gci8u8&amp;t=1454s", "Go to time")</f>
        <v/>
      </c>
    </row>
    <row r="1955">
      <c r="A1955">
        <f>HYPERLINK("https://www.youtube.com/watch?v=HdJ8ei7IeWA", "Video")</f>
        <v/>
      </c>
      <c r="B1955" t="inlineStr">
        <is>
          <t>10:20</t>
        </is>
      </c>
      <c r="C1955" t="inlineStr">
        <is>
          <t>like this is the thing a director</t>
        </is>
      </c>
      <c r="D1955">
        <f>HYPERLINK("https://www.youtube.com/watch?v=HdJ8ei7IeWA&amp;t=620s", "Go to time")</f>
        <v/>
      </c>
    </row>
    <row r="1956">
      <c r="A1956">
        <f>HYPERLINK("https://www.youtube.com/watch?v=HdJ8ei7IeWA", "Video")</f>
        <v/>
      </c>
      <c r="B1956" t="inlineStr">
        <is>
          <t>18:59</t>
        </is>
      </c>
      <c r="C1956" t="inlineStr">
        <is>
          <t>with the star and the director and you</t>
        </is>
      </c>
      <c r="D1956">
        <f>HYPERLINK("https://www.youtube.com/watch?v=HdJ8ei7IeWA&amp;t=1139s", "Go to time")</f>
        <v/>
      </c>
    </row>
    <row r="1957">
      <c r="A1957">
        <f>HYPERLINK("https://www.youtube.com/watch?v=HdJ8ei7IeWA", "Video")</f>
        <v/>
      </c>
      <c r="B1957" t="inlineStr">
        <is>
          <t>19:08</t>
        </is>
      </c>
      <c r="C1957" t="inlineStr">
        <is>
          <t>big of a One Direction fan Brian is um I</t>
        </is>
      </c>
      <c r="D1957">
        <f>HYPERLINK("https://www.youtube.com/watch?v=HdJ8ei7IeWA&amp;t=1148s", "Go to time")</f>
        <v/>
      </c>
    </row>
    <row r="1958">
      <c r="A1958">
        <f>HYPERLINK("https://www.youtube.com/watch?v=_mm_Hql8AF0", "Video")</f>
        <v/>
      </c>
      <c r="B1958" t="inlineStr">
        <is>
          <t>1:33</t>
        </is>
      </c>
      <c r="C1958" t="inlineStr">
        <is>
          <t>director paul w s anderson not to be</t>
        </is>
      </c>
      <c r="D1958">
        <f>HYPERLINK("https://www.youtube.com/watch?v=_mm_Hql8AF0&amp;t=93s", "Go to time")</f>
        <v/>
      </c>
    </row>
    <row r="1959">
      <c r="A1959">
        <f>HYPERLINK("https://www.youtube.com/watch?v=_mm_Hql8AF0", "Video")</f>
        <v/>
      </c>
      <c r="B1959" t="inlineStr">
        <is>
          <t>4:28</t>
        </is>
      </c>
      <c r="C1959" t="inlineStr">
        <is>
          <t>directly from the first resident evil</t>
        </is>
      </c>
      <c r="D1959">
        <f>HYPERLINK("https://www.youtube.com/watch?v=_mm_Hql8AF0&amp;t=268s", "Go to time")</f>
        <v/>
      </c>
    </row>
    <row r="1960">
      <c r="A1960">
        <f>HYPERLINK("https://www.youtube.com/watch?v=_mm_Hql8AF0", "Video")</f>
        <v/>
      </c>
      <c r="B1960" t="inlineStr">
        <is>
          <t>4:45</t>
        </is>
      </c>
      <c r="C1960" t="inlineStr">
        <is>
          <t>wedding day directly recalls similar</t>
        </is>
      </c>
      <c r="D1960">
        <f>HYPERLINK("https://www.youtube.com/watch?v=_mm_Hql8AF0&amp;t=285s", "Go to time")</f>
        <v/>
      </c>
    </row>
    <row r="1961">
      <c r="A1961">
        <f>HYPERLINK("https://www.youtube.com/watch?v=_mm_Hql8AF0", "Video")</f>
        <v/>
      </c>
      <c r="B1961" t="inlineStr">
        <is>
          <t>4:49</t>
        </is>
      </c>
      <c r="C1961" t="inlineStr">
        <is>
          <t>the hives underground train was directly</t>
        </is>
      </c>
      <c r="D1961">
        <f>HYPERLINK("https://www.youtube.com/watch?v=_mm_Hql8AF0&amp;t=289s", "Go to time")</f>
        <v/>
      </c>
    </row>
    <row r="1962">
      <c r="A1962">
        <f>HYPERLINK("https://www.youtube.com/watch?v=_mm_Hql8AF0", "Video")</f>
        <v/>
      </c>
      <c r="B1962" t="inlineStr">
        <is>
          <t>4:57</t>
        </is>
      </c>
      <c r="C1962" t="inlineStr">
        <is>
          <t>raccoon more victims dead a direct lift</t>
        </is>
      </c>
      <c r="D1962">
        <f>HYPERLINK("https://www.youtube.com/watch?v=_mm_Hql8AF0&amp;t=297s", "Go to time")</f>
        <v/>
      </c>
    </row>
    <row r="1963">
      <c r="A1963">
        <f>HYPERLINK("https://www.youtube.com/watch?v=_mm_Hql8AF0", "Video")</f>
        <v/>
      </c>
      <c r="B1963" t="inlineStr">
        <is>
          <t>5:28</t>
        </is>
      </c>
      <c r="C1963" t="inlineStr">
        <is>
          <t>we move directly from a film with some</t>
        </is>
      </c>
      <c r="D1963">
        <f>HYPERLINK("https://www.youtube.com/watch?v=_mm_Hql8AF0&amp;t=328s", "Go to time")</f>
        <v/>
      </c>
    </row>
    <row r="1964">
      <c r="A1964">
        <f>HYPERLINK("https://www.youtube.com/watch?v=_mm_Hql8AF0", "Video")</f>
        <v/>
      </c>
      <c r="B1964" t="inlineStr">
        <is>
          <t>6:33</t>
        </is>
      </c>
      <c r="C1964" t="inlineStr">
        <is>
          <t>the script but passed along directing</t>
        </is>
      </c>
      <c r="D1964">
        <f>HYPERLINK("https://www.youtube.com/watch?v=_mm_Hql8AF0&amp;t=393s", "Go to time")</f>
        <v/>
      </c>
    </row>
    <row r="1965">
      <c r="A1965">
        <f>HYPERLINK("https://www.youtube.com/watch?v=_mm_Hql8AF0", "Video")</f>
        <v/>
      </c>
      <c r="B1965" t="inlineStr">
        <is>
          <t>6:42</t>
        </is>
      </c>
      <c r="C1965" t="inlineStr">
        <is>
          <t>unit director who worked on numerous</t>
        </is>
      </c>
      <c r="D1965">
        <f>HYPERLINK("https://www.youtube.com/watch?v=_mm_Hql8AF0&amp;t=402s", "Go to time")</f>
        <v/>
      </c>
    </row>
    <row r="1966">
      <c r="A1966">
        <f>HYPERLINK("https://www.youtube.com/watch?v=_mm_Hql8AF0", "Video")</f>
        <v/>
      </c>
      <c r="B1966" t="inlineStr">
        <is>
          <t>9:29</t>
        </is>
      </c>
      <c r="C1966" t="inlineStr">
        <is>
          <t>time handed directing duties over to</t>
        </is>
      </c>
      <c r="D1966">
        <f>HYPERLINK("https://www.youtube.com/watch?v=_mm_Hql8AF0&amp;t=569s", "Go to time")</f>
        <v/>
      </c>
    </row>
    <row r="1967">
      <c r="A1967">
        <f>HYPERLINK("https://www.youtube.com/watch?v=_mm_Hql8AF0", "Video")</f>
        <v/>
      </c>
      <c r="B1967" t="inlineStr">
        <is>
          <t>12:10</t>
        </is>
      </c>
      <c r="C1967" t="inlineStr">
        <is>
          <t>cure despite going in its own direction</t>
        </is>
      </c>
      <c r="D1967">
        <f>HYPERLINK("https://www.youtube.com/watch?v=_mm_Hql8AF0&amp;t=730s", "Go to time")</f>
        <v/>
      </c>
    </row>
    <row r="1968">
      <c r="A1968">
        <f>HYPERLINK("https://www.youtube.com/watch?v=_mm_Hql8AF0", "Video")</f>
        <v/>
      </c>
      <c r="B1968" t="inlineStr">
        <is>
          <t>12:56</t>
        </is>
      </c>
      <c r="C1968" t="inlineStr">
        <is>
          <t>director's chair for 2010's resident</t>
        </is>
      </c>
      <c r="D1968">
        <f>HYPERLINK("https://www.youtube.com/watch?v=_mm_Hql8AF0&amp;t=776s", "Go to time")</f>
        <v/>
      </c>
    </row>
    <row r="1969">
      <c r="A1969">
        <f>HYPERLINK("https://www.youtube.com/watch?v=_mm_Hql8AF0", "Video")</f>
        <v/>
      </c>
      <c r="B1969" t="inlineStr">
        <is>
          <t>14:02</t>
        </is>
      </c>
      <c r="C1969" t="inlineStr">
        <is>
          <t>directly from the game and the so-called</t>
        </is>
      </c>
      <c r="D1969">
        <f>HYPERLINK("https://www.youtube.com/watch?v=_mm_Hql8AF0&amp;t=842s", "Go to time")</f>
        <v/>
      </c>
    </row>
    <row r="1970">
      <c r="A1970">
        <f>HYPERLINK("https://www.youtube.com/watch?v=_mm_Hql8AF0", "Video")</f>
        <v/>
      </c>
      <c r="B1970" t="inlineStr">
        <is>
          <t>21:53</t>
        </is>
      </c>
      <c r="C1970" t="inlineStr">
        <is>
          <t>directing her back to the hive and a</t>
        </is>
      </c>
      <c r="D1970">
        <f>HYPERLINK("https://www.youtube.com/watch?v=_mm_Hql8AF0&amp;t=1313s", "Go to time")</f>
        <v/>
      </c>
    </row>
    <row r="1971">
      <c r="A1971">
        <f>HYPERLINK("https://www.youtube.com/watch?v=_mm_Hql8AF0", "Video")</f>
        <v/>
      </c>
      <c r="B1971" t="inlineStr">
        <is>
          <t>22:24</t>
        </is>
      </c>
      <c r="C1971" t="inlineStr">
        <is>
          <t>film by the way is lifted directly from</t>
        </is>
      </c>
      <c r="D1971">
        <f>HYPERLINK("https://www.youtube.com/watch?v=_mm_Hql8AF0&amp;t=1344s", "Go to time")</f>
        <v/>
      </c>
    </row>
    <row r="1972">
      <c r="A1972">
        <f>HYPERLINK("https://www.youtube.com/watch?v=_mm_Hql8AF0", "Video")</f>
        <v/>
      </c>
      <c r="B1972" t="inlineStr">
        <is>
          <t>24:40</t>
        </is>
      </c>
      <c r="C1972" t="inlineStr">
        <is>
          <t>direct connections to the previous six</t>
        </is>
      </c>
      <c r="D1972">
        <f>HYPERLINK("https://www.youtube.com/watch?v=_mm_Hql8AF0&amp;t=1480s", "Go to time")</f>
        <v/>
      </c>
    </row>
    <row r="1973">
      <c r="A1973">
        <f>HYPERLINK("https://www.youtube.com/watch?v=_mm_Hql8AF0", "Video")</f>
        <v/>
      </c>
      <c r="B1973" t="inlineStr">
        <is>
          <t>24:42</t>
        </is>
      </c>
      <c r="C1973" t="inlineStr">
        <is>
          <t>films it comes from writer director</t>
        </is>
      </c>
      <c r="D1973">
        <f>HYPERLINK("https://www.youtube.com/watch?v=_mm_Hql8AF0&amp;t=1482s", "Go to time")</f>
        <v/>
      </c>
    </row>
    <row r="1974">
      <c r="A1974">
        <f>HYPERLINK("https://www.youtube.com/watch?v=_mm_Hql8AF0", "Video")</f>
        <v/>
      </c>
      <c r="B1974" t="inlineStr">
        <is>
          <t>25:06</t>
        </is>
      </c>
      <c r="C1974" t="inlineStr">
        <is>
          <t>project more directly inspired by</t>
        </is>
      </c>
      <c r="D1974">
        <f>HYPERLINK("https://www.youtube.com/watch?v=_mm_Hql8AF0&amp;t=1506s", "Go to time")</f>
        <v/>
      </c>
    </row>
    <row r="1975">
      <c r="A1975">
        <f>HYPERLINK("https://www.youtube.com/watch?v=_mm_Hql8AF0", "Video")</f>
        <v/>
      </c>
      <c r="B1975" t="inlineStr">
        <is>
          <t>25:14</t>
        </is>
      </c>
      <c r="C1975" t="inlineStr">
        <is>
          <t>directly based on the first two games in</t>
        </is>
      </c>
      <c r="D1975">
        <f>HYPERLINK("https://www.youtube.com/watch?v=_mm_Hql8AF0&amp;t=1514s", "Go to time")</f>
        <v/>
      </c>
    </row>
    <row r="1976">
      <c r="A1976">
        <f>HYPERLINK("https://www.youtube.com/watch?v=_mm_Hql8AF0", "Video")</f>
        <v/>
      </c>
      <c r="B1976" t="inlineStr">
        <is>
          <t>25:30</t>
        </is>
      </c>
      <c r="C1976" t="inlineStr">
        <is>
          <t>main and direct visual and tonal</t>
        </is>
      </c>
      <c r="D1976">
        <f>HYPERLINK("https://www.youtube.com/watch?v=_mm_Hql8AF0&amp;t=1530s", "Go to time")</f>
        <v/>
      </c>
    </row>
    <row r="1977">
      <c r="A1977">
        <f>HYPERLINK("https://www.youtube.com/watch?v=_mm_Hql8AF0", "Video")</f>
        <v/>
      </c>
      <c r="B1977" t="inlineStr">
        <is>
          <t>26:40</t>
        </is>
      </c>
      <c r="C1977" t="inlineStr">
        <is>
          <t>director paul jones he also created</t>
        </is>
      </c>
      <c r="D1977">
        <f>HYPERLINK("https://www.youtube.com/watch?v=_mm_Hql8AF0&amp;t=1600s", "Go to time")</f>
        <v/>
      </c>
    </row>
    <row r="1978">
      <c r="A1978">
        <f>HYPERLINK("https://www.youtube.com/watch?v=iSGzySt1Djs", "Video")</f>
        <v/>
      </c>
      <c r="B1978" t="inlineStr">
        <is>
          <t>0:04</t>
        </is>
      </c>
      <c r="C1978" t="inlineStr">
        <is>
          <t>direction point you yes are you crazy</t>
        </is>
      </c>
      <c r="D1978">
        <f>HYPERLINK("https://www.youtube.com/watch?v=iSGzySt1Djs&amp;t=4s", "Go to time")</f>
        <v/>
      </c>
    </row>
    <row r="1979">
      <c r="A1979">
        <f>HYPERLINK("https://www.youtube.com/watch?v=h8OvQ3j5uQQ", "Video")</f>
        <v/>
      </c>
      <c r="B1979" t="inlineStr">
        <is>
          <t>2:12</t>
        </is>
      </c>
      <c r="C1979" t="inlineStr">
        <is>
          <t>directorial debut it featured a</t>
        </is>
      </c>
      <c r="D1979">
        <f>HYPERLINK("https://www.youtube.com/watch?v=h8OvQ3j5uQQ&amp;t=132s", "Go to time")</f>
        <v/>
      </c>
    </row>
    <row r="1980">
      <c r="A1980">
        <f>HYPERLINK("https://www.youtube.com/watch?v=h8OvQ3j5uQQ", "Video")</f>
        <v/>
      </c>
      <c r="B1980" t="inlineStr">
        <is>
          <t>3:18</t>
        </is>
      </c>
      <c r="C1980" t="inlineStr">
        <is>
          <t>at the time no name director i mean</t>
        </is>
      </c>
      <c r="D1980">
        <f>HYPERLINK("https://www.youtube.com/watch?v=h8OvQ3j5uQQ&amp;t=198s", "Go to time")</f>
        <v/>
      </c>
    </row>
    <row r="1981">
      <c r="A1981">
        <f>HYPERLINK("https://www.youtube.com/watch?v=h8OvQ3j5uQQ", "Video")</f>
        <v/>
      </c>
      <c r="B1981" t="inlineStr">
        <is>
          <t>3:46</t>
        </is>
      </c>
      <c r="C1981" t="inlineStr">
        <is>
          <t>directors will spend decades trying to</t>
        </is>
      </c>
      <c r="D1981">
        <f>HYPERLINK("https://www.youtube.com/watch?v=h8OvQ3j5uQQ&amp;t=226s", "Go to time")</f>
        <v/>
      </c>
    </row>
    <row r="1982">
      <c r="A1982">
        <f>HYPERLINK("https://www.youtube.com/watch?v=h8OvQ3j5uQQ", "Video")</f>
        <v/>
      </c>
      <c r="B1982" t="inlineStr">
        <is>
          <t>4:27</t>
        </is>
      </c>
      <c r="C1982" t="inlineStr">
        <is>
          <t>co-directed by huame balaguero and paco</t>
        </is>
      </c>
      <c r="D1982">
        <f>HYPERLINK("https://www.youtube.com/watch?v=h8OvQ3j5uQQ&amp;t=267s", "Go to time")</f>
        <v/>
      </c>
    </row>
    <row r="1983">
      <c r="A1983">
        <f>HYPERLINK("https://www.youtube.com/watch?v=h8OvQ3j5uQQ", "Video")</f>
        <v/>
      </c>
      <c r="B1983" t="inlineStr">
        <is>
          <t>7:29</t>
        </is>
      </c>
      <c r="C1983" t="inlineStr">
        <is>
          <t>where writer director alfonso cuaron</t>
        </is>
      </c>
      <c r="D1983">
        <f>HYPERLINK("https://www.youtube.com/watch?v=h8OvQ3j5uQQ&amp;t=449s", "Go to time")</f>
        <v/>
      </c>
    </row>
    <row r="1984">
      <c r="A1984">
        <f>HYPERLINK("https://www.youtube.com/watch?v=h8OvQ3j5uQQ", "Video")</f>
        <v/>
      </c>
      <c r="B1984" t="inlineStr">
        <is>
          <t>8:56</t>
        </is>
      </c>
      <c r="C1984" t="inlineStr">
        <is>
          <t>academy awards winning for best director</t>
        </is>
      </c>
      <c r="D1984">
        <f>HYPERLINK("https://www.youtube.com/watch?v=h8OvQ3j5uQQ&amp;t=536s", "Go to time")</f>
        <v/>
      </c>
    </row>
    <row r="1985">
      <c r="A1985">
        <f>HYPERLINK("https://www.youtube.com/watch?v=h8OvQ3j5uQQ", "Video")</f>
        <v/>
      </c>
      <c r="B1985" t="inlineStr">
        <is>
          <t>9:07</t>
        </is>
      </c>
      <c r="C1985" t="inlineStr">
        <is>
          <t>film to ever win best director and it is</t>
        </is>
      </c>
      <c r="D1985">
        <f>HYPERLINK("https://www.youtube.com/watch?v=h8OvQ3j5uQQ&amp;t=547s", "Go to time")</f>
        <v/>
      </c>
    </row>
    <row r="1986">
      <c r="A1986">
        <f>HYPERLINK("https://www.youtube.com/watch?v=h8OvQ3j5uQQ", "Video")</f>
        <v/>
      </c>
      <c r="B1986" t="inlineStr">
        <is>
          <t>14:17</t>
        </is>
      </c>
      <c r="C1986" t="inlineStr">
        <is>
          <t>barcelona-born director juan antonio</t>
        </is>
      </c>
      <c r="D1986">
        <f>HYPERLINK("https://www.youtube.com/watch?v=h8OvQ3j5uQQ&amp;t=857s", "Go to time")</f>
        <v/>
      </c>
    </row>
    <row r="1987">
      <c r="A1987">
        <f>HYPERLINK("https://www.youtube.com/watch?v=h8OvQ3j5uQQ", "Video")</f>
        <v/>
      </c>
      <c r="B1987" t="inlineStr">
        <is>
          <t>16:05</t>
        </is>
      </c>
      <c r="C1987" t="inlineStr">
        <is>
          <t>was critically praised for its direction</t>
        </is>
      </c>
      <c r="D1987">
        <f>HYPERLINK("https://www.youtube.com/watch?v=h8OvQ3j5uQQ&amp;t=965s", "Go to time")</f>
        <v/>
      </c>
    </row>
    <row r="1988">
      <c r="A1988">
        <f>HYPERLINK("https://www.youtube.com/watch?v=h8OvQ3j5uQQ", "Video")</f>
        <v/>
      </c>
      <c r="B1988" t="inlineStr">
        <is>
          <t>18:34</t>
        </is>
      </c>
      <c r="C1988" t="inlineStr">
        <is>
          <t>fact that the mexican directorate of</t>
        </is>
      </c>
      <c r="D1988">
        <f>HYPERLINK("https://www.youtube.com/watch?v=h8OvQ3j5uQQ&amp;t=1114s", "Go to time")</f>
        <v/>
      </c>
    </row>
    <row r="1989">
      <c r="A1989">
        <f>HYPERLINK("https://www.youtube.com/watch?v=h8OvQ3j5uQQ", "Video")</f>
        <v/>
      </c>
      <c r="B1989" t="inlineStr">
        <is>
          <t>19:17</t>
        </is>
      </c>
      <c r="C1989" t="inlineStr">
        <is>
          <t>written and directed by kyrie joji</t>
        </is>
      </c>
      <c r="D1989">
        <f>HYPERLINK("https://www.youtube.com/watch?v=h8OvQ3j5uQQ&amp;t=1157s", "Go to time")</f>
        <v/>
      </c>
    </row>
    <row r="1990">
      <c r="A1990">
        <f>HYPERLINK("https://www.youtube.com/watch?v=h8OvQ3j5uQQ", "Video")</f>
        <v/>
      </c>
      <c r="B1990" t="inlineStr">
        <is>
          <t>19:40</t>
        </is>
      </c>
      <c r="C1990" t="inlineStr">
        <is>
          <t>directed while attending nyu entitled</t>
        </is>
      </c>
      <c r="D1990">
        <f>HYPERLINK("https://www.youtube.com/watch?v=h8OvQ3j5uQQ&amp;t=1180s", "Go to time")</f>
        <v/>
      </c>
    </row>
    <row r="1991">
      <c r="A1991">
        <f>HYPERLINK("https://www.youtube.com/watch?v=h8OvQ3j5uQQ", "Video")</f>
        <v/>
      </c>
      <c r="B1991" t="inlineStr">
        <is>
          <t>21:41</t>
        </is>
      </c>
      <c r="C1991" t="inlineStr">
        <is>
          <t>glory a 2019 drama written and directed</t>
        </is>
      </c>
      <c r="D1991">
        <f>HYPERLINK("https://www.youtube.com/watch?v=h8OvQ3j5uQQ&amp;t=1301s", "Go to time")</f>
        <v/>
      </c>
    </row>
    <row r="1992">
      <c r="A1992">
        <f>HYPERLINK("https://www.youtube.com/watch?v=h8OvQ3j5uQQ", "Video")</f>
        <v/>
      </c>
      <c r="B1992" t="inlineStr">
        <is>
          <t>21:46</t>
        </is>
      </c>
      <c r="C1992" t="inlineStr">
        <is>
          <t>aging spanish film director named</t>
        </is>
      </c>
      <c r="D1992">
        <f>HYPERLINK("https://www.youtube.com/watch?v=h8OvQ3j5uQQ&amp;t=1306s", "Go to time")</f>
        <v/>
      </c>
    </row>
    <row r="1993">
      <c r="A1993">
        <f>HYPERLINK("https://www.youtube.com/watch?v=h8OvQ3j5uQQ", "Video")</f>
        <v/>
      </c>
      <c r="B1993" t="inlineStr">
        <is>
          <t>23:13</t>
        </is>
      </c>
      <c r="C1993" t="inlineStr">
        <is>
          <t>the point is many directors that reached</t>
        </is>
      </c>
      <c r="D1993">
        <f>HYPERLINK("https://www.youtube.com/watch?v=h8OvQ3j5uQQ&amp;t=1393s", "Go to time")</f>
        <v/>
      </c>
    </row>
    <row r="1994">
      <c r="A1994">
        <f>HYPERLINK("https://www.youtube.com/watch?v=SyCah0i9Cso", "Video")</f>
        <v/>
      </c>
      <c r="B1994" t="inlineStr">
        <is>
          <t>0:53</t>
        </is>
      </c>
      <c r="C1994" t="inlineStr">
        <is>
          <t>words that directly translate to</t>
        </is>
      </c>
      <c r="D1994">
        <f>HYPERLINK("https://www.youtube.com/watch?v=SyCah0i9Cso&amp;t=53s", "Go to time")</f>
        <v/>
      </c>
    </row>
    <row r="1995">
      <c r="A1995">
        <f>HYPERLINK("https://www.youtube.com/watch?v=SyCah0i9Cso", "Video")</f>
        <v/>
      </c>
      <c r="B1995" t="inlineStr">
        <is>
          <t>1:42</t>
        </is>
      </c>
      <c r="C1995" t="inlineStr">
        <is>
          <t>animated adventure directed and produced</t>
        </is>
      </c>
      <c r="D1995">
        <f>HYPERLINK("https://www.youtube.com/watch?v=SyCah0i9Cso&amp;t=102s", "Go to time")</f>
        <v/>
      </c>
    </row>
    <row r="1996">
      <c r="A1996">
        <f>HYPERLINK("https://www.youtube.com/watch?v=SyCah0i9Cso", "Video")</f>
        <v/>
      </c>
      <c r="B1996" t="inlineStr">
        <is>
          <t>4:46</t>
        </is>
      </c>
      <c r="C1996" t="inlineStr">
        <is>
          <t>tippett and acclaimed director paul</t>
        </is>
      </c>
      <c r="D1996">
        <f>HYPERLINK("https://www.youtube.com/watch?v=SyCah0i9Cso&amp;t=286s", "Go to time")</f>
        <v/>
      </c>
    </row>
    <row r="1997">
      <c r="A1997">
        <f>HYPERLINK("https://www.youtube.com/watch?v=SyCah0i9Cso", "Video")</f>
        <v/>
      </c>
      <c r="B1997" t="inlineStr">
        <is>
          <t>6:51</t>
        </is>
      </c>
      <c r="C1997" t="inlineStr">
        <is>
          <t>directed by peter song and featured the</t>
        </is>
      </c>
      <c r="D1997">
        <f>HYPERLINK("https://www.youtube.com/watch?v=SyCah0i9Cso&amp;t=411s", "Go to time")</f>
        <v/>
      </c>
    </row>
    <row r="1998">
      <c r="A1998">
        <f>HYPERLINK("https://www.youtube.com/watch?v=SyCah0i9Cso", "Video")</f>
        <v/>
      </c>
      <c r="B1998" t="inlineStr">
        <is>
          <t>8:43</t>
        </is>
      </c>
      <c r="C1998" t="inlineStr">
        <is>
          <t>1933 classic and follows director carl</t>
        </is>
      </c>
      <c r="D1998">
        <f>HYPERLINK("https://www.youtube.com/watch?v=SyCah0i9Cso&amp;t=523s", "Go to time")</f>
        <v/>
      </c>
    </row>
    <row r="1999">
      <c r="A1999">
        <f>HYPERLINK("https://www.youtube.com/watch?v=SyCah0i9Cso", "Video")</f>
        <v/>
      </c>
      <c r="B1999" t="inlineStr">
        <is>
          <t>14:02</t>
        </is>
      </c>
      <c r="C1999" t="inlineStr">
        <is>
          <t>queen latifah and was directed by carlos</t>
        </is>
      </c>
      <c r="D1999">
        <f>HYPERLINK("https://www.youtube.com/watch?v=SyCah0i9Cso&amp;t=842s", "Go to time")</f>
        <v/>
      </c>
    </row>
    <row r="2000">
      <c r="A2000">
        <f>HYPERLINK("https://www.youtube.com/watch?v=SyCah0i9Cso", "Video")</f>
        <v/>
      </c>
      <c r="B2000" t="inlineStr">
        <is>
          <t>18:13</t>
        </is>
      </c>
      <c r="C2000" t="inlineStr">
        <is>
          <t>ah we were so young and directed by</t>
        </is>
      </c>
      <c r="D2000">
        <f>HYPERLINK("https://www.youtube.com/watch?v=SyCah0i9Cso&amp;t=1093s", "Go to time")</f>
        <v/>
      </c>
    </row>
    <row r="2001">
      <c r="A2001">
        <f>HYPERLINK("https://www.youtube.com/watch?v=SyCah0i9Cso", "Video")</f>
        <v/>
      </c>
      <c r="B2001" t="inlineStr">
        <is>
          <t>20:28</t>
        </is>
      </c>
      <c r="C2001" t="inlineStr">
        <is>
          <t>western directed by jim o'connelly and</t>
        </is>
      </c>
      <c r="D2001">
        <f>HYPERLINK("https://www.youtube.com/watch?v=SyCah0i9Cso&amp;t=1228s", "Go to time")</f>
        <v/>
      </c>
    </row>
    <row r="2002">
      <c r="A2002">
        <f>HYPERLINK("https://www.youtube.com/watch?v=UQ1s-FQuxTI", "Video")</f>
        <v/>
      </c>
      <c r="B2002" t="inlineStr">
        <is>
          <t>3:44</t>
        </is>
      </c>
      <c r="C2002" t="inlineStr">
        <is>
          <t>play misdirection St me magic spell to</t>
        </is>
      </c>
      <c r="D2002">
        <f>HYPERLINK("https://www.youtube.com/watch?v=UQ1s-FQuxTI&amp;t=224s", "Go to time")</f>
        <v/>
      </c>
    </row>
    <row r="2003">
      <c r="A2003">
        <f>HYPERLINK("https://www.youtube.com/watch?v=mPob2UudCAU", "Video")</f>
        <v/>
      </c>
      <c r="B2003" t="inlineStr">
        <is>
          <t>0:22</t>
        </is>
      </c>
      <c r="C2003" t="inlineStr">
        <is>
          <t>Parliament which is directly repugnant</t>
        </is>
      </c>
      <c r="D2003">
        <f>HYPERLINK("https://www.youtube.com/watch?v=mPob2UudCAU&amp;t=22s", "Go to time")</f>
        <v/>
      </c>
    </row>
    <row r="2004">
      <c r="A2004">
        <f>HYPERLINK("https://www.youtube.com/watch?v=JzvhxtnC3W4", "Video")</f>
        <v/>
      </c>
      <c r="B2004" t="inlineStr">
        <is>
          <t>46:41</t>
        </is>
      </c>
      <c r="C2004" t="inlineStr">
        <is>
          <t>Natural Born Killers directed by Oliver</t>
        </is>
      </c>
      <c r="D2004">
        <f>HYPERLINK("https://www.youtube.com/watch?v=JzvhxtnC3W4&amp;t=2801s", "Go to time")</f>
        <v/>
      </c>
    </row>
    <row r="2005">
      <c r="A2005">
        <f>HYPERLINK("https://www.youtube.com/watch?v=6fC3tpFd93M", "Video")</f>
        <v/>
      </c>
      <c r="B2005" t="inlineStr">
        <is>
          <t>2:19</t>
        </is>
      </c>
      <c r="C2005" t="inlineStr">
        <is>
          <t>are talking about a direct ticket to the</t>
        </is>
      </c>
      <c r="D2005">
        <f>HYPERLINK("https://www.youtube.com/watch?v=6fC3tpFd93M&amp;t=139s", "Go to time")</f>
        <v/>
      </c>
    </row>
    <row r="2006">
      <c r="A2006">
        <f>HYPERLINK("https://www.youtube.com/watch?v=63dFewqs5d4", "Video")</f>
        <v/>
      </c>
      <c r="B2006" t="inlineStr">
        <is>
          <t>0:51</t>
        </is>
      </c>
      <c r="C2006" t="inlineStr">
        <is>
          <t>winding its way through the dire</t>
        </is>
      </c>
      <c r="D2006">
        <f>HYPERLINK("https://www.youtube.com/watch?v=63dFewqs5d4&amp;t=51s", "Go to time")</f>
        <v/>
      </c>
    </row>
    <row r="2007">
      <c r="A2007">
        <f>HYPERLINK("https://www.youtube.com/watch?v=tjx1PPFsa6A", "Video")</f>
        <v/>
      </c>
      <c r="B2007" t="inlineStr">
        <is>
          <t>1:11</t>
        </is>
      </c>
      <c r="C2007" t="inlineStr">
        <is>
          <t>should I be addressing you as director</t>
        </is>
      </c>
      <c r="D2007">
        <f>HYPERLINK("https://www.youtube.com/watch?v=tjx1PPFsa6A&amp;t=71s", "Go to time")</f>
        <v/>
      </c>
    </row>
    <row r="2008">
      <c r="A2008">
        <f>HYPERLINK("https://www.youtube.com/watch?v=tjx1PPFsa6A", "Video")</f>
        <v/>
      </c>
      <c r="B2008" t="inlineStr">
        <is>
          <t>1:23</t>
        </is>
      </c>
      <c r="C2008" t="inlineStr">
        <is>
          <t>director Fury you should know that I'll</t>
        </is>
      </c>
      <c r="D2008">
        <f>HYPERLINK("https://www.youtube.com/watch?v=tjx1PPFsa6A&amp;t=83s", "Go to time")</f>
        <v/>
      </c>
    </row>
    <row r="2009">
      <c r="A2009">
        <f>HYPERLINK("https://www.youtube.com/watch?v=CfxOMPCZjqw", "Video")</f>
        <v/>
      </c>
      <c r="B2009" t="inlineStr">
        <is>
          <t>10:56</t>
        </is>
      </c>
      <c r="C2009" t="inlineStr">
        <is>
          <t>with animated directors the direction</t>
        </is>
      </c>
      <c r="D2009">
        <f>HYPERLINK("https://www.youtube.com/watch?v=CfxOMPCZjqw&amp;t=656s", "Go to time")</f>
        <v/>
      </c>
    </row>
    <row r="2010">
      <c r="A2010">
        <f>HYPERLINK("https://www.youtube.com/watch?v=CfxOMPCZjqw", "Video")</f>
        <v/>
      </c>
      <c r="B2010" t="inlineStr">
        <is>
          <t>11:10</t>
        </is>
      </c>
      <c r="C2010" t="inlineStr">
        <is>
          <t>direction that he gave you that you</t>
        </is>
      </c>
      <c r="D2010">
        <f>HYPERLINK("https://www.youtube.com/watch?v=CfxOMPCZjqw&amp;t=670s", "Go to time")</f>
        <v/>
      </c>
    </row>
    <row r="2011">
      <c r="A2011">
        <f>HYPERLINK("https://www.youtube.com/watch?v=CfxOMPCZjqw", "Video")</f>
        <v/>
      </c>
      <c r="B2011" t="inlineStr">
        <is>
          <t>11:24</t>
        </is>
      </c>
      <c r="C2011" t="inlineStr">
        <is>
          <t>tell you of his approach to directing</t>
        </is>
      </c>
      <c r="D2011">
        <f>HYPERLINK("https://www.youtube.com/watch?v=CfxOMPCZjqw&amp;t=684s", "Go to time")</f>
        <v/>
      </c>
    </row>
    <row r="2012">
      <c r="A2012">
        <f>HYPERLINK("https://www.youtube.com/watch?v=E6glc9X8T78", "Video")</f>
        <v/>
      </c>
      <c r="B2012" t="inlineStr">
        <is>
          <t>2:27</t>
        </is>
      </c>
      <c r="C2012" t="inlineStr">
        <is>
          <t>reunites jordan with writer and director</t>
        </is>
      </c>
      <c r="D2012">
        <f>HYPERLINK("https://www.youtube.com/watch?v=E6glc9X8T78&amp;t=147s", "Go to time")</f>
        <v/>
      </c>
    </row>
    <row r="2013">
      <c r="A2013">
        <f>HYPERLINK("https://www.youtube.com/watch?v=E6glc9X8T78", "Video")</f>
        <v/>
      </c>
      <c r="B2013" t="inlineStr">
        <is>
          <t>3:49</t>
        </is>
      </c>
      <c r="C2013" t="inlineStr">
        <is>
          <t>michael b jordan making his directorial</t>
        </is>
      </c>
      <c r="D2013">
        <f>HYPERLINK("https://www.youtube.com/watch?v=E6glc9X8T78&amp;t=229s", "Go to time")</f>
        <v/>
      </c>
    </row>
    <row r="2014">
      <c r="A2014">
        <f>HYPERLINK("https://www.youtube.com/watch?v=E6glc9X8T78", "Video")</f>
        <v/>
      </c>
      <c r="B2014" t="inlineStr">
        <is>
          <t>4:04</t>
        </is>
      </c>
      <c r="C2014" t="inlineStr">
        <is>
          <t>interesting new directions while staying</t>
        </is>
      </c>
      <c r="D2014">
        <f>HYPERLINK("https://www.youtube.com/watch?v=E6glc9X8T78&amp;t=244s", "Go to time")</f>
        <v/>
      </c>
    </row>
    <row r="2015">
      <c r="A2015">
        <f>HYPERLINK("https://www.youtube.com/watch?v=E6glc9X8T78", "Video")</f>
        <v/>
      </c>
      <c r="B2015" t="inlineStr">
        <is>
          <t>4:41</t>
        </is>
      </c>
      <c r="C2015" t="inlineStr">
        <is>
          <t>cinematographer ellen kuras directed by</t>
        </is>
      </c>
      <c r="D2015">
        <f>HYPERLINK("https://www.youtube.com/watch?v=E6glc9X8T78&amp;t=281s", "Go to time")</f>
        <v/>
      </c>
    </row>
    <row r="2016">
      <c r="A2016">
        <f>HYPERLINK("https://www.youtube.com/watch?v=E6glc9X8T78", "Video")</f>
        <v/>
      </c>
      <c r="B2016" t="inlineStr">
        <is>
          <t>5:25</t>
        </is>
      </c>
      <c r="C2016" t="inlineStr">
        <is>
          <t>would go on to shoot write and direct</t>
        </is>
      </c>
      <c r="D2016">
        <f>HYPERLINK("https://www.youtube.com/watch?v=E6glc9X8T78&amp;t=325s", "Go to time")</f>
        <v/>
      </c>
    </row>
    <row r="2017">
      <c r="A2017">
        <f>HYPERLINK("https://www.youtube.com/watch?v=E6glc9X8T78", "Video")</f>
        <v/>
      </c>
      <c r="B2017" t="inlineStr">
        <is>
          <t>6:30</t>
        </is>
      </c>
      <c r="C2017" t="inlineStr">
        <is>
          <t>directorial touch make this film a</t>
        </is>
      </c>
      <c r="D2017">
        <f>HYPERLINK("https://www.youtube.com/watch?v=E6glc9X8T78&amp;t=390s", "Go to time")</f>
        <v/>
      </c>
    </row>
    <row r="2018">
      <c r="A2018">
        <f>HYPERLINK("https://www.youtube.com/watch?v=E6glc9X8T78", "Video")</f>
        <v/>
      </c>
      <c r="B2018" t="inlineStr">
        <is>
          <t>7:09</t>
        </is>
      </c>
      <c r="C2018" t="inlineStr">
        <is>
          <t>psychological horror film was directed</t>
        </is>
      </c>
      <c r="D2018">
        <f>HYPERLINK("https://www.youtube.com/watch?v=E6glc9X8T78&amp;t=429s", "Go to time")</f>
        <v/>
      </c>
    </row>
    <row r="2019">
      <c r="A2019">
        <f>HYPERLINK("https://www.youtube.com/watch?v=E6glc9X8T78", "Video")</f>
        <v/>
      </c>
      <c r="B2019" t="inlineStr">
        <is>
          <t>9:23</t>
        </is>
      </c>
      <c r="C2019" t="inlineStr">
        <is>
          <t>was directed and co-written by d reese</t>
        </is>
      </c>
      <c r="D2019">
        <f>HYPERLINK("https://www.youtube.com/watch?v=E6glc9X8T78&amp;t=563s", "Go to time")</f>
        <v/>
      </c>
    </row>
    <row r="2020">
      <c r="A2020">
        <f>HYPERLINK("https://www.youtube.com/watch?v=E6glc9X8T78", "Video")</f>
        <v/>
      </c>
      <c r="B2020" t="inlineStr">
        <is>
          <t>11:58</t>
        </is>
      </c>
      <c r="C2020" t="inlineStr">
        <is>
          <t>directed by darren aronofsky this film</t>
        </is>
      </c>
      <c r="D2020">
        <f>HYPERLINK("https://www.youtube.com/watch?v=E6glc9X8T78&amp;t=718s", "Go to time")</f>
        <v/>
      </c>
    </row>
    <row r="2021">
      <c r="A2021">
        <f>HYPERLINK("https://www.youtube.com/watch?v=E6glc9X8T78", "Video")</f>
        <v/>
      </c>
      <c r="B2021" t="inlineStr">
        <is>
          <t>14:21</t>
        </is>
      </c>
      <c r="C2021" t="inlineStr">
        <is>
          <t>christensen this one was directed by</t>
        </is>
      </c>
      <c r="D2021">
        <f>HYPERLINK("https://www.youtube.com/watch?v=E6glc9X8T78&amp;t=861s", "Go to time")</f>
        <v/>
      </c>
    </row>
    <row r="2022">
      <c r="A2022">
        <f>HYPERLINK("https://www.youtube.com/watch?v=E6glc9X8T78", "Video")</f>
        <v/>
      </c>
      <c r="B2022" t="inlineStr">
        <is>
          <t>15:50</t>
        </is>
      </c>
      <c r="C2022" t="inlineStr">
        <is>
          <t>krazynski returning to direct and the</t>
        </is>
      </c>
      <c r="D2022">
        <f>HYPERLINK("https://www.youtube.com/watch?v=E6glc9X8T78&amp;t=950s", "Go to time")</f>
        <v/>
      </c>
    </row>
    <row r="2023">
      <c r="A2023">
        <f>HYPERLINK("https://www.youtube.com/watch?v=E6glc9X8T78", "Video")</f>
        <v/>
      </c>
      <c r="B2023" t="inlineStr">
        <is>
          <t>18:16</t>
        </is>
      </c>
      <c r="C2023" t="inlineStr">
        <is>
          <t>others this film was directed by nikki</t>
        </is>
      </c>
      <c r="D2023">
        <f>HYPERLINK("https://www.youtube.com/watch?v=E6glc9X8T78&amp;t=1096s", "Go to time")</f>
        <v/>
      </c>
    </row>
    <row r="2024">
      <c r="A2024">
        <f>HYPERLINK("https://www.youtube.com/watch?v=E6glc9X8T78", "Video")</f>
        <v/>
      </c>
      <c r="B2024" t="inlineStr">
        <is>
          <t>18:27</t>
        </is>
      </c>
      <c r="C2024" t="inlineStr">
        <is>
          <t>dollars to have a female director</t>
        </is>
      </c>
      <c r="D2024">
        <f>HYPERLINK("https://www.youtube.com/watch?v=E6glc9X8T78&amp;t=1107s", "Go to time")</f>
        <v/>
      </c>
    </row>
    <row r="2025">
      <c r="A2025">
        <f>HYPERLINK("https://www.youtube.com/watch?v=E6glc9X8T78", "Video")</f>
        <v/>
      </c>
      <c r="B2025" t="inlineStr">
        <is>
          <t>19:33</t>
        </is>
      </c>
      <c r="C2025" t="inlineStr">
        <is>
          <t>comedy was written and directed by jeff</t>
        </is>
      </c>
      <c r="D2025">
        <f>HYPERLINK("https://www.youtube.com/watch?v=E6glc9X8T78&amp;t=1173s", "Go to time")</f>
        <v/>
      </c>
    </row>
    <row r="2026">
      <c r="A2026">
        <f>HYPERLINK("https://www.youtube.com/watch?v=E6glc9X8T78", "Video")</f>
        <v/>
      </c>
      <c r="B2026" t="inlineStr">
        <is>
          <t>21:47</t>
        </is>
      </c>
      <c r="C2026" t="inlineStr">
        <is>
          <t>documentary was directed by ava duvernay</t>
        </is>
      </c>
      <c r="D2026">
        <f>HYPERLINK("https://www.youtube.com/watch?v=E6glc9X8T78&amp;t=1307s", "Go to time")</f>
        <v/>
      </c>
    </row>
    <row r="2027">
      <c r="A2027">
        <f>HYPERLINK("https://www.youtube.com/watch?v=E6glc9X8T78", "Video")</f>
        <v/>
      </c>
      <c r="B2027" t="inlineStr">
        <is>
          <t>24:25</t>
        </is>
      </c>
      <c r="C2027" t="inlineStr">
        <is>
          <t>system along with director karen kusama</t>
        </is>
      </c>
      <c r="D2027">
        <f>HYPERLINK("https://www.youtube.com/watch?v=E6glc9X8T78&amp;t=1465s", "Go to time")</f>
        <v/>
      </c>
    </row>
    <row r="2028">
      <c r="A2028">
        <f>HYPERLINK("https://www.youtube.com/watch?v=VtTNioNQxvk", "Video")</f>
        <v/>
      </c>
      <c r="B2028" t="inlineStr">
        <is>
          <t>3:46</t>
        </is>
      </c>
      <c r="C2028" t="inlineStr">
        <is>
          <t>writer director frank darabont but the</t>
        </is>
      </c>
      <c r="D2028">
        <f>HYPERLINK("https://www.youtube.com/watch?v=VtTNioNQxvk&amp;t=226s", "Go to time")</f>
        <v/>
      </c>
    </row>
    <row r="2029">
      <c r="A2029">
        <f>HYPERLINK("https://www.youtube.com/watch?v=VtTNioNQxvk", "Video")</f>
        <v/>
      </c>
      <c r="B2029" t="inlineStr">
        <is>
          <t>9:21</t>
        </is>
      </c>
      <c r="C2029" t="inlineStr">
        <is>
          <t>doug writer director alejandro and</t>
        </is>
      </c>
      <c r="D2029">
        <f>HYPERLINK("https://www.youtube.com/watch?v=VtTNioNQxvk&amp;t=561s", "Go to time")</f>
        <v/>
      </c>
    </row>
    <row r="2030">
      <c r="A2030">
        <f>HYPERLINK("https://www.youtube.com/watch?v=VtTNioNQxvk", "Video")</f>
        <v/>
      </c>
      <c r="B2030" t="inlineStr">
        <is>
          <t>16:14</t>
        </is>
      </c>
      <c r="C2030" t="inlineStr">
        <is>
          <t>director henry george clouseau made a</t>
        </is>
      </c>
      <c r="D2030">
        <f>HYPERLINK("https://www.youtube.com/watch?v=VtTNioNQxvk&amp;t=974s", "Go to time")</f>
        <v/>
      </c>
    </row>
    <row r="2031">
      <c r="A2031">
        <f>HYPERLINK("https://www.youtube.com/watch?v=VtTNioNQxvk", "Video")</f>
        <v/>
      </c>
      <c r="B2031" t="inlineStr">
        <is>
          <t>20:20</t>
        </is>
      </c>
      <c r="C2031" t="inlineStr">
        <is>
          <t>about zombies was more directly related</t>
        </is>
      </c>
      <c r="D2031">
        <f>HYPERLINK("https://www.youtube.com/watch?v=VtTNioNQxvk&amp;t=1220s", "Go to time")</f>
        <v/>
      </c>
    </row>
    <row r="2032">
      <c r="A2032">
        <f>HYPERLINK("https://www.youtube.com/watch?v=VtTNioNQxvk", "Video")</f>
        <v/>
      </c>
      <c r="B2032" t="inlineStr">
        <is>
          <t>25:44</t>
        </is>
      </c>
      <c r="C2032" t="inlineStr">
        <is>
          <t>nominated for best director though he</t>
        </is>
      </c>
      <c r="D2032">
        <f>HYPERLINK("https://www.youtube.com/watch?v=VtTNioNQxvk&amp;t=1544s", "Go to time")</f>
        <v/>
      </c>
    </row>
    <row r="2033">
      <c r="A2033">
        <f>HYPERLINK("https://www.youtube.com/watch?v=VtTNioNQxvk", "Video")</f>
        <v/>
      </c>
      <c r="B2033" t="inlineStr">
        <is>
          <t>27:16</t>
        </is>
      </c>
      <c r="C2033" t="inlineStr">
        <is>
          <t>shyamalan's directorial debut</t>
        </is>
      </c>
      <c r="D2033">
        <f>HYPERLINK("https://www.youtube.com/watch?v=VtTNioNQxvk&amp;t=1636s", "Go to time")</f>
        <v/>
      </c>
    </row>
    <row r="2034">
      <c r="A2034">
        <f>HYPERLINK("https://www.youtube.com/watch?v=VtTNioNQxvk", "Video")</f>
        <v/>
      </c>
      <c r="B2034" t="inlineStr">
        <is>
          <t>27:39</t>
        </is>
      </c>
      <c r="C2034" t="inlineStr">
        <is>
          <t>picture best director and original</t>
        </is>
      </c>
      <c r="D2034">
        <f>HYPERLINK("https://www.youtube.com/watch?v=VtTNioNQxvk&amp;t=1659s", "Go to time")</f>
        <v/>
      </c>
    </row>
    <row r="2035">
      <c r="A2035">
        <f>HYPERLINK("https://www.youtube.com/watch?v=AhwvMFlHbKw", "Video")</f>
        <v/>
      </c>
      <c r="B2035" t="inlineStr">
        <is>
          <t>7:08</t>
        </is>
      </c>
      <c r="C2035" t="inlineStr">
        <is>
          <t>also a very talented director comedy</t>
        </is>
      </c>
      <c r="D2035">
        <f>HYPERLINK("https://www.youtube.com/watch?v=AhwvMFlHbKw&amp;t=428s", "Go to time")</f>
        <v/>
      </c>
    </row>
    <row r="2036">
      <c r="A2036">
        <f>HYPERLINK("https://www.youtube.com/watch?v=AhwvMFlHbKw", "Video")</f>
        <v/>
      </c>
      <c r="B2036" t="inlineStr">
        <is>
          <t>7:09</t>
        </is>
      </c>
      <c r="C2036" t="inlineStr">
        <is>
          <t>director what a crazy thing that is a</t>
        </is>
      </c>
      <c r="D2036">
        <f>HYPERLINK("https://www.youtube.com/watch?v=AhwvMFlHbKw&amp;t=429s", "Go to time")</f>
        <v/>
      </c>
    </row>
    <row r="2037">
      <c r="A2037">
        <f>HYPERLINK("https://www.youtube.com/watch?v=AhwvMFlHbKw", "Video")</f>
        <v/>
      </c>
      <c r="B2037" t="inlineStr">
        <is>
          <t>17:16</t>
        </is>
      </c>
      <c r="C2037" t="inlineStr">
        <is>
          <t>say it had really smart Direction and</t>
        </is>
      </c>
      <c r="D2037">
        <f>HYPERLINK("https://www.youtube.com/watch?v=AhwvMFlHbKw&amp;t=1036s", "Go to time")</f>
        <v/>
      </c>
    </row>
    <row r="2038">
      <c r="A2038">
        <f>HYPERLINK("https://www.youtube.com/watch?v=AhwvMFlHbKw", "Video")</f>
        <v/>
      </c>
      <c r="B2038" t="inlineStr">
        <is>
          <t>23:46</t>
        </is>
      </c>
      <c r="C2038" t="inlineStr">
        <is>
          <t>gooseb and director Matthew Robbins the</t>
        </is>
      </c>
      <c r="D2038">
        <f>HYPERLINK("https://www.youtube.com/watch?v=AhwvMFlHbKw&amp;t=1426s", "Go to time")</f>
        <v/>
      </c>
    </row>
    <row r="2039">
      <c r="A2039">
        <f>HYPERLINK("https://www.youtube.com/watch?v=oGWcUgWuS6E", "Video")</f>
        <v/>
      </c>
      <c r="B2039" t="inlineStr">
        <is>
          <t>0:48</t>
        </is>
      </c>
      <c r="C2039" t="inlineStr">
        <is>
          <t>directly the line to choose a solution</t>
        </is>
      </c>
      <c r="D2039">
        <f>HYPERLINK("https://www.youtube.com/watch?v=oGWcUgWuS6E&amp;t=48s", "Go to time")</f>
        <v/>
      </c>
    </row>
    <row r="2040">
      <c r="A2040">
        <f>HYPERLINK("https://www.youtube.com/watch?v=o3__EFujCmo", "Video")</f>
        <v/>
      </c>
      <c r="B2040" t="inlineStr">
        <is>
          <t>2:07</t>
        </is>
      </c>
      <c r="C2040" t="inlineStr">
        <is>
          <t>directed at me</t>
        </is>
      </c>
      <c r="D2040">
        <f>HYPERLINK("https://www.youtube.com/watch?v=o3__EFujCmo&amp;t=127s", "Go to time")</f>
        <v/>
      </c>
    </row>
    <row r="2041">
      <c r="A2041">
        <f>HYPERLINK("https://www.youtube.com/watch?v=JhBYFCUY3iE", "Video")</f>
        <v/>
      </c>
      <c r="B2041" t="inlineStr">
        <is>
          <t>2:12</t>
        </is>
      </c>
      <c r="C2041" t="inlineStr">
        <is>
          <t>I'm applying direct pressure you don't</t>
        </is>
      </c>
      <c r="D2041">
        <f>HYPERLINK("https://www.youtube.com/watch?v=JhBYFCUY3iE&amp;t=132s", "Go to time")</f>
        <v/>
      </c>
    </row>
    <row r="2042">
      <c r="A2042">
        <f>HYPERLINK("https://www.youtube.com/watch?v=0IWmniYe7aI", "Video")</f>
        <v/>
      </c>
      <c r="B2042" t="inlineStr">
        <is>
          <t>2:02</t>
        </is>
      </c>
      <c r="C2042" t="inlineStr">
        <is>
          <t>direction well what do you know he fell</t>
        </is>
      </c>
      <c r="D2042">
        <f>HYPERLINK("https://www.youtube.com/watch?v=0IWmniYe7aI&amp;t=122s", "Go to time")</f>
        <v/>
      </c>
    </row>
    <row r="2043">
      <c r="A2043">
        <f>HYPERLINK("https://www.youtube.com/watch?v=iwPC-3LoUEE", "Video")</f>
        <v/>
      </c>
      <c r="B2043" t="inlineStr">
        <is>
          <t>2:35</t>
        </is>
      </c>
      <c r="C2043" t="inlineStr">
        <is>
          <t>right direction yeah and not to be</t>
        </is>
      </c>
      <c r="D2043">
        <f>HYPERLINK("https://www.youtube.com/watch?v=iwPC-3LoUEE&amp;t=155s", "Go to time")</f>
        <v/>
      </c>
    </row>
    <row r="2044">
      <c r="A2044">
        <f>HYPERLINK("https://www.youtube.com/watch?v=JFZEUflOreg", "Video")</f>
        <v/>
      </c>
      <c r="B2044" t="inlineStr">
        <is>
          <t>1:58</t>
        </is>
      </c>
      <c r="C2044" t="inlineStr">
        <is>
          <t>together give my life Direction you make</t>
        </is>
      </c>
      <c r="D2044">
        <f>HYPERLINK("https://www.youtube.com/watch?v=JFZEUflOreg&amp;t=118s", "Go to time")</f>
        <v/>
      </c>
    </row>
    <row r="2045">
      <c r="A2045">
        <f>HYPERLINK("https://www.youtube.com/watch?v=DqgImCHYrVM", "Video")</f>
        <v/>
      </c>
      <c r="B2045" t="inlineStr">
        <is>
          <t>19:57</t>
        </is>
      </c>
      <c r="C2045" t="inlineStr">
        <is>
          <t>redirected associated with other</t>
        </is>
      </c>
      <c r="D2045">
        <f>HYPERLINK("https://www.youtube.com/watch?v=DqgImCHYrVM&amp;t=1197s", "Go to time")</f>
        <v/>
      </c>
    </row>
    <row r="2046">
      <c r="A2046">
        <f>HYPERLINK("https://www.youtube.com/watch?v=D0QTlMoS8Zs", "Video")</f>
        <v/>
      </c>
      <c r="B2046" t="inlineStr">
        <is>
          <t>0:18</t>
        </is>
      </c>
      <c r="C2046" t="inlineStr">
        <is>
          <t>this direction how many more missiles</t>
        </is>
      </c>
      <c r="D2046">
        <f>HYPERLINK("https://www.youtube.com/watch?v=D0QTlMoS8Zs&amp;t=18s", "Go to time")</f>
        <v/>
      </c>
    </row>
    <row r="2047">
      <c r="A2047">
        <f>HYPERLINK("https://www.youtube.com/watch?v=7qyF82biTp4", "Video")</f>
        <v/>
      </c>
      <c r="B2047" t="inlineStr">
        <is>
          <t>0:13</t>
        </is>
      </c>
      <c r="C2047" t="inlineStr">
        <is>
          <t>on yeah direct him yes there's a Target</t>
        </is>
      </c>
      <c r="D2047">
        <f>HYPERLINK("https://www.youtube.com/watch?v=7qyF82biTp4&amp;t=13s", "Go to time")</f>
        <v/>
      </c>
    </row>
    <row r="2048">
      <c r="A2048">
        <f>HYPERLINK("https://www.youtube.com/watch?v=3Nm2FjbKrIA", "Video")</f>
        <v/>
      </c>
      <c r="B2048" t="inlineStr">
        <is>
          <t>5:29</t>
        </is>
      </c>
      <c r="C2048" t="inlineStr">
        <is>
          <t>directed by Chad stachelski and starring</t>
        </is>
      </c>
      <c r="D2048">
        <f>HYPERLINK("https://www.youtube.com/watch?v=3Nm2FjbKrIA&amp;t=329s", "Go to time")</f>
        <v/>
      </c>
    </row>
    <row r="2049">
      <c r="A2049">
        <f>HYPERLINK("https://www.youtube.com/watch?v=3Nm2FjbKrIA", "Video")</f>
        <v/>
      </c>
      <c r="B2049" t="inlineStr">
        <is>
          <t>6:30</t>
        </is>
      </c>
      <c r="C2049" t="inlineStr">
        <is>
          <t>himself who is dating Sasha now director</t>
        </is>
      </c>
      <c r="D2049">
        <f>HYPERLINK("https://www.youtube.com/watch?v=3Nm2FjbKrIA&amp;t=390s", "Go to time")</f>
        <v/>
      </c>
    </row>
    <row r="2050">
      <c r="A2050">
        <f>HYPERLINK("https://www.youtube.com/watch?v=3Nm2FjbKrIA", "Video")</f>
        <v/>
      </c>
      <c r="B2050" t="inlineStr">
        <is>
          <t>7:23</t>
        </is>
      </c>
      <c r="C2050" t="inlineStr">
        <is>
          <t>and directed by Kenneth bronoff who also</t>
        </is>
      </c>
      <c r="D2050">
        <f>HYPERLINK("https://www.youtube.com/watch?v=3Nm2FjbKrIA&amp;t=443s", "Go to time")</f>
        <v/>
      </c>
    </row>
    <row r="2051">
      <c r="A2051">
        <f>HYPERLINK("https://www.youtube.com/watch?v=3Nm2FjbKrIA", "Video")</f>
        <v/>
      </c>
      <c r="B2051" t="inlineStr">
        <is>
          <t>8:26</t>
        </is>
      </c>
      <c r="C2051" t="inlineStr">
        <is>
          <t>hour now first time director yonda Bond</t>
        </is>
      </c>
      <c r="D2051">
        <f>HYPERLINK("https://www.youtube.com/watch?v=3Nm2FjbKrIA&amp;t=506s", "Go to time")</f>
        <v/>
      </c>
    </row>
    <row r="2052">
      <c r="A2052">
        <f>HYPERLINK("https://www.youtube.com/watch?v=3Nm2FjbKrIA", "Video")</f>
        <v/>
      </c>
      <c r="B2052" t="inlineStr">
        <is>
          <t>8:28</t>
        </is>
      </c>
      <c r="C2052" t="inlineStr">
        <is>
          <t>who would direct twister a couple years</t>
        </is>
      </c>
      <c r="D2052">
        <f>HYPERLINK("https://www.youtube.com/watch?v=3Nm2FjbKrIA&amp;t=508s", "Go to time")</f>
        <v/>
      </c>
    </row>
    <row r="2053">
      <c r="A2053">
        <f>HYPERLINK("https://www.youtube.com/watch?v=qmjeUnkUwnw", "Video")</f>
        <v/>
      </c>
      <c r="B2053" t="inlineStr">
        <is>
          <t>0:59</t>
        </is>
      </c>
      <c r="C2053" t="inlineStr">
        <is>
          <t>direct to video sequel and now we're</t>
        </is>
      </c>
      <c r="D2053">
        <f>HYPERLINK("https://www.youtube.com/watch?v=qmjeUnkUwnw&amp;t=59s", "Go to time")</f>
        <v/>
      </c>
    </row>
    <row r="2054">
      <c r="A2054">
        <f>HYPERLINK("https://www.youtube.com/watch?v=qmjeUnkUwnw", "Video")</f>
        <v/>
      </c>
      <c r="B2054" t="inlineStr">
        <is>
          <t>2:21</t>
        </is>
      </c>
      <c r="C2054" t="inlineStr">
        <is>
          <t>avoid competing directly with pixar's</t>
        </is>
      </c>
      <c r="D2054">
        <f>HYPERLINK("https://www.youtube.com/watch?v=qmjeUnkUwnw&amp;t=141s", "Go to time")</f>
        <v/>
      </c>
    </row>
    <row r="2055">
      <c r="A2055">
        <f>HYPERLINK("https://www.youtube.com/watch?v=qmjeUnkUwnw", "Video")</f>
        <v/>
      </c>
      <c r="B2055" t="inlineStr">
        <is>
          <t>4:37</t>
        </is>
      </c>
      <c r="C2055" t="inlineStr">
        <is>
          <t>produced by john lasseter who directed</t>
        </is>
      </c>
      <c r="D2055">
        <f>HYPERLINK("https://www.youtube.com/watch?v=qmjeUnkUwnw&amp;t=277s", "Go to time")</f>
        <v/>
      </c>
    </row>
    <row r="2056">
      <c r="A2056">
        <f>HYPERLINK("https://www.youtube.com/watch?v=qmjeUnkUwnw", "Video")</f>
        <v/>
      </c>
      <c r="B2056" t="inlineStr">
        <is>
          <t>5:26</t>
        </is>
      </c>
      <c r="C2056" t="inlineStr">
        <is>
          <t>direct-to-video releases but they</t>
        </is>
      </c>
      <c r="D2056">
        <f>HYPERLINK("https://www.youtube.com/watch?v=qmjeUnkUwnw&amp;t=326s", "Go to time")</f>
        <v/>
      </c>
    </row>
    <row r="2057">
      <c r="A2057">
        <f>HYPERLINK("https://www.youtube.com/watch?v=qmjeUnkUwnw", "Video")</f>
        <v/>
      </c>
      <c r="B2057" t="inlineStr">
        <is>
          <t>8:17</t>
        </is>
      </c>
      <c r="C2057" t="inlineStr">
        <is>
          <t>has gone the way of the direct to video</t>
        </is>
      </c>
      <c r="D2057">
        <f>HYPERLINK("https://www.youtube.com/watch?v=qmjeUnkUwnw&amp;t=497s", "Go to time")</f>
        <v/>
      </c>
    </row>
    <row r="2058">
      <c r="A2058">
        <f>HYPERLINK("https://www.youtube.com/watch?v=qmjeUnkUwnw", "Video")</f>
        <v/>
      </c>
      <c r="B2058" t="inlineStr">
        <is>
          <t>22:26</t>
        </is>
      </c>
      <c r="C2058" t="inlineStr">
        <is>
          <t>director worst screen combo and worst</t>
        </is>
      </c>
      <c r="D2058">
        <f>HYPERLINK("https://www.youtube.com/watch?v=qmjeUnkUwnw&amp;t=1346s", "Go to time")</f>
        <v/>
      </c>
    </row>
    <row r="2059">
      <c r="A2059">
        <f>HYPERLINK("https://www.youtube.com/watch?v=dP5e3MxjRiw", "Video")</f>
        <v/>
      </c>
      <c r="B2059" t="inlineStr">
        <is>
          <t>0:52</t>
        </is>
      </c>
      <c r="C2059" t="inlineStr">
        <is>
          <t>oh it's directly on I'm on my own</t>
        </is>
      </c>
      <c r="D2059">
        <f>HYPERLINK("https://www.youtube.com/watch?v=dP5e3MxjRiw&amp;t=52s", "Go to time")</f>
        <v/>
      </c>
    </row>
    <row r="2060">
      <c r="A2060">
        <f>HYPERLINK("https://www.youtube.com/watch?v=ESEKkJNt1P8", "Video")</f>
        <v/>
      </c>
      <c r="B2060" t="inlineStr">
        <is>
          <t>2:09</t>
        </is>
      </c>
      <c r="C2060" t="inlineStr">
        <is>
          <t>a contact directly above us 400 yards</t>
        </is>
      </c>
      <c r="D2060">
        <f>HYPERLINK("https://www.youtube.com/watch?v=ESEKkJNt1P8&amp;t=129s", "Go to time")</f>
        <v/>
      </c>
    </row>
    <row r="2061">
      <c r="A2061">
        <f>HYPERLINK("https://www.youtube.com/watch?v=3wxftukchNw", "Video")</f>
        <v/>
      </c>
      <c r="B2061" t="inlineStr">
        <is>
          <t>2:25</t>
        </is>
      </c>
      <c r="C2061" t="inlineStr">
        <is>
          <t>direct parody of the legendary mass</t>
        </is>
      </c>
      <c r="D2061">
        <f>HYPERLINK("https://www.youtube.com/watch?v=3wxftukchNw&amp;t=145s", "Go to time")</f>
        <v/>
      </c>
    </row>
    <row r="2062">
      <c r="A2062">
        <f>HYPERLINK("https://www.youtube.com/watch?v=3wxftukchNw", "Video")</f>
        <v/>
      </c>
      <c r="B2062" t="inlineStr">
        <is>
          <t>3:22</t>
        </is>
      </c>
      <c r="C2062" t="inlineStr">
        <is>
          <t>cats owned by director andrew adamson</t>
        </is>
      </c>
      <c r="D2062">
        <f>HYPERLINK("https://www.youtube.com/watch?v=3wxftukchNw&amp;t=202s", "Go to time")</f>
        <v/>
      </c>
    </row>
    <row r="2063">
      <c r="A2063">
        <f>HYPERLINK("https://www.youtube.com/watch?v=3wxftukchNw", "Video")</f>
        <v/>
      </c>
      <c r="B2063" t="inlineStr">
        <is>
          <t>4:05</t>
        </is>
      </c>
      <c r="C2063" t="inlineStr">
        <is>
          <t>puss and boots feature directed by chris</t>
        </is>
      </c>
      <c r="D2063">
        <f>HYPERLINK("https://www.youtube.com/watch?v=3wxftukchNw&amp;t=245s", "Go to time")</f>
        <v/>
      </c>
    </row>
    <row r="2064">
      <c r="A2064">
        <f>HYPERLINK("https://www.youtube.com/watch?v=3wxftukchNw", "Video")</f>
        <v/>
      </c>
      <c r="B2064" t="inlineStr">
        <is>
          <t>16:14</t>
        </is>
      </c>
      <c r="C2064" t="inlineStr">
        <is>
          <t>move and look in the right direction the</t>
        </is>
      </c>
      <c r="D2064">
        <f>HYPERLINK("https://www.youtube.com/watch?v=3wxftukchNw&amp;t=974s", "Go to time")</f>
        <v/>
      </c>
    </row>
    <row r="2065">
      <c r="A2065">
        <f>HYPERLINK("https://www.youtube.com/watch?v=3wxftukchNw", "Video")</f>
        <v/>
      </c>
      <c r="B2065" t="inlineStr">
        <is>
          <t>17:25</t>
        </is>
      </c>
      <c r="C2065" t="inlineStr">
        <is>
          <t>on a cat that director rob minkoff had</t>
        </is>
      </c>
      <c r="D2065">
        <f>HYPERLINK("https://www.youtube.com/watch?v=3wxftukchNw&amp;t=1045s", "Go to time")</f>
        <v/>
      </c>
    </row>
    <row r="2066">
      <c r="A2066">
        <f>HYPERLINK("https://www.youtube.com/watch?v=3wxftukchNw", "Video")</f>
        <v/>
      </c>
      <c r="B2066" t="inlineStr">
        <is>
          <t>19:00</t>
        </is>
      </c>
      <c r="C2066" t="inlineStr">
        <is>
          <t>personalities and skills director kenny</t>
        </is>
      </c>
      <c r="D2066">
        <f>HYPERLINK("https://www.youtube.com/watch?v=3wxftukchNw&amp;t=1140s", "Go to time")</f>
        <v/>
      </c>
    </row>
    <row r="2067">
      <c r="A2067">
        <f>HYPERLINK("https://www.youtube.com/watch?v=3wxftukchNw", "Video")</f>
        <v/>
      </c>
      <c r="B2067" t="inlineStr">
        <is>
          <t>21:03</t>
        </is>
      </c>
      <c r="C2067" t="inlineStr">
        <is>
          <t>director and writer ken anderson spent a</t>
        </is>
      </c>
      <c r="D2067">
        <f>HYPERLINK("https://www.youtube.com/watch?v=3wxftukchNw&amp;t=1263s", "Go to time")</f>
        <v/>
      </c>
    </row>
    <row r="2068">
      <c r="A2068">
        <f>HYPERLINK("https://www.youtube.com/watch?v=3wxftukchNw", "Video")</f>
        <v/>
      </c>
      <c r="B2068" t="inlineStr">
        <is>
          <t>22:25</t>
        </is>
      </c>
      <c r="C2068" t="inlineStr">
        <is>
          <t>directed by ridley scott and starring</t>
        </is>
      </c>
      <c r="D2068">
        <f>HYPERLINK("https://www.youtube.com/watch?v=3wxftukchNw&amp;t=1345s", "Go to time")</f>
        <v/>
      </c>
    </row>
    <row r="2069">
      <c r="A2069">
        <f>HYPERLINK("https://www.youtube.com/watch?v=r1rT20VGQ5o", "Video")</f>
        <v/>
      </c>
      <c r="B2069" t="inlineStr">
        <is>
          <t>36:52</t>
        </is>
      </c>
      <c r="C2069" t="inlineStr">
        <is>
          <t>her directions making up street names</t>
        </is>
      </c>
      <c r="D2069">
        <f>HYPERLINK("https://www.youtube.com/watch?v=r1rT20VGQ5o&amp;t=2212s", "Go to time")</f>
        <v/>
      </c>
    </row>
    <row r="2070">
      <c r="A2070">
        <f>HYPERLINK("https://www.youtube.com/watch?v=pegpswIDO04", "Video")</f>
        <v/>
      </c>
      <c r="B2070" t="inlineStr">
        <is>
          <t>8:09</t>
        </is>
      </c>
      <c r="C2070" t="inlineStr">
        <is>
          <t>director he's terrible you've watched it</t>
        </is>
      </c>
      <c r="D2070">
        <f>HYPERLINK("https://www.youtube.com/watch?v=pegpswIDO04&amp;t=489s", "Go to time")</f>
        <v/>
      </c>
    </row>
    <row r="2071">
      <c r="A2071">
        <f>HYPERLINK("https://www.youtube.com/watch?v=pegpswIDO04", "Video")</f>
        <v/>
      </c>
      <c r="B2071" t="inlineStr">
        <is>
          <t>22:59</t>
        </is>
      </c>
      <c r="C2071" t="inlineStr">
        <is>
          <t>this International director and they</t>
        </is>
      </c>
      <c r="D2071">
        <f>HYPERLINK("https://www.youtube.com/watch?v=pegpswIDO04&amp;t=1379s", "Go to time")</f>
        <v/>
      </c>
    </row>
    <row r="2072">
      <c r="A2072">
        <f>HYPERLINK("https://www.youtube.com/watch?v=pegpswIDO04", "Video")</f>
        <v/>
      </c>
      <c r="B2072" t="inlineStr">
        <is>
          <t>23:18</t>
        </is>
      </c>
      <c r="C2072" t="inlineStr">
        <is>
          <t>of directors and it's like I wonder if</t>
        </is>
      </c>
      <c r="D2072">
        <f>HYPERLINK("https://www.youtube.com/watch?v=pegpswIDO04&amp;t=1398s", "Go to time")</f>
        <v/>
      </c>
    </row>
    <row r="2073">
      <c r="A2073">
        <f>HYPERLINK("https://www.youtube.com/watch?v=pegpswIDO04", "Video")</f>
        <v/>
      </c>
      <c r="B2073" t="inlineStr">
        <is>
          <t>23:28</t>
        </is>
      </c>
      <c r="C2073" t="inlineStr">
        <is>
          <t>back on the directors did you like the</t>
        </is>
      </c>
      <c r="D2073">
        <f>HYPERLINK("https://www.youtube.com/watch?v=pegpswIDO04&amp;t=1408s", "Go to time")</f>
        <v/>
      </c>
    </row>
    <row r="2074">
      <c r="A2074">
        <f>HYPERLINK("https://www.youtube.com/watch?v=pegpswIDO04", "Video")</f>
        <v/>
      </c>
      <c r="B2074" t="inlineStr">
        <is>
          <t>41:00</t>
        </is>
      </c>
      <c r="C2074" t="inlineStr">
        <is>
          <t>part of that he is a great director and</t>
        </is>
      </c>
      <c r="D2074">
        <f>HYPERLINK("https://www.youtube.com/watch?v=pegpswIDO04&amp;t=2460s", "Go to time")</f>
        <v/>
      </c>
    </row>
    <row r="2075">
      <c r="A2075">
        <f>HYPERLINK("https://www.youtube.com/watch?v=wlsLJik8inQ", "Video")</f>
        <v/>
      </c>
      <c r="B2075" t="inlineStr">
        <is>
          <t>29:08</t>
        </is>
      </c>
      <c r="C2075" t="inlineStr">
        <is>
          <t>direct to VOD with Big Time stars or</t>
        </is>
      </c>
      <c r="D2075">
        <f>HYPERLINK("https://www.youtube.com/watch?v=wlsLJik8inQ&amp;t=1748s", "Go to time")</f>
        <v/>
      </c>
    </row>
    <row r="2076">
      <c r="A2076">
        <f>HYPERLINK("https://www.youtube.com/watch?v=wlsLJik8inQ", "Video")</f>
        <v/>
      </c>
      <c r="B2076" t="inlineStr">
        <is>
          <t>32:55</t>
        </is>
      </c>
      <c r="C2076" t="inlineStr">
        <is>
          <t>directed it and he loves his slo-mo and</t>
        </is>
      </c>
      <c r="D2076">
        <f>HYPERLINK("https://www.youtube.com/watch?v=wlsLJik8inQ&amp;t=1975s", "Go to time")</f>
        <v/>
      </c>
    </row>
    <row r="2077">
      <c r="A2077">
        <f>HYPERLINK("https://www.youtube.com/watch?v=wlsLJik8inQ", "Video")</f>
        <v/>
      </c>
      <c r="B2077" t="inlineStr">
        <is>
          <t>47:24</t>
        </is>
      </c>
      <c r="C2077" t="inlineStr">
        <is>
          <t>Best Director best film so really proud</t>
        </is>
      </c>
      <c r="D2077">
        <f>HYPERLINK("https://www.youtube.com/watch?v=wlsLJik8inQ&amp;t=2844s", "Go to time")</f>
        <v/>
      </c>
    </row>
    <row r="2078">
      <c r="A2078">
        <f>HYPERLINK("https://www.youtube.com/watch?v=wlsLJik8inQ", "Video")</f>
        <v/>
      </c>
      <c r="B2078" t="inlineStr">
        <is>
          <t>48:39</t>
        </is>
      </c>
      <c r="C2078" t="inlineStr">
        <is>
          <t>action The Last Airbender directed by</t>
        </is>
      </c>
      <c r="D2078">
        <f>HYPERLINK("https://www.youtube.com/watch?v=wlsLJik8inQ&amp;t=2919s", "Go to time")</f>
        <v/>
      </c>
    </row>
    <row r="2079">
      <c r="A2079">
        <f>HYPERLINK("https://www.youtube.com/watch?v=Il5WMLS-GWI", "Video")</f>
        <v/>
      </c>
      <c r="B2079" t="inlineStr">
        <is>
          <t>1:28</t>
        </is>
      </c>
      <c r="C2079" t="inlineStr">
        <is>
          <t>director bob clark and asked for his</t>
        </is>
      </c>
      <c r="D2079">
        <f>HYPERLINK("https://www.youtube.com/watch?v=Il5WMLS-GWI&amp;t=88s", "Go to time")</f>
        <v/>
      </c>
    </row>
    <row r="2080">
      <c r="A2080">
        <f>HYPERLINK("https://www.youtube.com/watch?v=Il5WMLS-GWI", "Video")</f>
        <v/>
      </c>
      <c r="B2080" t="inlineStr">
        <is>
          <t>2:45</t>
        </is>
      </c>
      <c r="C2080" t="inlineStr">
        <is>
          <t>favorite director curtis's mother janet</t>
        </is>
      </c>
      <c r="D2080">
        <f>HYPERLINK("https://www.youtube.com/watch?v=Il5WMLS-GWI&amp;t=165s", "Go to time")</f>
        <v/>
      </c>
    </row>
    <row r="2081">
      <c r="A2081">
        <f>HYPERLINK("https://www.youtube.com/watch?v=Il5WMLS-GWI", "Video")</f>
        <v/>
      </c>
      <c r="B2081" t="inlineStr">
        <is>
          <t>4:25</t>
        </is>
      </c>
      <c r="C2081" t="inlineStr">
        <is>
          <t>having turned down the chance to direct</t>
        </is>
      </c>
      <c r="D2081">
        <f>HYPERLINK("https://www.youtube.com/watch?v=Il5WMLS-GWI&amp;t=265s", "Go to time")</f>
        <v/>
      </c>
    </row>
    <row r="2082">
      <c r="A2082">
        <f>HYPERLINK("https://www.youtube.com/watch?v=Il5WMLS-GWI", "Video")</f>
        <v/>
      </c>
      <c r="B2082" t="inlineStr">
        <is>
          <t>7:59</t>
        </is>
      </c>
      <c r="C2082" t="inlineStr">
        <is>
          <t>carpenter tapped joe dante to direct the</t>
        </is>
      </c>
      <c r="D2082">
        <f>HYPERLINK("https://www.youtube.com/watch?v=Il5WMLS-GWI&amp;t=479s", "Go to time")</f>
        <v/>
      </c>
    </row>
    <row r="2083">
      <c r="A2083">
        <f>HYPERLINK("https://www.youtube.com/watch?v=Il5WMLS-GWI", "Video")</f>
        <v/>
      </c>
      <c r="B2083" t="inlineStr">
        <is>
          <t>8:15</t>
        </is>
      </c>
      <c r="C2083" t="inlineStr">
        <is>
          <t>carpenter and new director tommy lee</t>
        </is>
      </c>
      <c r="D2083">
        <f>HYPERLINK("https://www.youtube.com/watch?v=Il5WMLS-GWI&amp;t=495s", "Go to time")</f>
        <v/>
      </c>
    </row>
    <row r="2084">
      <c r="A2084">
        <f>HYPERLINK("https://www.youtube.com/watch?v=Il5WMLS-GWI", "Video")</f>
        <v/>
      </c>
      <c r="B2084" t="inlineStr">
        <is>
          <t>20:08</t>
        </is>
      </c>
      <c r="C2084" t="inlineStr">
        <is>
          <t>this time around director rick rosenthal</t>
        </is>
      </c>
      <c r="D2084">
        <f>HYPERLINK("https://www.youtube.com/watch?v=Il5WMLS-GWI&amp;t=1208s", "Go to time")</f>
        <v/>
      </c>
    </row>
    <row r="2085">
      <c r="A2085">
        <f>HYPERLINK("https://www.youtube.com/watch?v=Il5WMLS-GWI", "Video")</f>
        <v/>
      </c>
      <c r="B2085" t="inlineStr">
        <is>
          <t>20:23</t>
        </is>
      </c>
      <c r="C2085" t="inlineStr">
        <is>
          <t>until directors decided he was too short</t>
        </is>
      </c>
      <c r="D2085">
        <f>HYPERLINK("https://www.youtube.com/watch?v=Il5WMLS-GWI&amp;t=1223s", "Go to time")</f>
        <v/>
      </c>
    </row>
    <row r="2086">
      <c r="A2086">
        <f>HYPERLINK("https://www.youtube.com/watch?v=Il5WMLS-GWI", "Video")</f>
        <v/>
      </c>
      <c r="B2086" t="inlineStr">
        <is>
          <t>23:45</t>
        </is>
      </c>
      <c r="C2086" t="inlineStr">
        <is>
          <t>reluctantly agreed to write and direct</t>
        </is>
      </c>
      <c r="D2086">
        <f>HYPERLINK("https://www.youtube.com/watch?v=Il5WMLS-GWI&amp;t=1425s", "Go to time")</f>
        <v/>
      </c>
    </row>
    <row r="2087">
      <c r="A2087">
        <f>HYPERLINK("https://www.youtube.com/watch?v=Il5WMLS-GWI", "Video")</f>
        <v/>
      </c>
      <c r="B2087" t="inlineStr">
        <is>
          <t>25:32</t>
        </is>
      </c>
      <c r="C2087" t="inlineStr">
        <is>
          <t>green director of stoner comedies like</t>
        </is>
      </c>
      <c r="D2087">
        <f>HYPERLINK("https://www.youtube.com/watch?v=Il5WMLS-GWI&amp;t=1532s", "Go to time")</f>
        <v/>
      </c>
    </row>
    <row r="2088">
      <c r="A2088">
        <f>HYPERLINK("https://www.youtube.com/watch?v=TnHOFvLoILQ", "Video")</f>
        <v/>
      </c>
      <c r="B2088" t="inlineStr">
        <is>
          <t>0:06</t>
        </is>
      </c>
      <c r="C2088" t="inlineStr">
        <is>
          <t>working directly for him doing Aaron's</t>
        </is>
      </c>
      <c r="D2088">
        <f>HYPERLINK("https://www.youtube.com/watch?v=TnHOFvLoILQ&amp;t=6s", "Go to time")</f>
        <v/>
      </c>
    </row>
    <row r="2089">
      <c r="A2089">
        <f>HYPERLINK("https://www.youtube.com/watch?v=TnHOFvLoILQ", "Video")</f>
        <v/>
      </c>
      <c r="B2089" t="inlineStr">
        <is>
          <t>3:47</t>
        </is>
      </c>
      <c r="C2089" t="inlineStr">
        <is>
          <t>direction my life took</t>
        </is>
      </c>
      <c r="D2089">
        <f>HYPERLINK("https://www.youtube.com/watch?v=TnHOFvLoILQ&amp;t=227s", "Go to time")</f>
        <v/>
      </c>
    </row>
    <row r="2090">
      <c r="A2090">
        <f>HYPERLINK("https://www.youtube.com/watch?v=-TVicuP4BZQ", "Video")</f>
        <v/>
      </c>
      <c r="B2090" t="inlineStr">
        <is>
          <t>2:17</t>
        </is>
      </c>
      <c r="C2090" t="inlineStr">
        <is>
          <t>I talked directly over long distance to</t>
        </is>
      </c>
      <c r="D2090">
        <f>HYPERLINK("https://www.youtube.com/watch?v=-TVicuP4BZQ&amp;t=137s", "Go to time")</f>
        <v/>
      </c>
    </row>
    <row r="2091">
      <c r="A2091">
        <f>HYPERLINK("https://www.youtube.com/watch?v=O0FbN5OnKcw", "Video")</f>
        <v/>
      </c>
      <c r="B2091" t="inlineStr">
        <is>
          <t>2:17</t>
        </is>
      </c>
      <c r="C2091" t="inlineStr">
        <is>
          <t>the first and only one not directed by</t>
        </is>
      </c>
      <c r="D2091">
        <f>HYPERLINK("https://www.youtube.com/watch?v=O0FbN5OnKcw&amp;t=137s", "Go to time")</f>
        <v/>
      </c>
    </row>
    <row r="2092">
      <c r="A2092">
        <f>HYPERLINK("https://www.youtube.com/watch?v=O0FbN5OnKcw", "Video")</f>
        <v/>
      </c>
      <c r="B2092" t="inlineStr">
        <is>
          <t>2:26</t>
        </is>
      </c>
      <c r="C2092" t="inlineStr">
        <is>
          <t>would be writing off director and</t>
        </is>
      </c>
      <c r="D2092">
        <f>HYPERLINK("https://www.youtube.com/watch?v=O0FbN5OnKcw&amp;t=146s", "Go to time")</f>
        <v/>
      </c>
    </row>
    <row r="2093">
      <c r="A2093">
        <f>HYPERLINK("https://www.youtube.com/watch?v=O0FbN5OnKcw", "Video")</f>
        <v/>
      </c>
      <c r="B2093" t="inlineStr">
        <is>
          <t>5:10</t>
        </is>
      </c>
      <c r="C2093" t="inlineStr">
        <is>
          <t>director Steven Spielberg ah I love a</t>
        </is>
      </c>
      <c r="D2093">
        <f>HYPERLINK("https://www.youtube.com/watch?v=O0FbN5OnKcw&amp;t=310s", "Go to time")</f>
        <v/>
      </c>
    </row>
    <row r="2094">
      <c r="A2094">
        <f>HYPERLINK("https://www.youtube.com/watch?v=O0FbN5OnKcw", "Video")</f>
        <v/>
      </c>
      <c r="B2094" t="inlineStr">
        <is>
          <t>7:31</t>
        </is>
      </c>
      <c r="C2094" t="inlineStr">
        <is>
          <t>now director Steven Spielberg who called</t>
        </is>
      </c>
      <c r="D2094">
        <f>HYPERLINK("https://www.youtube.com/watch?v=O0FbN5OnKcw&amp;t=451s", "Go to time")</f>
        <v/>
      </c>
    </row>
    <row r="2095">
      <c r="A2095">
        <f>HYPERLINK("https://www.youtube.com/watch?v=O0FbN5OnKcw", "Video")</f>
        <v/>
      </c>
      <c r="B2095" t="inlineStr">
        <is>
          <t>8:17</t>
        </is>
      </c>
      <c r="C2095" t="inlineStr">
        <is>
          <t>on and team up with director Steven</t>
        </is>
      </c>
      <c r="D2095">
        <f>HYPERLINK("https://www.youtube.com/watch?v=O0FbN5OnKcw&amp;t=497s", "Go to time")</f>
        <v/>
      </c>
    </row>
    <row r="2096">
      <c r="A2096">
        <f>HYPERLINK("https://www.youtube.com/watch?v=XbzwyNSJpWY", "Video")</f>
        <v/>
      </c>
      <c r="B2096" t="inlineStr">
        <is>
          <t>0:36</t>
        </is>
      </c>
      <c r="C2096" t="inlineStr">
        <is>
          <t>director left a big impression on their</t>
        </is>
      </c>
      <c r="D2096">
        <f>HYPERLINK("https://www.youtube.com/watch?v=XbzwyNSJpWY&amp;t=36s", "Go to time")</f>
        <v/>
      </c>
    </row>
    <row r="2097">
      <c r="A2097">
        <f>HYPERLINK("https://www.youtube.com/watch?v=XbzwyNSJpWY", "Video")</f>
        <v/>
      </c>
      <c r="B2097" t="inlineStr">
        <is>
          <t>8:03</t>
        </is>
      </c>
      <c r="C2097" t="inlineStr">
        <is>
          <t>from director Wes Anderson I don't like</t>
        </is>
      </c>
      <c r="D2097">
        <f>HYPERLINK("https://www.youtube.com/watch?v=XbzwyNSJpWY&amp;t=483s", "Go to time")</f>
        <v/>
      </c>
    </row>
    <row r="2098">
      <c r="A2098">
        <f>HYPERLINK("https://www.youtube.com/watch?v=l94zeq7iGVk", "Video")</f>
        <v/>
      </c>
      <c r="B2098" t="inlineStr">
        <is>
          <t>2:04</t>
        </is>
      </c>
      <c r="C2098" t="inlineStr">
        <is>
          <t>let me be a little direct</t>
        </is>
      </c>
      <c r="D2098">
        <f>HYPERLINK("https://www.youtube.com/watch?v=l94zeq7iGVk&amp;t=124s", "Go to time")</f>
        <v/>
      </c>
    </row>
    <row r="2099">
      <c r="A2099">
        <f>HYPERLINK("https://www.youtube.com/watch?v=UlTAPDBxLoY", "Video")</f>
        <v/>
      </c>
      <c r="B2099" t="inlineStr">
        <is>
          <t>4:03</t>
        </is>
      </c>
      <c r="C2099" t="inlineStr">
        <is>
          <t>in directly to space dragons so gross</t>
        </is>
      </c>
      <c r="D2099">
        <f>HYPERLINK("https://www.youtube.com/watch?v=UlTAPDBxLoY&amp;t=243s", "Go to time")</f>
        <v/>
      </c>
    </row>
    <row r="2100">
      <c r="A2100">
        <f>HYPERLINK("https://www.youtube.com/watch?v=UlTAPDBxLoY", "Video")</f>
        <v/>
      </c>
      <c r="B2100" t="inlineStr">
        <is>
          <t>4:51</t>
        </is>
      </c>
      <c r="C2100" t="inlineStr">
        <is>
          <t>direction plan to achieve with trick</t>
        </is>
      </c>
      <c r="D2100">
        <f>HYPERLINK("https://www.youtube.com/watch?v=UlTAPDBxLoY&amp;t=291s", "Go to time")</f>
        <v/>
      </c>
    </row>
    <row r="2101">
      <c r="A2101">
        <f>HYPERLINK("https://www.youtube.com/watch?v=UlTAPDBxLoY", "Video")</f>
        <v/>
      </c>
      <c r="B2101" t="inlineStr">
        <is>
          <t>5:26</t>
        </is>
      </c>
      <c r="C2101" t="inlineStr">
        <is>
          <t>acting like a dog director ivan reitman</t>
        </is>
      </c>
      <c r="D2101">
        <f>HYPERLINK("https://www.youtube.com/watch?v=UlTAPDBxLoY&amp;t=326s", "Go to time")</f>
        <v/>
      </c>
    </row>
    <row r="2102">
      <c r="A2102">
        <f>HYPERLINK("https://www.youtube.com/watch?v=UlTAPDBxLoY", "Video")</f>
        <v/>
      </c>
      <c r="B2102" t="inlineStr">
        <is>
          <t>9:38</t>
        </is>
      </c>
      <c r="C2102" t="inlineStr">
        <is>
          <t>with no success director abe forsyth</t>
        </is>
      </c>
      <c r="D2102">
        <f>HYPERLINK("https://www.youtube.com/watch?v=UlTAPDBxLoY&amp;t=578s", "Go to time")</f>
        <v/>
      </c>
    </row>
    <row r="2103">
      <c r="A2103">
        <f>HYPERLINK("https://www.youtube.com/watch?v=UlTAPDBxLoY", "Video")</f>
        <v/>
      </c>
      <c r="B2103" t="inlineStr">
        <is>
          <t>15:47</t>
        </is>
      </c>
      <c r="C2103" t="inlineStr">
        <is>
          <t>the scenes directing an episode of the</t>
        </is>
      </c>
      <c r="D2103">
        <f>HYPERLINK("https://www.youtube.com/watch?v=UlTAPDBxLoY&amp;t=947s", "Go to time")</f>
        <v/>
      </c>
    </row>
    <row r="2104">
      <c r="A2104">
        <f>HYPERLINK("https://www.youtube.com/watch?v=UlTAPDBxLoY", "Video")</f>
        <v/>
      </c>
      <c r="B2104" t="inlineStr">
        <is>
          <t>17:49</t>
        </is>
      </c>
      <c r="C2104" t="inlineStr">
        <is>
          <t>directorial debut upgrade</t>
        </is>
      </c>
      <c r="D2104">
        <f>HYPERLINK("https://www.youtube.com/watch?v=UlTAPDBxLoY&amp;t=1069s", "Go to time")</f>
        <v/>
      </c>
    </row>
    <row r="2105">
      <c r="A2105">
        <f>HYPERLINK("https://www.youtube.com/watch?v=UlTAPDBxLoY", "Video")</f>
        <v/>
      </c>
      <c r="B2105" t="inlineStr">
        <is>
          <t>18:37</t>
        </is>
      </c>
      <c r="C2105" t="inlineStr">
        <is>
          <t>when she teamed up with director park</t>
        </is>
      </c>
      <c r="D2105">
        <f>HYPERLINK("https://www.youtube.com/watch?v=UlTAPDBxLoY&amp;t=1117s", "Go to time")</f>
        <v/>
      </c>
    </row>
    <row r="2106">
      <c r="A2106">
        <f>HYPERLINK("https://www.youtube.com/watch?v=UlTAPDBxLoY", "Video")</f>
        <v/>
      </c>
      <c r="B2106" t="inlineStr">
        <is>
          <t>24:31</t>
        </is>
      </c>
      <c r="C2106" t="inlineStr">
        <is>
          <t>director andrew fleming apparently</t>
        </is>
      </c>
      <c r="D2106">
        <f>HYPERLINK("https://www.youtube.com/watch?v=UlTAPDBxLoY&amp;t=1471s", "Go to time")</f>
        <v/>
      </c>
    </row>
    <row r="2107">
      <c r="A2107">
        <f>HYPERLINK("https://www.youtube.com/watch?v=UlTAPDBxLoY", "Video")</f>
        <v/>
      </c>
      <c r="B2107" t="inlineStr">
        <is>
          <t>25:03</t>
        </is>
      </c>
      <c r="C2107" t="inlineStr">
        <is>
          <t>directors matt bettinelli open and tyler</t>
        </is>
      </c>
      <c r="D2107">
        <f>HYPERLINK("https://www.youtube.com/watch?v=UlTAPDBxLoY&amp;t=1503s", "Go to time")</f>
        <v/>
      </c>
    </row>
    <row r="2108">
      <c r="A2108">
        <f>HYPERLINK("https://www.youtube.com/watch?v=UlTAPDBxLoY", "Video")</f>
        <v/>
      </c>
      <c r="B2108" t="inlineStr">
        <is>
          <t>25:53</t>
        </is>
      </c>
      <c r="C2108" t="inlineStr">
        <is>
          <t>director david gordon green and</t>
        </is>
      </c>
      <c r="D2108">
        <f>HYPERLINK("https://www.youtube.com/watch?v=UlTAPDBxLoY&amp;t=1553s", "Go to time")</f>
        <v/>
      </c>
    </row>
    <row r="2109">
      <c r="A2109">
        <f>HYPERLINK("https://www.youtube.com/watch?v=UlTAPDBxLoY", "Video")</f>
        <v/>
      </c>
      <c r="B2109" t="inlineStr">
        <is>
          <t>27:20</t>
        </is>
      </c>
      <c r="C2109" t="inlineStr">
        <is>
          <t>to take a meeting with director david</t>
        </is>
      </c>
      <c r="D2109">
        <f>HYPERLINK("https://www.youtube.com/watch?v=UlTAPDBxLoY&amp;t=1640s", "Go to time")</f>
        <v/>
      </c>
    </row>
    <row r="2110">
      <c r="A2110">
        <f>HYPERLINK("https://www.youtube.com/watch?v=mgcyzbgIs9s", "Video")</f>
        <v/>
      </c>
      <c r="B2110" t="inlineStr">
        <is>
          <t>1:32</t>
        </is>
      </c>
      <c r="C2110" t="inlineStr">
        <is>
          <t>the character but I know he's director</t>
        </is>
      </c>
      <c r="D2110">
        <f>HYPERLINK("https://www.youtube.com/watch?v=mgcyzbgIs9s&amp;t=92s", "Go to time")</f>
        <v/>
      </c>
    </row>
    <row r="2111">
      <c r="A2111">
        <f>HYPERLINK("https://www.youtube.com/watch?v=mgcyzbgIs9s", "Video")</f>
        <v/>
      </c>
      <c r="B2111" t="inlineStr">
        <is>
          <t>1:39</t>
        </is>
      </c>
      <c r="C2111" t="inlineStr">
        <is>
          <t>Direction he gave you in a moment that</t>
        </is>
      </c>
      <c r="D2111">
        <f>HYPERLINK("https://www.youtube.com/watch?v=mgcyzbgIs9s&amp;t=99s", "Go to time")</f>
        <v/>
      </c>
    </row>
    <row r="2112">
      <c r="A2112">
        <f>HYPERLINK("https://www.youtube.com/watch?v=mgcyzbgIs9s", "Video")</f>
        <v/>
      </c>
      <c r="B2112" t="inlineStr">
        <is>
          <t>11:55</t>
        </is>
      </c>
      <c r="C2112" t="inlineStr">
        <is>
          <t>Ridley again blame your director cuz we</t>
        </is>
      </c>
      <c r="D2112">
        <f>HYPERLINK("https://www.youtube.com/watch?v=mgcyzbgIs9s&amp;t=715s", "Go to time")</f>
        <v/>
      </c>
    </row>
    <row r="2113">
      <c r="A2113">
        <f>HYPERLINK("https://www.youtube.com/watch?v=mgcyzbgIs9s", "Video")</f>
        <v/>
      </c>
      <c r="B2113" t="inlineStr">
        <is>
          <t>15:32</t>
        </is>
      </c>
      <c r="C2113" t="inlineStr">
        <is>
          <t>Oliver all of these wonderful directors</t>
        </is>
      </c>
      <c r="D2113">
        <f>HYPERLINK("https://www.youtube.com/watch?v=mgcyzbgIs9s&amp;t=932s", "Go to time")</f>
        <v/>
      </c>
    </row>
    <row r="2114">
      <c r="A2114">
        <f>HYPERLINK("https://www.youtube.com/watch?v=mgcyzbgIs9s", "Video")</f>
        <v/>
      </c>
      <c r="B2114" t="inlineStr">
        <is>
          <t>15:40</t>
        </is>
      </c>
      <c r="C2114" t="inlineStr">
        <is>
          <t>ones that you see how the director and</t>
        </is>
      </c>
      <c r="D2114">
        <f>HYPERLINK("https://www.youtube.com/watch?v=mgcyzbgIs9s&amp;t=940s", "Go to time")</f>
        <v/>
      </c>
    </row>
    <row r="2115">
      <c r="A2115">
        <f>HYPERLINK("https://www.youtube.com/watch?v=XUB1vExF61o", "Video")</f>
        <v/>
      </c>
      <c r="B2115" t="inlineStr">
        <is>
          <t>0:21</t>
        </is>
      </c>
      <c r="C2115" t="inlineStr">
        <is>
          <t>Amazon Prime series I'm a Virgo directed</t>
        </is>
      </c>
      <c r="D2115">
        <f>HYPERLINK("https://www.youtube.com/watch?v=XUB1vExF61o&amp;t=21s", "Go to time")</f>
        <v/>
      </c>
    </row>
    <row r="2116">
      <c r="A2116">
        <f>HYPERLINK("https://www.youtube.com/watch?v=XUB1vExF61o", "Video")</f>
        <v/>
      </c>
      <c r="B2116" t="inlineStr">
        <is>
          <t>12:13</t>
        </is>
      </c>
      <c r="C2116" t="inlineStr">
        <is>
          <t>ready camera's set before the director</t>
        </is>
      </c>
      <c r="D2116">
        <f>HYPERLINK("https://www.youtube.com/watch?v=XUB1vExF61o&amp;t=733s", "Go to time")</f>
        <v/>
      </c>
    </row>
    <row r="2117">
      <c r="A2117">
        <f>HYPERLINK("https://www.youtube.com/watch?v=XUB1vExF61o", "Video")</f>
        <v/>
      </c>
      <c r="B2117" t="inlineStr">
        <is>
          <t>15:11</t>
        </is>
      </c>
      <c r="C2117" t="inlineStr">
        <is>
          <t>with him as a director um that they</t>
        </is>
      </c>
      <c r="D2117">
        <f>HYPERLINK("https://www.youtube.com/watch?v=XUB1vExF61o&amp;t=911s", "Go to time")</f>
        <v/>
      </c>
    </row>
    <row r="2118">
      <c r="A2118">
        <f>HYPERLINK("https://www.youtube.com/watch?v=XUB1vExF61o", "Video")</f>
        <v/>
      </c>
      <c r="B2118" t="inlineStr">
        <is>
          <t>16:01</t>
        </is>
      </c>
      <c r="C2118" t="inlineStr">
        <is>
          <t>you know your director is your friend</t>
        </is>
      </c>
      <c r="D2118">
        <f>HYPERLINK("https://www.youtube.com/watch?v=XUB1vExF61o&amp;t=961s", "Go to time")</f>
        <v/>
      </c>
    </row>
    <row r="2119">
      <c r="A2119">
        <f>HYPERLINK("https://www.youtube.com/watch?v=XUB1vExF61o", "Video")</f>
        <v/>
      </c>
      <c r="B2119" t="inlineStr">
        <is>
          <t>16:05</t>
        </is>
      </c>
      <c r="C2119" t="inlineStr">
        <is>
          <t>actor you know directors are great</t>
        </is>
      </c>
      <c r="D2119">
        <f>HYPERLINK("https://www.youtube.com/watch?v=XUB1vExF61o&amp;t=965s", "Go to time")</f>
        <v/>
      </c>
    </row>
    <row r="2120">
      <c r="A2120">
        <f>HYPERLINK("https://www.youtube.com/watch?v=XUB1vExF61o", "Video")</f>
        <v/>
      </c>
      <c r="B2120" t="inlineStr">
        <is>
          <t>16:13</t>
        </is>
      </c>
      <c r="C2120" t="inlineStr">
        <is>
          <t>director sets that loose fun environment</t>
        </is>
      </c>
      <c r="D2120">
        <f>HYPERLINK("https://www.youtube.com/watch?v=XUB1vExF61o&amp;t=973s", "Go to time")</f>
        <v/>
      </c>
    </row>
    <row r="2121">
      <c r="A2121">
        <f>HYPERLINK("https://www.youtube.com/watch?v=XUB1vExF61o", "Video")</f>
        <v/>
      </c>
      <c r="B2121" t="inlineStr">
        <is>
          <t>17:10</t>
        </is>
      </c>
      <c r="C2121" t="inlineStr">
        <is>
          <t>Incredible directors the beauty about</t>
        </is>
      </c>
      <c r="D2121">
        <f>HYPERLINK("https://www.youtube.com/watch?v=XUB1vExF61o&amp;t=1030s", "Go to time")</f>
        <v/>
      </c>
    </row>
    <row r="2122">
      <c r="A2122">
        <f>HYPERLINK("https://www.youtube.com/watch?v=XUB1vExF61o", "Video")</f>
        <v/>
      </c>
      <c r="B2122" t="inlineStr">
        <is>
          <t>17:12</t>
        </is>
      </c>
      <c r="C2122" t="inlineStr">
        <is>
          <t>directors that they're all so different</t>
        </is>
      </c>
      <c r="D2122">
        <f>HYPERLINK("https://www.youtube.com/watch?v=XUB1vExF61o&amp;t=1032s", "Go to time")</f>
        <v/>
      </c>
    </row>
    <row r="2123">
      <c r="A2123">
        <f>HYPERLINK("https://www.youtube.com/watch?v=XUB1vExF61o", "Video")</f>
        <v/>
      </c>
      <c r="B2123" t="inlineStr">
        <is>
          <t>19:34</t>
        </is>
      </c>
      <c r="C2123" t="inlineStr">
        <is>
          <t>right or lean on the director you know</t>
        </is>
      </c>
      <c r="D2123">
        <f>HYPERLINK("https://www.youtube.com/watch?v=XUB1vExF61o&amp;t=1174s", "Go to time")</f>
        <v/>
      </c>
    </row>
    <row r="2124">
      <c r="A2124">
        <f>HYPERLINK("https://www.youtube.com/watch?v=XUB1vExF61o", "Video")</f>
        <v/>
      </c>
      <c r="B2124" t="inlineStr">
        <is>
          <t>19:41</t>
        </is>
      </c>
      <c r="C2124" t="inlineStr">
        <is>
          <t>director and so I learned how important</t>
        </is>
      </c>
      <c r="D2124">
        <f>HYPERLINK("https://www.youtube.com/watch?v=XUB1vExF61o&amp;t=1181s", "Go to time")</f>
        <v/>
      </c>
    </row>
    <row r="2125">
      <c r="A2125">
        <f>HYPERLINK("https://www.youtube.com/watch?v=XUB1vExF61o", "Video")</f>
        <v/>
      </c>
      <c r="B2125" t="inlineStr">
        <is>
          <t>25:03</t>
        </is>
      </c>
      <c r="C2125" t="inlineStr">
        <is>
          <t>also directed spiderverse yep when I got</t>
        </is>
      </c>
      <c r="D2125">
        <f>HYPERLINK("https://www.youtube.com/watch?v=XUB1vExF61o&amp;t=1503s", "Go to time")</f>
        <v/>
      </c>
    </row>
    <row r="2126">
      <c r="A2126">
        <f>HYPERLINK("https://www.youtube.com/watch?v=XUB1vExF61o", "Video")</f>
        <v/>
      </c>
      <c r="B2126" t="inlineStr">
        <is>
          <t>30:20</t>
        </is>
      </c>
      <c r="C2126" t="inlineStr">
        <is>
          <t>Y but like writer director I see this</t>
        </is>
      </c>
      <c r="D2126">
        <f>HYPERLINK("https://www.youtube.com/watch?v=XUB1vExF61o&amp;t=1820s", "Go to time")</f>
        <v/>
      </c>
    </row>
    <row r="2127">
      <c r="A2127">
        <f>HYPERLINK("https://www.youtube.com/watch?v=TQKzpnTDgIY", "Video")</f>
        <v/>
      </c>
      <c r="B2127" t="inlineStr">
        <is>
          <t>1:54</t>
        </is>
      </c>
      <c r="C2127" t="inlineStr">
        <is>
          <t>direct all of your attention to him</t>
        </is>
      </c>
      <c r="D2127">
        <f>HYPERLINK("https://www.youtube.com/watch?v=TQKzpnTDgIY&amp;t=114s", "Go to time")</f>
        <v/>
      </c>
    </row>
    <row r="2128">
      <c r="A2128">
        <f>HYPERLINK("https://www.youtube.com/watch?v=RGhpwCL44MA", "Video")</f>
        <v/>
      </c>
      <c r="B2128" t="inlineStr">
        <is>
          <t>1:05</t>
        </is>
      </c>
      <c r="C2128" t="inlineStr">
        <is>
          <t>okay now does direction matter like</t>
        </is>
      </c>
      <c r="D2128">
        <f>HYPERLINK("https://www.youtube.com/watch?v=RGhpwCL44MA&amp;t=65s", "Go to time")</f>
        <v/>
      </c>
    </row>
    <row r="2129">
      <c r="A2129">
        <f>HYPERLINK("https://www.youtube.com/watch?v=OjQm9liasHo", "Video")</f>
        <v/>
      </c>
      <c r="B2129" t="inlineStr">
        <is>
          <t>1:43</t>
        </is>
      </c>
      <c r="C2129" t="inlineStr">
        <is>
          <t>trees simple direct catchy i'm telling</t>
        </is>
      </c>
      <c r="D2129">
        <f>HYPERLINK("https://www.youtube.com/watch?v=OjQm9liasHo&amp;t=103s", "Go to time")</f>
        <v/>
      </c>
    </row>
    <row r="2130">
      <c r="A2130">
        <f>HYPERLINK("https://www.youtube.com/watch?v=td1I2QMBRXE", "Video")</f>
        <v/>
      </c>
      <c r="B2130" t="inlineStr">
        <is>
          <t>0:54</t>
        </is>
      </c>
      <c r="C2130" t="inlineStr">
        <is>
          <t>it started with director David Fincher</t>
        </is>
      </c>
      <c r="D2130">
        <f>HYPERLINK("https://www.youtube.com/watch?v=td1I2QMBRXE&amp;t=54s", "Go to time")</f>
        <v/>
      </c>
    </row>
    <row r="2131">
      <c r="A2131">
        <f>HYPERLINK("https://www.youtube.com/watch?v=td1I2QMBRXE", "Video")</f>
        <v/>
      </c>
      <c r="B2131" t="inlineStr">
        <is>
          <t>3:27</t>
        </is>
      </c>
      <c r="C2131" t="inlineStr">
        <is>
          <t>was directed by sisters Lana and Lily</t>
        </is>
      </c>
      <c r="D2131">
        <f>HYPERLINK("https://www.youtube.com/watch?v=td1I2QMBRXE&amp;t=207s", "Go to time")</f>
        <v/>
      </c>
    </row>
    <row r="2132">
      <c r="A2132">
        <f>HYPERLINK("https://www.youtube.com/watch?v=td1I2QMBRXE", "Video")</f>
        <v/>
      </c>
      <c r="B2132" t="inlineStr">
        <is>
          <t>3:51</t>
        </is>
      </c>
      <c r="C2132" t="inlineStr">
        <is>
          <t>we're indirected and co-produced by one</t>
        </is>
      </c>
      <c r="D2132">
        <f>HYPERLINK("https://www.youtube.com/watch?v=td1I2QMBRXE&amp;t=231s", "Go to time")</f>
        <v/>
      </c>
    </row>
    <row r="2133">
      <c r="A2133">
        <f>HYPERLINK("https://www.youtube.com/watch?v=td1I2QMBRXE", "Video")</f>
        <v/>
      </c>
      <c r="B2133" t="inlineStr">
        <is>
          <t>5:26</t>
        </is>
      </c>
      <c r="C2133" t="inlineStr">
        <is>
          <t>this 2001 anime film was directed by</t>
        </is>
      </c>
      <c r="D2133">
        <f>HYPERLINK("https://www.youtube.com/watch?v=td1I2QMBRXE&amp;t=326s", "Go to time")</f>
        <v/>
      </c>
    </row>
    <row r="2134">
      <c r="A2134">
        <f>HYPERLINK("https://www.youtube.com/watch?v=td1I2QMBRXE", "Video")</f>
        <v/>
      </c>
      <c r="B2134" t="inlineStr">
        <is>
          <t>6:51</t>
        </is>
      </c>
      <c r="C2134" t="inlineStr">
        <is>
          <t>France written and directed by Juan Kar</t>
        </is>
      </c>
      <c r="D2134">
        <f>HYPERLINK("https://www.youtube.com/watch?v=td1I2QMBRXE&amp;t=411s", "Go to time")</f>
        <v/>
      </c>
    </row>
    <row r="2135">
      <c r="A2135">
        <f>HYPERLINK("https://www.youtube.com/watch?v=td1I2QMBRXE", "Video")</f>
        <v/>
      </c>
      <c r="B2135" t="inlineStr">
        <is>
          <t>10:47</t>
        </is>
      </c>
      <c r="C2135" t="inlineStr">
        <is>
          <t>written and directed by David Lynch of</t>
        </is>
      </c>
      <c r="D2135">
        <f>HYPERLINK("https://www.youtube.com/watch?v=td1I2QMBRXE&amp;t=647s", "Go to time")</f>
        <v/>
      </c>
    </row>
    <row r="2136">
      <c r="A2136">
        <f>HYPERLINK("https://www.youtube.com/watch?v=td1I2QMBRXE", "Video")</f>
        <v/>
      </c>
      <c r="B2136" t="inlineStr">
        <is>
          <t>12:07</t>
        </is>
      </c>
      <c r="C2136" t="inlineStr">
        <is>
          <t>a Best Director Oscar for the film which</t>
        </is>
      </c>
      <c r="D2136">
        <f>HYPERLINK("https://www.youtube.com/watch?v=td1I2QMBRXE&amp;t=727s", "Go to time")</f>
        <v/>
      </c>
    </row>
    <row r="2137">
      <c r="A2137">
        <f>HYPERLINK("https://www.youtube.com/watch?v=td1I2QMBRXE", "Video")</f>
        <v/>
      </c>
      <c r="B2137" t="inlineStr">
        <is>
          <t>12:21</t>
        </is>
      </c>
      <c r="C2137" t="inlineStr">
        <is>
          <t>director bong Joon ho who co-wrote the</t>
        </is>
      </c>
      <c r="D2137">
        <f>HYPERLINK("https://www.youtube.com/watch?v=td1I2QMBRXE&amp;t=741s", "Go to time")</f>
        <v/>
      </c>
    </row>
    <row r="2138">
      <c r="A2138">
        <f>HYPERLINK("https://www.youtube.com/watch?v=td1I2QMBRXE", "Video")</f>
        <v/>
      </c>
      <c r="B2138" t="inlineStr">
        <is>
          <t>13:24</t>
        </is>
      </c>
      <c r="C2138" t="inlineStr">
        <is>
          <t>Best Director best original screenplay</t>
        </is>
      </c>
      <c r="D2138">
        <f>HYPERLINK("https://www.youtube.com/watch?v=td1I2QMBRXE&amp;t=804s", "Go to time")</f>
        <v/>
      </c>
    </row>
    <row r="2139">
      <c r="A2139">
        <f>HYPERLINK("https://www.youtube.com/watch?v=td1I2QMBRXE", "Video")</f>
        <v/>
      </c>
      <c r="B2139" t="inlineStr">
        <is>
          <t>13:47</t>
        </is>
      </c>
      <c r="C2139" t="inlineStr">
        <is>
          <t>after 20 years with the director of the</t>
        </is>
      </c>
      <c r="D2139">
        <f>HYPERLINK("https://www.youtube.com/watch?v=td1I2QMBRXE&amp;t=827s", "Go to time")</f>
        <v/>
      </c>
    </row>
    <row r="2140">
      <c r="A2140">
        <f>HYPERLINK("https://www.youtube.com/watch?v=td1I2QMBRXE", "Video")</f>
        <v/>
      </c>
      <c r="B2140" t="inlineStr">
        <is>
          <t>14:50</t>
        </is>
      </c>
      <c r="C2140" t="inlineStr">
        <is>
          <t>best directing and it won six of those</t>
        </is>
      </c>
      <c r="D2140">
        <f>HYPERLINK("https://www.youtube.com/watch?v=td1I2QMBRXE&amp;t=890s", "Go to time")</f>
        <v/>
      </c>
    </row>
    <row r="2141">
      <c r="A2141">
        <f>HYPERLINK("https://www.youtube.com/watch?v=1bIOPVgnKUs", "Video")</f>
        <v/>
      </c>
      <c r="B2141" t="inlineStr">
        <is>
          <t>2:34</t>
        </is>
      </c>
      <c r="C2141" t="inlineStr">
        <is>
          <t>directions and i'm awfully sorry what</t>
        </is>
      </c>
      <c r="D2141">
        <f>HYPERLINK("https://www.youtube.com/watch?v=1bIOPVgnKUs&amp;t=154s", "Go to time")</f>
        <v/>
      </c>
    </row>
    <row r="2142">
      <c r="A2142">
        <f>HYPERLINK("https://www.youtube.com/watch?v=dS3kSBVyXxs", "Video")</f>
        <v/>
      </c>
      <c r="B2142" t="inlineStr">
        <is>
          <t>1:42</t>
        </is>
      </c>
      <c r="C2142" t="inlineStr">
        <is>
          <t>a senior creative director it's the big</t>
        </is>
      </c>
      <c r="D2142">
        <f>HYPERLINK("https://www.youtube.com/watch?v=dS3kSBVyXxs&amp;t=102s", "Go to time")</f>
        <v/>
      </c>
    </row>
    <row r="2143">
      <c r="A2143">
        <f>HYPERLINK("https://www.youtube.com/watch?v=jIzQOTVCMyk", "Video")</f>
        <v/>
      </c>
      <c r="B2143" t="inlineStr">
        <is>
          <t>2:49</t>
        </is>
      </c>
      <c r="C2143" t="inlineStr">
        <is>
          <t>for best art direction to go with</t>
        </is>
      </c>
      <c r="D2143">
        <f>HYPERLINK("https://www.youtube.com/watch?v=jIzQOTVCMyk&amp;t=169s", "Go to time")</f>
        <v/>
      </c>
    </row>
    <row r="2144">
      <c r="A2144">
        <f>HYPERLINK("https://www.youtube.com/watch?v=jIzQOTVCMyk", "Video")</f>
        <v/>
      </c>
      <c r="B2144" t="inlineStr">
        <is>
          <t>4:00</t>
        </is>
      </c>
      <c r="C2144" t="inlineStr">
        <is>
          <t>this film is directed by Robert</t>
        </is>
      </c>
      <c r="D2144">
        <f>HYPERLINK("https://www.youtube.com/watch?v=jIzQOTVCMyk&amp;t=240s", "Go to time")</f>
        <v/>
      </c>
    </row>
    <row r="2145">
      <c r="A2145">
        <f>HYPERLINK("https://www.youtube.com/watch?v=jIzQOTVCMyk", "Video")</f>
        <v/>
      </c>
      <c r="B2145" t="inlineStr">
        <is>
          <t>5:55</t>
        </is>
      </c>
      <c r="C2145" t="inlineStr">
        <is>
          <t>Factory the film is directed by Mel</t>
        </is>
      </c>
      <c r="D2145">
        <f>HYPERLINK("https://www.youtube.com/watch?v=jIzQOTVCMyk&amp;t=355s", "Go to time")</f>
        <v/>
      </c>
    </row>
    <row r="2146">
      <c r="A2146">
        <f>HYPERLINK("https://www.youtube.com/watch?v=jIzQOTVCMyk", "Video")</f>
        <v/>
      </c>
      <c r="B2146" t="inlineStr">
        <is>
          <t>7:56</t>
        </is>
      </c>
      <c r="C2146" t="inlineStr">
        <is>
          <t>Princess Bride the film is directed and</t>
        </is>
      </c>
      <c r="D2146">
        <f>HYPERLINK("https://www.youtube.com/watch?v=jIzQOTVCMyk&amp;t=476s", "Go to time")</f>
        <v/>
      </c>
    </row>
    <row r="2147">
      <c r="A2147">
        <f>HYPERLINK("https://www.youtube.com/watch?v=jIzQOTVCMyk", "Video")</f>
        <v/>
      </c>
      <c r="B2147" t="inlineStr">
        <is>
          <t>8:27</t>
        </is>
      </c>
      <c r="C2147" t="inlineStr">
        <is>
          <t>pull it off other directors attempted to</t>
        </is>
      </c>
      <c r="D2147">
        <f>HYPERLINK("https://www.youtube.com/watch?v=jIzQOTVCMyk&amp;t=507s", "Go to time")</f>
        <v/>
      </c>
    </row>
    <row r="2148">
      <c r="A2148">
        <f>HYPERLINK("https://www.youtube.com/watch?v=jIzQOTVCMyk", "Video")</f>
        <v/>
      </c>
      <c r="B2148" t="inlineStr">
        <is>
          <t>9:14</t>
        </is>
      </c>
      <c r="C2148" t="inlineStr">
        <is>
          <t>produced by Mark Knopfler of Dire</t>
        </is>
      </c>
      <c r="D2148">
        <f>HYPERLINK("https://www.youtube.com/watch?v=jIzQOTVCMyk&amp;t=554s", "Go to time")</f>
        <v/>
      </c>
    </row>
    <row r="2149">
      <c r="A2149">
        <f>HYPERLINK("https://www.youtube.com/watch?v=jIzQOTVCMyk", "Video")</f>
        <v/>
      </c>
      <c r="B2149" t="inlineStr">
        <is>
          <t>10:03</t>
        </is>
      </c>
      <c r="C2149" t="inlineStr">
        <is>
          <t>was directed by Robert zemeckis and</t>
        </is>
      </c>
      <c r="D2149">
        <f>HYPERLINK("https://www.youtube.com/watch?v=jIzQOTVCMyk&amp;t=603s", "Go to time")</f>
        <v/>
      </c>
    </row>
    <row r="2150">
      <c r="A2150">
        <f>HYPERLINK("https://www.youtube.com/watch?v=jIzQOTVCMyk", "Video")</f>
        <v/>
      </c>
      <c r="B2150" t="inlineStr">
        <is>
          <t>12:22</t>
        </is>
      </c>
      <c r="C2150" t="inlineStr">
        <is>
          <t>is 1990s Home Alone the film is directed</t>
        </is>
      </c>
      <c r="D2150">
        <f>HYPERLINK("https://www.youtube.com/watch?v=jIzQOTVCMyk&amp;t=742s", "Go to time")</f>
        <v/>
      </c>
    </row>
    <row r="2151">
      <c r="A2151">
        <f>HYPERLINK("https://www.youtube.com/watch?v=jIzQOTVCMyk", "Video")</f>
        <v/>
      </c>
      <c r="B2151" t="inlineStr">
        <is>
          <t>14:34</t>
        </is>
      </c>
      <c r="C2151" t="inlineStr">
        <is>
          <t>directed by John turtletop who's also</t>
        </is>
      </c>
      <c r="D2151">
        <f>HYPERLINK("https://www.youtube.com/watch?v=jIzQOTVCMyk&amp;t=874s", "Go to time")</f>
        <v/>
      </c>
    </row>
    <row r="2152">
      <c r="A2152">
        <f>HYPERLINK("https://www.youtube.com/watch?v=jIzQOTVCMyk", "Video")</f>
        <v/>
      </c>
      <c r="B2152" t="inlineStr">
        <is>
          <t>16:51</t>
        </is>
      </c>
      <c r="C2152" t="inlineStr">
        <is>
          <t>directed by Jon Laster and his</t>
        </is>
      </c>
      <c r="D2152">
        <f>HYPERLINK("https://www.youtube.com/watch?v=jIzQOTVCMyk&amp;t=1011s", "Go to time")</f>
        <v/>
      </c>
    </row>
    <row r="2153">
      <c r="A2153">
        <f>HYPERLINK("https://www.youtube.com/watch?v=jIzQOTVCMyk", "Video")</f>
        <v/>
      </c>
      <c r="B2153" t="inlineStr">
        <is>
          <t>16:53</t>
        </is>
      </c>
      <c r="C2153" t="inlineStr">
        <is>
          <t>directorial debut this was the first</t>
        </is>
      </c>
      <c r="D2153">
        <f>HYPERLINK("https://www.youtube.com/watch?v=jIzQOTVCMyk&amp;t=1013s", "Go to time")</f>
        <v/>
      </c>
    </row>
    <row r="2154">
      <c r="A2154">
        <f>HYPERLINK("https://www.youtube.com/watch?v=jIzQOTVCMyk", "Video")</f>
        <v/>
      </c>
      <c r="B2154" t="inlineStr">
        <is>
          <t>21:39</t>
        </is>
      </c>
      <c r="C2154" t="inlineStr">
        <is>
          <t>directed by Richard linklater known for</t>
        </is>
      </c>
      <c r="D2154">
        <f>HYPERLINK("https://www.youtube.com/watch?v=jIzQOTVCMyk&amp;t=1299s", "Go to time")</f>
        <v/>
      </c>
    </row>
    <row r="2155">
      <c r="A2155">
        <f>HYPERLINK("https://www.youtube.com/watch?v=XHuZ63p6zw0", "Video")</f>
        <v/>
      </c>
      <c r="B2155" t="inlineStr">
        <is>
          <t>2:00</t>
        </is>
      </c>
      <c r="C2155" t="inlineStr">
        <is>
          <t>for this sequel writer directors the</t>
        </is>
      </c>
      <c r="D2155">
        <f>HYPERLINK("https://www.youtube.com/watch?v=XHuZ63p6zw0&amp;t=120s", "Go to time")</f>
        <v/>
      </c>
    </row>
    <row r="2156">
      <c r="A2156">
        <f>HYPERLINK("https://www.youtube.com/watch?v=XHuZ63p6zw0", "Video")</f>
        <v/>
      </c>
      <c r="B2156" t="inlineStr">
        <is>
          <t>4:52</t>
        </is>
      </c>
      <c r="C2156" t="inlineStr">
        <is>
          <t>installment directed by lee tamahori and</t>
        </is>
      </c>
      <c r="D2156">
        <f>HYPERLINK("https://www.youtube.com/watch?v=XHuZ63p6zw0&amp;t=292s", "Go to time")</f>
        <v/>
      </c>
    </row>
    <row r="2157">
      <c r="A2157">
        <f>HYPERLINK("https://www.youtube.com/watch?v=XHuZ63p6zw0", "Video")</f>
        <v/>
      </c>
      <c r="B2157" t="inlineStr">
        <is>
          <t>6:36</t>
        </is>
      </c>
      <c r="C2157" t="inlineStr">
        <is>
          <t>returns writer director steven summers</t>
        </is>
      </c>
      <c r="D2157">
        <f>HYPERLINK("https://www.youtube.com/watch?v=XHuZ63p6zw0&amp;t=396s", "Go to time")</f>
        <v/>
      </c>
    </row>
    <row r="2158">
      <c r="A2158">
        <f>HYPERLINK("https://www.youtube.com/watch?v=XHuZ63p6zw0", "Video")</f>
        <v/>
      </c>
      <c r="B2158" t="inlineStr">
        <is>
          <t>8:51</t>
        </is>
      </c>
      <c r="C2158" t="inlineStr">
        <is>
          <t>directed by bill condon and featuring cg</t>
        </is>
      </c>
      <c r="D2158">
        <f>HYPERLINK("https://www.youtube.com/watch?v=XHuZ63p6zw0&amp;t=531s", "Go to time")</f>
        <v/>
      </c>
    </row>
    <row r="2159">
      <c r="A2159">
        <f>HYPERLINK("https://www.youtube.com/watch?v=XHuZ63p6zw0", "Video")</f>
        <v/>
      </c>
      <c r="B2159" t="inlineStr">
        <is>
          <t>10:13</t>
        </is>
      </c>
      <c r="C2159" t="inlineStr">
        <is>
          <t>take with him while directing the</t>
        </is>
      </c>
      <c r="D2159">
        <f>HYPERLINK("https://www.youtube.com/watch?v=XHuZ63p6zw0&amp;t=613s", "Go to time")</f>
        <v/>
      </c>
    </row>
    <row r="2160">
      <c r="A2160">
        <f>HYPERLINK("https://www.youtube.com/watch?v=XHuZ63p6zw0", "Video")</f>
        <v/>
      </c>
      <c r="B2160" t="inlineStr">
        <is>
          <t>10:43</t>
        </is>
      </c>
      <c r="C2160" t="inlineStr">
        <is>
          <t>directed by steven spielberg since his</t>
        </is>
      </c>
      <c r="D2160">
        <f>HYPERLINK("https://www.youtube.com/watch?v=XHuZ63p6zw0&amp;t=643s", "Go to time")</f>
        <v/>
      </c>
    </row>
    <row r="2161">
      <c r="A2161">
        <f>HYPERLINK("https://www.youtube.com/watch?v=XHuZ63p6zw0", "Video")</f>
        <v/>
      </c>
      <c r="B2161" t="inlineStr">
        <is>
          <t>14:12</t>
        </is>
      </c>
      <c r="C2161" t="inlineStr">
        <is>
          <t>skill for writing and direction and the</t>
        </is>
      </c>
      <c r="D2161">
        <f>HYPERLINK("https://www.youtube.com/watch?v=XHuZ63p6zw0&amp;t=852s", "Go to time")</f>
        <v/>
      </c>
    </row>
    <row r="2162">
      <c r="A2162">
        <f>HYPERLINK("https://www.youtube.com/watch?v=XHuZ63p6zw0", "Video")</f>
        <v/>
      </c>
      <c r="B2162" t="inlineStr">
        <is>
          <t>19:44</t>
        </is>
      </c>
      <c r="C2162" t="inlineStr">
        <is>
          <t>edlin admits that director wolfgang</t>
        </is>
      </c>
      <c r="D2162">
        <f>HYPERLINK("https://www.youtube.com/watch?v=XHuZ63p6zw0&amp;t=1184s", "Go to time")</f>
        <v/>
      </c>
    </row>
    <row r="2163">
      <c r="A2163">
        <f>HYPERLINK("https://www.youtube.com/watch?v=LuBo1-eXKqY", "Video")</f>
        <v/>
      </c>
      <c r="B2163" t="inlineStr">
        <is>
          <t>0:05</t>
        </is>
      </c>
      <c r="C2163" t="inlineStr">
        <is>
          <t>direction</t>
        </is>
      </c>
      <c r="D2163">
        <f>HYPERLINK("https://www.youtube.com/watch?v=LuBo1-eXKqY&amp;t=5s", "Go to time")</f>
        <v/>
      </c>
    </row>
    <row r="2164">
      <c r="A2164">
        <f>HYPERLINK("https://www.youtube.com/watch?v=LuBo1-eXKqY", "Video")</f>
        <v/>
      </c>
      <c r="B2164" t="inlineStr">
        <is>
          <t>0:11</t>
        </is>
      </c>
      <c r="C2164" t="inlineStr">
        <is>
          <t>now the only direction i'll show you</t>
        </is>
      </c>
      <c r="D2164">
        <f>HYPERLINK("https://www.youtube.com/watch?v=LuBo1-eXKqY&amp;t=11s", "Go to time")</f>
        <v/>
      </c>
    </row>
    <row r="2165">
      <c r="A2165">
        <f>HYPERLINK("https://www.youtube.com/watch?v=INxwpKQU-u8", "Video")</f>
        <v/>
      </c>
      <c r="B2165" t="inlineStr">
        <is>
          <t>38:43</t>
        </is>
      </c>
      <c r="C2165" t="inlineStr">
        <is>
          <t>watch him he directed Men In Black too</t>
        </is>
      </c>
      <c r="D2165">
        <f>HYPERLINK("https://www.youtube.com/watch?v=INxwpKQU-u8&amp;t=2323s", "Go to time")</f>
        <v/>
      </c>
    </row>
    <row r="2166">
      <c r="A2166">
        <f>HYPERLINK("https://www.youtube.com/watch?v=FUtF_fsFG94", "Video")</f>
        <v/>
      </c>
      <c r="B2166" t="inlineStr">
        <is>
          <t>0:24</t>
        </is>
      </c>
      <c r="C2166" t="inlineStr">
        <is>
          <t>directly but they exist only in my mind</t>
        </is>
      </c>
      <c r="D2166">
        <f>HYPERLINK("https://www.youtube.com/watch?v=FUtF_fsFG94&amp;t=24s", "Go to time")</f>
        <v/>
      </c>
    </row>
    <row r="2167">
      <c r="A2167">
        <f>HYPERLINK("https://www.youtube.com/watch?v=MJco9LtT9Vw", "Video")</f>
        <v/>
      </c>
      <c r="B2167" t="inlineStr">
        <is>
          <t>0:38</t>
        </is>
      </c>
      <c r="C2167" t="inlineStr">
        <is>
          <t>was written and directed by Joel and</t>
        </is>
      </c>
      <c r="D2167">
        <f>HYPERLINK("https://www.youtube.com/watch?v=MJco9LtT9Vw&amp;t=38s", "Go to time")</f>
        <v/>
      </c>
    </row>
    <row r="2168">
      <c r="A2168">
        <f>HYPERLINK("https://www.youtube.com/watch?v=MJco9LtT9Vw", "Video")</f>
        <v/>
      </c>
      <c r="B2168" t="inlineStr">
        <is>
          <t>3:10</t>
        </is>
      </c>
      <c r="C2168" t="inlineStr">
        <is>
          <t>direction it was a perfect time for</t>
        </is>
      </c>
      <c r="D2168">
        <f>HYPERLINK("https://www.youtube.com/watch?v=MJco9LtT9Vw&amp;t=190s", "Go to time")</f>
        <v/>
      </c>
    </row>
    <row r="2169">
      <c r="A2169">
        <f>HYPERLINK("https://www.youtube.com/watch?v=Ty3lUoJ18_w", "Video")</f>
        <v/>
      </c>
      <c r="B2169" t="inlineStr">
        <is>
          <t>0:56</t>
        </is>
      </c>
      <c r="C2169" t="inlineStr">
        <is>
          <t>Excellence tied directly</t>
        </is>
      </c>
      <c r="D2169">
        <f>HYPERLINK("https://www.youtube.com/watch?v=Ty3lUoJ18_w&amp;t=56s", "Go to time")</f>
        <v/>
      </c>
    </row>
    <row r="2170">
      <c r="A2170">
        <f>HYPERLINK("https://www.youtube.com/watch?v=NWyKw0acpR0", "Video")</f>
        <v/>
      </c>
      <c r="B2170" t="inlineStr">
        <is>
          <t>7:52</t>
        </is>
      </c>
      <c r="C2170" t="inlineStr">
        <is>
          <t>indifferent Direction only adequate</t>
        </is>
      </c>
      <c r="D2170">
        <f>HYPERLINK("https://www.youtube.com/watch?v=NWyKw0acpR0&amp;t=472s", "Go to time")</f>
        <v/>
      </c>
    </row>
    <row r="2171">
      <c r="A2171">
        <f>HYPERLINK("https://www.youtube.com/watch?v=NWyKw0acpR0", "Video")</f>
        <v/>
      </c>
      <c r="B2171" t="inlineStr">
        <is>
          <t>9:22</t>
        </is>
      </c>
      <c r="C2171" t="inlineStr">
        <is>
          <t>direct and edit and let's just let them</t>
        </is>
      </c>
      <c r="D2171">
        <f>HYPERLINK("https://www.youtube.com/watch?v=NWyKw0acpR0&amp;t=562s", "Go to time")</f>
        <v/>
      </c>
    </row>
    <row r="2172">
      <c r="A2172">
        <f>HYPERLINK("https://www.youtube.com/watch?v=NWyKw0acpR0", "Video")</f>
        <v/>
      </c>
      <c r="B2172" t="inlineStr">
        <is>
          <t>26:48</t>
        </is>
      </c>
      <c r="C2172" t="inlineStr">
        <is>
          <t>the directors and the writers were</t>
        </is>
      </c>
      <c r="D2172">
        <f>HYPERLINK("https://www.youtube.com/watch?v=NWyKw0acpR0&amp;t=1608s", "Go to time")</f>
        <v/>
      </c>
    </row>
    <row r="2173">
      <c r="A2173">
        <f>HYPERLINK("https://www.youtube.com/watch?v=NWyKw0acpR0", "Video")</f>
        <v/>
      </c>
      <c r="B2173" t="inlineStr">
        <is>
          <t>32:13</t>
        </is>
      </c>
      <c r="C2173" t="inlineStr">
        <is>
          <t>the direct it's just like the the shots</t>
        </is>
      </c>
      <c r="D2173">
        <f>HYPERLINK("https://www.youtube.com/watch?v=NWyKw0acpR0&amp;t=1933s", "Go to time")</f>
        <v/>
      </c>
    </row>
    <row r="2174">
      <c r="A2174">
        <f>HYPERLINK("https://www.youtube.com/watch?v=TYsulVXpgYg", "Video")</f>
        <v/>
      </c>
      <c r="B2174" t="inlineStr">
        <is>
          <t>1:42</t>
        </is>
      </c>
      <c r="C2174" t="inlineStr">
        <is>
          <t>15 seconds to be quiet you are in direct</t>
        </is>
      </c>
      <c r="D2174">
        <f>HYPERLINK("https://www.youtube.com/watch?v=TYsulVXpgYg&amp;t=102s", "Go to time")</f>
        <v/>
      </c>
    </row>
    <row r="2175">
      <c r="A2175">
        <f>HYPERLINK("https://www.youtube.com/watch?v=gbJ04U3Ymdg", "Video")</f>
        <v/>
      </c>
      <c r="B2175" t="inlineStr">
        <is>
          <t>3:42</t>
        </is>
      </c>
      <c r="C2175" t="inlineStr">
        <is>
          <t>direction I will ask chat gbt if that is</t>
        </is>
      </c>
      <c r="D2175">
        <f>HYPERLINK("https://www.youtube.com/watch?v=gbJ04U3Ymdg&amp;t=222s", "Go to time")</f>
        <v/>
      </c>
    </row>
    <row r="2176">
      <c r="A2176">
        <f>HYPERLINK("https://www.youtube.com/watch?v=gbJ04U3Ymdg", "Video")</f>
        <v/>
      </c>
      <c r="B2176" t="inlineStr">
        <is>
          <t>4:07</t>
        </is>
      </c>
      <c r="C2176" t="inlineStr">
        <is>
          <t>directing and honestly it just really</t>
        </is>
      </c>
      <c r="D2176">
        <f>HYPERLINK("https://www.youtube.com/watch?v=gbJ04U3Ymdg&amp;t=247s", "Go to time")</f>
        <v/>
      </c>
    </row>
    <row r="2177">
      <c r="A2177">
        <f>HYPERLINK("https://www.youtube.com/watch?v=gbJ04U3Ymdg", "Video")</f>
        <v/>
      </c>
      <c r="B2177" t="inlineStr">
        <is>
          <t>5:15</t>
        </is>
      </c>
      <c r="C2177" t="inlineStr">
        <is>
          <t>directed by Martin scorsi it stars</t>
        </is>
      </c>
      <c r="D2177">
        <f>HYPERLINK("https://www.youtube.com/watch?v=gbJ04U3Ymdg&amp;t=315s", "Go to time")</f>
        <v/>
      </c>
    </row>
    <row r="2178">
      <c r="A2178">
        <f>HYPERLINK("https://www.youtube.com/watch?v=gbJ04U3Ymdg", "Video")</f>
        <v/>
      </c>
      <c r="B2178" t="inlineStr">
        <is>
          <t>6:28</t>
        </is>
      </c>
      <c r="C2178" t="inlineStr">
        <is>
          <t>produced and directed by Mr Christopher</t>
        </is>
      </c>
      <c r="D2178">
        <f>HYPERLINK("https://www.youtube.com/watch?v=gbJ04U3Ymdg&amp;t=388s", "Go to time")</f>
        <v/>
      </c>
    </row>
    <row r="2179">
      <c r="A2179">
        <f>HYPERLINK("https://www.youtube.com/watch?v=gbJ04U3Ymdg", "Video")</f>
        <v/>
      </c>
      <c r="B2179" t="inlineStr">
        <is>
          <t>8:03</t>
        </is>
      </c>
      <c r="C2179" t="inlineStr">
        <is>
          <t>Reeves and director Chad stahelski</t>
        </is>
      </c>
      <c r="D2179">
        <f>HYPERLINK("https://www.youtube.com/watch?v=gbJ04U3Ymdg&amp;t=483s", "Go to time")</f>
        <v/>
      </c>
    </row>
    <row r="2180">
      <c r="A2180">
        <f>HYPERLINK("https://www.youtube.com/watch?v=gbJ04U3Ymdg", "Video")</f>
        <v/>
      </c>
      <c r="B2180" t="inlineStr">
        <is>
          <t>12:30</t>
        </is>
      </c>
      <c r="C2180" t="inlineStr">
        <is>
          <t>your direction your location is going to</t>
        </is>
      </c>
      <c r="D2180">
        <f>HYPERLINK("https://www.youtube.com/watch?v=gbJ04U3Ymdg&amp;t=750s", "Go to time")</f>
        <v/>
      </c>
    </row>
    <row r="2181">
      <c r="A2181">
        <f>HYPERLINK("https://www.youtube.com/watch?v=gbJ04U3Ymdg", "Video")</f>
        <v/>
      </c>
      <c r="B2181" t="inlineStr">
        <is>
          <t>13:52</t>
        </is>
      </c>
      <c r="C2181" t="inlineStr">
        <is>
          <t>screen and directed by Kelly Freeman</t>
        </is>
      </c>
      <c r="D2181">
        <f>HYPERLINK("https://www.youtube.com/watch?v=gbJ04U3Ymdg&amp;t=832s", "Go to time")</f>
        <v/>
      </c>
    </row>
    <row r="2182">
      <c r="A2182">
        <f>HYPERLINK("https://www.youtube.com/watch?v=pWrnxh1tdp8", "Video")</f>
        <v/>
      </c>
      <c r="B2182" t="inlineStr">
        <is>
          <t>1:27</t>
        </is>
      </c>
      <c r="C2182" t="inlineStr">
        <is>
          <t>the 1986 film the fly directed and</t>
        </is>
      </c>
      <c r="D2182">
        <f>HYPERLINK("https://www.youtube.com/watch?v=pWrnxh1tdp8&amp;t=87s", "Go to time")</f>
        <v/>
      </c>
    </row>
    <row r="2183">
      <c r="A2183">
        <f>HYPERLINK("https://www.youtube.com/watch?v=pWrnxh1tdp8", "Video")</f>
        <v/>
      </c>
      <c r="B2183" t="inlineStr">
        <is>
          <t>2:02</t>
        </is>
      </c>
      <c r="C2183" t="inlineStr">
        <is>
          <t>director cronenberg a canadian filmmaker</t>
        </is>
      </c>
      <c r="D2183">
        <f>HYPERLINK("https://www.youtube.com/watch?v=pWrnxh1tdp8&amp;t=122s", "Go to time")</f>
        <v/>
      </c>
    </row>
    <row r="2184">
      <c r="A2184">
        <f>HYPERLINK("https://www.youtube.com/watch?v=pWrnxh1tdp8", "Video")</f>
        <v/>
      </c>
      <c r="B2184" t="inlineStr">
        <is>
          <t>2:21</t>
        </is>
      </c>
      <c r="C2184" t="inlineStr">
        <is>
          <t>direct if he could rewrite the script</t>
        </is>
      </c>
      <c r="D2184">
        <f>HYPERLINK("https://www.youtube.com/watch?v=pWrnxh1tdp8&amp;t=141s", "Go to time")</f>
        <v/>
      </c>
    </row>
    <row r="2185">
      <c r="A2185">
        <f>HYPERLINK("https://www.youtube.com/watch?v=pWrnxh1tdp8", "Video")</f>
        <v/>
      </c>
      <c r="B2185" t="inlineStr">
        <is>
          <t>3:07</t>
        </is>
      </c>
      <c r="C2185" t="inlineStr">
        <is>
          <t>this new movie was directed by the</t>
        </is>
      </c>
      <c r="D2185">
        <f>HYPERLINK("https://www.youtube.com/watch?v=pWrnxh1tdp8&amp;t=187s", "Go to time")</f>
        <v/>
      </c>
    </row>
    <row r="2186">
      <c r="A2186">
        <f>HYPERLINK("https://www.youtube.com/watch?v=pWrnxh1tdp8", "Video")</f>
        <v/>
      </c>
      <c r="B2186" t="inlineStr">
        <is>
          <t>3:52</t>
        </is>
      </c>
      <c r="C2186" t="inlineStr">
        <is>
          <t>and directed by john carpenter this film</t>
        </is>
      </c>
      <c r="D2186">
        <f>HYPERLINK("https://www.youtube.com/watch?v=pWrnxh1tdp8&amp;t=232s", "Go to time")</f>
        <v/>
      </c>
    </row>
    <row r="2187">
      <c r="A2187">
        <f>HYPERLINK("https://www.youtube.com/watch?v=pWrnxh1tdp8", "Video")</f>
        <v/>
      </c>
      <c r="B2187" t="inlineStr">
        <is>
          <t>4:17</t>
        </is>
      </c>
      <c r="C2187" t="inlineStr">
        <is>
          <t>handful of directors each with their own</t>
        </is>
      </c>
      <c r="D2187">
        <f>HYPERLINK("https://www.youtube.com/watch?v=pWrnxh1tdp8&amp;t=257s", "Go to time")</f>
        <v/>
      </c>
    </row>
    <row r="2188">
      <c r="A2188">
        <f>HYPERLINK("https://www.youtube.com/watch?v=pWrnxh1tdp8", "Video")</f>
        <v/>
      </c>
      <c r="B2188" t="inlineStr">
        <is>
          <t>4:22</t>
        </is>
      </c>
      <c r="C2188" t="inlineStr">
        <is>
          <t>until john carpenter signed on to direct</t>
        </is>
      </c>
      <c r="D2188">
        <f>HYPERLINK("https://www.youtube.com/watch?v=pWrnxh1tdp8&amp;t=262s", "Go to time")</f>
        <v/>
      </c>
    </row>
    <row r="2189">
      <c r="A2189">
        <f>HYPERLINK("https://www.youtube.com/watch?v=pWrnxh1tdp8", "Video")</f>
        <v/>
      </c>
      <c r="B2189" t="inlineStr">
        <is>
          <t>6:12</t>
        </is>
      </c>
      <c r="C2189" t="inlineStr">
        <is>
          <t>directed by alex garland a long-time</t>
        </is>
      </c>
      <c r="D2189">
        <f>HYPERLINK("https://www.youtube.com/watch?v=pWrnxh1tdp8&amp;t=372s", "Go to time")</f>
        <v/>
      </c>
    </row>
    <row r="2190">
      <c r="A2190">
        <f>HYPERLINK("https://www.youtube.com/watch?v=pWrnxh1tdp8", "Video")</f>
        <v/>
      </c>
      <c r="B2190" t="inlineStr">
        <is>
          <t>6:16</t>
        </is>
      </c>
      <c r="C2190" t="inlineStr">
        <is>
          <t>directorial effort after 2014's ex</t>
        </is>
      </c>
      <c r="D2190">
        <f>HYPERLINK("https://www.youtube.com/watch?v=pWrnxh1tdp8&amp;t=376s", "Go to time")</f>
        <v/>
      </c>
    </row>
    <row r="2191">
      <c r="A2191">
        <f>HYPERLINK("https://www.youtube.com/watch?v=pWrnxh1tdp8", "Video")</f>
        <v/>
      </c>
      <c r="B2191" t="inlineStr">
        <is>
          <t>8:43</t>
        </is>
      </c>
      <c r="C2191" t="inlineStr">
        <is>
          <t>film is directed by james cameron who</t>
        </is>
      </c>
      <c r="D2191">
        <f>HYPERLINK("https://www.youtube.com/watch?v=pWrnxh1tdp8&amp;t=523s", "Go to time")</f>
        <v/>
      </c>
    </row>
    <row r="2192">
      <c r="A2192">
        <f>HYPERLINK("https://www.youtube.com/watch?v=pWrnxh1tdp8", "Video")</f>
        <v/>
      </c>
      <c r="B2192" t="inlineStr">
        <is>
          <t>11:38</t>
        </is>
      </c>
      <c r="C2192" t="inlineStr">
        <is>
          <t>was brought to life by director lee</t>
        </is>
      </c>
      <c r="D2192">
        <f>HYPERLINK("https://www.youtube.com/watch?v=pWrnxh1tdp8&amp;t=698s", "Go to time")</f>
        <v/>
      </c>
    </row>
    <row r="2193">
      <c r="A2193">
        <f>HYPERLINK("https://www.youtube.com/watch?v=pWrnxh1tdp8", "Video")</f>
        <v/>
      </c>
      <c r="B2193" t="inlineStr">
        <is>
          <t>11:45</t>
        </is>
      </c>
      <c r="C2193" t="inlineStr">
        <is>
          <t>saw has also directed the horror flicks</t>
        </is>
      </c>
      <c r="D2193">
        <f>HYPERLINK("https://www.youtube.com/watch?v=pWrnxh1tdp8&amp;t=705s", "Go to time")</f>
        <v/>
      </c>
    </row>
    <row r="2194">
      <c r="A2194">
        <f>HYPERLINK("https://www.youtube.com/watch?v=pWrnxh1tdp8", "Video")</f>
        <v/>
      </c>
      <c r="B2194" t="inlineStr">
        <is>
          <t>13:40</t>
        </is>
      </c>
      <c r="C2194" t="inlineStr">
        <is>
          <t>co-written and directed by vincenzo</t>
        </is>
      </c>
      <c r="D2194">
        <f>HYPERLINK("https://www.youtube.com/watch?v=pWrnxh1tdp8&amp;t=820s", "Go to time")</f>
        <v/>
      </c>
    </row>
    <row r="2195">
      <c r="A2195">
        <f>HYPERLINK("https://www.youtube.com/watch?v=pWrnxh1tdp8", "Video")</f>
        <v/>
      </c>
      <c r="B2195" t="inlineStr">
        <is>
          <t>16:10</t>
        </is>
      </c>
      <c r="C2195" t="inlineStr">
        <is>
          <t>one was directed by paul w s anderson</t>
        </is>
      </c>
      <c r="D2195">
        <f>HYPERLINK("https://www.youtube.com/watch?v=pWrnxh1tdp8&amp;t=970s", "Go to time")</f>
        <v/>
      </c>
    </row>
    <row r="2196">
      <c r="A2196">
        <f>HYPERLINK("https://www.youtube.com/watch?v=pWrnxh1tdp8", "Video")</f>
        <v/>
      </c>
      <c r="B2196" t="inlineStr">
        <is>
          <t>16:34</t>
        </is>
      </c>
      <c r="C2196" t="inlineStr">
        <is>
          <t>the english director anderson found</t>
        </is>
      </c>
      <c r="D2196">
        <f>HYPERLINK("https://www.youtube.com/watch?v=pWrnxh1tdp8&amp;t=994s", "Go to time")</f>
        <v/>
      </c>
    </row>
    <row r="2197">
      <c r="A2197">
        <f>HYPERLINK("https://www.youtube.com/watch?v=pWrnxh1tdp8", "Video")</f>
        <v/>
      </c>
      <c r="B2197" t="inlineStr">
        <is>
          <t>16:40</t>
        </is>
      </c>
      <c r="C2197" t="inlineStr">
        <is>
          <t>direct he ultimately turned down the</t>
        </is>
      </c>
      <c r="D2197">
        <f>HYPERLINK("https://www.youtube.com/watch?v=pWrnxh1tdp8&amp;t=1000s", "Go to time")</f>
        <v/>
      </c>
    </row>
    <row r="2198">
      <c r="A2198">
        <f>HYPERLINK("https://www.youtube.com/watch?v=pWrnxh1tdp8", "Video")</f>
        <v/>
      </c>
      <c r="B2198" t="inlineStr">
        <is>
          <t>17:56</t>
        </is>
      </c>
      <c r="C2198" t="inlineStr">
        <is>
          <t>prep a director's cut dvd with all that</t>
        </is>
      </c>
      <c r="D2198">
        <f>HYPERLINK("https://www.youtube.com/watch?v=pWrnxh1tdp8&amp;t=1076s", "Go to time")</f>
        <v/>
      </c>
    </row>
    <row r="2199">
      <c r="A2199">
        <f>HYPERLINK("https://www.youtube.com/watch?v=pWrnxh1tdp8", "Video")</f>
        <v/>
      </c>
      <c r="B2199" t="inlineStr">
        <is>
          <t>18:32</t>
        </is>
      </c>
      <c r="C2199" t="inlineStr">
        <is>
          <t>this film was directed by philip kaufman</t>
        </is>
      </c>
      <c r="D2199">
        <f>HYPERLINK("https://www.youtube.com/watch?v=pWrnxh1tdp8&amp;t=1112s", "Go to time")</f>
        <v/>
      </c>
    </row>
    <row r="2200">
      <c r="A2200">
        <f>HYPERLINK("https://www.youtube.com/watch?v=pWrnxh1tdp8", "Video")</f>
        <v/>
      </c>
      <c r="B2200" t="inlineStr">
        <is>
          <t>19:10</t>
        </is>
      </c>
      <c r="C2200" t="inlineStr">
        <is>
          <t>director kaufman instructed his actors</t>
        </is>
      </c>
      <c r="D2200">
        <f>HYPERLINK("https://www.youtube.com/watch?v=pWrnxh1tdp8&amp;t=1150s", "Go to time")</f>
        <v/>
      </c>
    </row>
    <row r="2201">
      <c r="A2201">
        <f>HYPERLINK("https://www.youtube.com/watch?v=pWrnxh1tdp8", "Video")</f>
        <v/>
      </c>
      <c r="B2201" t="inlineStr">
        <is>
          <t>20:51</t>
        </is>
      </c>
      <c r="C2201" t="inlineStr">
        <is>
          <t>directed and co-written by guillermo del</t>
        </is>
      </c>
      <c r="D2201">
        <f>HYPERLINK("https://www.youtube.com/watch?v=pWrnxh1tdp8&amp;t=1251s", "Go to time")</f>
        <v/>
      </c>
    </row>
    <row r="2202">
      <c r="A2202">
        <f>HYPERLINK("https://www.youtube.com/watch?v=pWrnxh1tdp8", "Video")</f>
        <v/>
      </c>
      <c r="B2202" t="inlineStr">
        <is>
          <t>22:05</t>
        </is>
      </c>
      <c r="C2202" t="inlineStr">
        <is>
          <t>of the film as released but a director's</t>
        </is>
      </c>
      <c r="D2202">
        <f>HYPERLINK("https://www.youtube.com/watch?v=pWrnxh1tdp8&amp;t=1325s", "Go to time")</f>
        <v/>
      </c>
    </row>
    <row r="2203">
      <c r="A2203">
        <f>HYPERLINK("https://www.youtube.com/watch?v=pWrnxh1tdp8", "Video")</f>
        <v/>
      </c>
      <c r="B2203" t="inlineStr">
        <is>
          <t>22:17</t>
        </is>
      </c>
      <c r="C2203" t="inlineStr">
        <is>
          <t>direct-to-video sequels neither of which</t>
        </is>
      </c>
      <c r="D2203">
        <f>HYPERLINK("https://www.youtube.com/watch?v=pWrnxh1tdp8&amp;t=1337s", "Go to time")</f>
        <v/>
      </c>
    </row>
    <row r="2204">
      <c r="A2204">
        <f>HYPERLINK("https://www.youtube.com/watch?v=pWrnxh1tdp8", "Video")</f>
        <v/>
      </c>
      <c r="B2204" t="inlineStr">
        <is>
          <t>22:29</t>
        </is>
      </c>
      <c r="C2204" t="inlineStr">
        <is>
          <t>directing the pilot no word on the</t>
        </is>
      </c>
      <c r="D2204">
        <f>HYPERLINK("https://www.youtube.com/watch?v=pWrnxh1tdp8&amp;t=1349s", "Go to time")</f>
        <v/>
      </c>
    </row>
    <row r="2205">
      <c r="A2205">
        <f>HYPERLINK("https://www.youtube.com/watch?v=pWrnxh1tdp8", "Video")</f>
        <v/>
      </c>
      <c r="B2205" t="inlineStr">
        <is>
          <t>23:06</t>
        </is>
      </c>
      <c r="C2205" t="inlineStr">
        <is>
          <t>one was directed by ridley scott in just</t>
        </is>
      </c>
      <c r="D2205">
        <f>HYPERLINK("https://www.youtube.com/watch?v=pWrnxh1tdp8&amp;t=1386s", "Go to time")</f>
        <v/>
      </c>
    </row>
    <row r="2206">
      <c r="A2206">
        <f>HYPERLINK("https://www.youtube.com/watch?v=whTSpUWS-CY", "Video")</f>
        <v/>
      </c>
      <c r="B2206" t="inlineStr">
        <is>
          <t>1:43</t>
        </is>
      </c>
      <c r="C2206" t="inlineStr">
        <is>
          <t>Suicide Squad directed by James Gunn and</t>
        </is>
      </c>
      <c r="D2206">
        <f>HYPERLINK("https://www.youtube.com/watch?v=whTSpUWS-CY&amp;t=103s", "Go to time")</f>
        <v/>
      </c>
    </row>
    <row r="2207">
      <c r="A2207">
        <f>HYPERLINK("https://www.youtube.com/watch?v=whTSpUWS-CY", "Video")</f>
        <v/>
      </c>
      <c r="B2207" t="inlineStr">
        <is>
          <t>32:46</t>
        </is>
      </c>
      <c r="C2207" t="inlineStr">
        <is>
          <t>of the director's hands and it was given</t>
        </is>
      </c>
      <c r="D2207">
        <f>HYPERLINK("https://www.youtube.com/watch?v=whTSpUWS-CY&amp;t=1966s", "Go to time")</f>
        <v/>
      </c>
    </row>
    <row r="2208">
      <c r="A2208">
        <f>HYPERLINK("https://www.youtube.com/watch?v=whTSpUWS-CY", "Video")</f>
        <v/>
      </c>
      <c r="B2208" t="inlineStr">
        <is>
          <t>33:26</t>
        </is>
      </c>
      <c r="C2208" t="inlineStr">
        <is>
          <t>the director the Reigns they're letting</t>
        </is>
      </c>
      <c r="D2208">
        <f>HYPERLINK("https://www.youtube.com/watch?v=whTSpUWS-CY&amp;t=2006s", "Go to time")</f>
        <v/>
      </c>
    </row>
    <row r="2209">
      <c r="A2209">
        <f>HYPERLINK("https://www.youtube.com/watch?v=whTSpUWS-CY", "Video")</f>
        <v/>
      </c>
      <c r="B2209" t="inlineStr">
        <is>
          <t>33:52</t>
        </is>
      </c>
      <c r="C2209" t="inlineStr">
        <is>
          <t>like the directors kind of you know own</t>
        </is>
      </c>
      <c r="D2209">
        <f>HYPERLINK("https://www.youtube.com/watch?v=whTSpUWS-CY&amp;t=2032s", "Go to time")</f>
        <v/>
      </c>
    </row>
    <row r="2210">
      <c r="A2210">
        <f>HYPERLINK("https://www.youtube.com/watch?v=whTSpUWS-CY", "Video")</f>
        <v/>
      </c>
      <c r="B2210" t="inlineStr">
        <is>
          <t>35:35</t>
        </is>
      </c>
      <c r="C2210" t="inlineStr">
        <is>
          <t>writer director filmmaker is brilliant</t>
        </is>
      </c>
      <c r="D2210">
        <f>HYPERLINK("https://www.youtube.com/watch?v=whTSpUWS-CY&amp;t=2135s", "Go to time")</f>
        <v/>
      </c>
    </row>
    <row r="2211">
      <c r="A2211">
        <f>HYPERLINK("https://www.youtube.com/watch?v=whTSpUWS-CY", "Video")</f>
        <v/>
      </c>
      <c r="B2211" t="inlineStr">
        <is>
          <t>36:32</t>
        </is>
      </c>
      <c r="C2211" t="inlineStr">
        <is>
          <t>director thing brings up an interesting</t>
        </is>
      </c>
      <c r="D2211">
        <f>HYPERLINK("https://www.youtube.com/watch?v=whTSpUWS-CY&amp;t=2192s", "Go to time")</f>
        <v/>
      </c>
    </row>
    <row r="2212">
      <c r="A2212">
        <f>HYPERLINK("https://www.youtube.com/watch?v=whTSpUWS-CY", "Video")</f>
        <v/>
      </c>
      <c r="B2212" t="inlineStr">
        <is>
          <t>37:01</t>
        </is>
      </c>
      <c r="C2212" t="inlineStr">
        <is>
          <t>to beholden to a specific director where</t>
        </is>
      </c>
      <c r="D2212">
        <f>HYPERLINK("https://www.youtube.com/watch?v=whTSpUWS-CY&amp;t=2221s", "Go to time")</f>
        <v/>
      </c>
    </row>
    <row r="2213">
      <c r="A2213">
        <f>HYPERLINK("https://www.youtube.com/watch?v=whTSpUWS-CY", "Video")</f>
        <v/>
      </c>
      <c r="B2213" t="inlineStr">
        <is>
          <t>37:50</t>
        </is>
      </c>
      <c r="C2213" t="inlineStr">
        <is>
          <t>Tycoon TD is going to direct the</t>
        </is>
      </c>
      <c r="D2213">
        <f>HYPERLINK("https://www.youtube.com/watch?v=whTSpUWS-CY&amp;t=2270s", "Go to time")</f>
        <v/>
      </c>
    </row>
    <row r="2214">
      <c r="A2214">
        <f>HYPERLINK("https://www.youtube.com/watch?v=whTSpUWS-CY", "Video")</f>
        <v/>
      </c>
      <c r="B2214" t="inlineStr">
        <is>
          <t>37:56</t>
        </is>
      </c>
      <c r="C2214" t="inlineStr">
        <is>
          <t>director if James Gunn couldn't make it</t>
        </is>
      </c>
      <c r="D2214">
        <f>HYPERLINK("https://www.youtube.com/watch?v=whTSpUWS-CY&amp;t=2276s", "Go to time")</f>
        <v/>
      </c>
    </row>
    <row r="2215">
      <c r="A2215">
        <f>HYPERLINK("https://www.youtube.com/watch?v=whTSpUWS-CY", "Video")</f>
        <v/>
      </c>
      <c r="B2215" t="inlineStr">
        <is>
          <t>39:19</t>
        </is>
      </c>
      <c r="C2215" t="inlineStr">
        <is>
          <t>they're letting these directors uh have</t>
        </is>
      </c>
      <c r="D2215">
        <f>HYPERLINK("https://www.youtube.com/watch?v=whTSpUWS-CY&amp;t=2359s", "Go to time")</f>
        <v/>
      </c>
    </row>
    <row r="2216">
      <c r="A2216">
        <f>HYPERLINK("https://www.youtube.com/watch?v=Z_oKozOVU4k", "Video")</f>
        <v/>
      </c>
      <c r="B2216" t="inlineStr">
        <is>
          <t>1:57</t>
        </is>
      </c>
      <c r="C2216" t="inlineStr">
        <is>
          <t>humans and elves director Peter Jackson</t>
        </is>
      </c>
      <c r="D2216">
        <f>HYPERLINK("https://www.youtube.com/watch?v=Z_oKozOVU4k&amp;t=117s", "Go to time")</f>
        <v/>
      </c>
    </row>
    <row r="2217">
      <c r="A2217">
        <f>HYPERLINK("https://www.youtube.com/watch?v=Z_oKozOVU4k", "Video")</f>
        <v/>
      </c>
      <c r="B2217" t="inlineStr">
        <is>
          <t>2:12</t>
        </is>
      </c>
      <c r="C2217" t="inlineStr">
        <is>
          <t>looking directly at you Percy Jackson</t>
        </is>
      </c>
      <c r="D2217">
        <f>HYPERLINK("https://www.youtube.com/watch?v=Z_oKozOVU4k&amp;t=132s", "Go to time")</f>
        <v/>
      </c>
    </row>
    <row r="2218">
      <c r="A2218">
        <f>HYPERLINK("https://www.youtube.com/watch?v=Z_oKozOVU4k", "Video")</f>
        <v/>
      </c>
      <c r="B2218" t="inlineStr">
        <is>
          <t>4:35</t>
        </is>
      </c>
      <c r="C2218" t="inlineStr">
        <is>
          <t>and many others not every director has</t>
        </is>
      </c>
      <c r="D2218">
        <f>HYPERLINK("https://www.youtube.com/watch?v=Z_oKozOVU4k&amp;t=275s", "Go to time")</f>
        <v/>
      </c>
    </row>
    <row r="2219">
      <c r="A2219">
        <f>HYPERLINK("https://www.youtube.com/watch?v=Z_oKozOVU4k", "Video")</f>
        <v/>
      </c>
      <c r="B2219" t="inlineStr">
        <is>
          <t>4:41</t>
        </is>
      </c>
      <c r="C2219" t="inlineStr">
        <is>
          <t>average director he's a no-too and</t>
        </is>
      </c>
      <c r="D2219">
        <f>HYPERLINK("https://www.youtube.com/watch?v=Z_oKozOVU4k&amp;t=281s", "Go to time")</f>
        <v/>
      </c>
    </row>
    <row r="2220">
      <c r="A2220">
        <f>HYPERLINK("https://www.youtube.com/watch?v=Z_oKozOVU4k", "Video")</f>
        <v/>
      </c>
      <c r="B2220" t="inlineStr">
        <is>
          <t>11:44</t>
        </is>
      </c>
      <c r="C2220" t="inlineStr">
        <is>
          <t>director isn't that Wicked ridiculous</t>
        </is>
      </c>
      <c r="D2220">
        <f>HYPERLINK("https://www.youtube.com/watch?v=Z_oKozOVU4k&amp;t=704s", "Go to time")</f>
        <v/>
      </c>
    </row>
    <row r="2221">
      <c r="A2221">
        <f>HYPERLINK("https://www.youtube.com/watch?v=Z_oKozOVU4k", "Video")</f>
        <v/>
      </c>
      <c r="B2221" t="inlineStr">
        <is>
          <t>14:57</t>
        </is>
      </c>
      <c r="C2221" t="inlineStr">
        <is>
          <t>Legend of Ron Burgundy was directed by</t>
        </is>
      </c>
      <c r="D2221">
        <f>HYPERLINK("https://www.youtube.com/watch?v=Z_oKozOVU4k&amp;t=897s", "Go to time")</f>
        <v/>
      </c>
    </row>
    <row r="2222">
      <c r="A2222">
        <f>HYPERLINK("https://www.youtube.com/watch?v=Z_oKozOVU4k", "Video")</f>
        <v/>
      </c>
      <c r="B2222" t="inlineStr">
        <is>
          <t>18:17</t>
        </is>
      </c>
      <c r="C2222" t="inlineStr">
        <is>
          <t>and asked the director to keep in mind</t>
        </is>
      </c>
      <c r="D2222">
        <f>HYPERLINK("https://www.youtube.com/watch?v=Z_oKozOVU4k&amp;t=1097s", "Go to time")</f>
        <v/>
      </c>
    </row>
    <row r="2223">
      <c r="A2223">
        <f>HYPERLINK("https://www.youtube.com/watch?v=Z_oKozOVU4k", "Video")</f>
        <v/>
      </c>
      <c r="B2223" t="inlineStr">
        <is>
          <t>24:20</t>
        </is>
      </c>
      <c r="C2223" t="inlineStr">
        <is>
          <t>but according to co-director Joe Russo</t>
        </is>
      </c>
      <c r="D2223">
        <f>HYPERLINK("https://www.youtube.com/watch?v=Z_oKozOVU4k&amp;t=1460s", "Go to time")</f>
        <v/>
      </c>
    </row>
    <row r="2224">
      <c r="A2224">
        <f>HYPERLINK("https://www.youtube.com/watch?v=YHQjbCstZME", "Video")</f>
        <v/>
      </c>
      <c r="B2224" t="inlineStr">
        <is>
          <t>2:08</t>
        </is>
      </c>
      <c r="C2224" t="inlineStr">
        <is>
          <t>funny cast which according to director</t>
        </is>
      </c>
      <c r="D2224">
        <f>HYPERLINK("https://www.youtube.com/watch?v=YHQjbCstZME&amp;t=128s", "Go to time")</f>
        <v/>
      </c>
    </row>
    <row r="2225">
      <c r="A2225">
        <f>HYPERLINK("https://www.youtube.com/watch?v=YHQjbCstZME", "Video")</f>
        <v/>
      </c>
      <c r="B2225" t="inlineStr">
        <is>
          <t>4:15</t>
        </is>
      </c>
      <c r="C2225" t="inlineStr">
        <is>
          <t>smart the film was directed by robert</t>
        </is>
      </c>
      <c r="D2225">
        <f>HYPERLINK("https://www.youtube.com/watch?v=YHQjbCstZME&amp;t=255s", "Go to time")</f>
        <v/>
      </c>
    </row>
    <row r="2226">
      <c r="A2226">
        <f>HYPERLINK("https://www.youtube.com/watch?v=YHQjbCstZME", "Video")</f>
        <v/>
      </c>
      <c r="B2226" t="inlineStr">
        <is>
          <t>6:03</t>
        </is>
      </c>
      <c r="C2226" t="inlineStr">
        <is>
          <t>was directed by luca guadagnino and is</t>
        </is>
      </c>
      <c r="D2226">
        <f>HYPERLINK("https://www.youtube.com/watch?v=YHQjbCstZME&amp;t=363s", "Go to time")</f>
        <v/>
      </c>
    </row>
    <row r="2227">
      <c r="A2227">
        <f>HYPERLINK("https://www.youtube.com/watch?v=YHQjbCstZME", "Video")</f>
        <v/>
      </c>
      <c r="B2227" t="inlineStr">
        <is>
          <t>7:26</t>
        </is>
      </c>
      <c r="C2227" t="inlineStr">
        <is>
          <t>screenwriting keem directing and tender</t>
        </is>
      </c>
      <c r="D2227">
        <f>HYPERLINK("https://www.youtube.com/watch?v=YHQjbCstZME&amp;t=446s", "Go to time")</f>
        <v/>
      </c>
    </row>
    <row r="2228">
      <c r="A2228">
        <f>HYPERLINK("https://www.youtube.com/watch?v=YHQjbCstZME", "Video")</f>
        <v/>
      </c>
      <c r="B2228" t="inlineStr">
        <is>
          <t>9:06</t>
        </is>
      </c>
      <c r="C2228" t="inlineStr">
        <is>
          <t>was directed by steven frears and based</t>
        </is>
      </c>
      <c r="D2228">
        <f>HYPERLINK("https://www.youtube.com/watch?v=YHQjbCstZME&amp;t=546s", "Go to time")</f>
        <v/>
      </c>
    </row>
    <row r="2229">
      <c r="A2229">
        <f>HYPERLINK("https://www.youtube.com/watch?v=YHQjbCstZME", "Video")</f>
        <v/>
      </c>
      <c r="B2229" t="inlineStr">
        <is>
          <t>10:37</t>
        </is>
      </c>
      <c r="C2229" t="inlineStr">
        <is>
          <t>directed by hugh wilson and based on</t>
        </is>
      </c>
      <c r="D2229">
        <f>HYPERLINK("https://www.youtube.com/watch?v=YHQjbCstZME&amp;t=637s", "Go to time")</f>
        <v/>
      </c>
    </row>
    <row r="2230">
      <c r="A2230">
        <f>HYPERLINK("https://www.youtube.com/watch?v=YHQjbCstZME", "Video")</f>
        <v/>
      </c>
      <c r="B2230" t="inlineStr">
        <is>
          <t>13:04</t>
        </is>
      </c>
      <c r="C2230" t="inlineStr">
        <is>
          <t>was the feature film debut for director</t>
        </is>
      </c>
      <c r="D2230">
        <f>HYPERLINK("https://www.youtube.com/watch?v=YHQjbCstZME&amp;t=784s", "Go to time")</f>
        <v/>
      </c>
    </row>
    <row r="2231">
      <c r="A2231">
        <f>HYPERLINK("https://www.youtube.com/watch?v=YHQjbCstZME", "Video")</f>
        <v/>
      </c>
      <c r="B2231" t="inlineStr">
        <is>
          <t>13:10</t>
        </is>
      </c>
      <c r="C2231" t="inlineStr">
        <is>
          <t>mostly a music video director at the</t>
        </is>
      </c>
      <c r="D2231">
        <f>HYPERLINK("https://www.youtube.com/watch?v=YHQjbCstZME&amp;t=790s", "Go to time")</f>
        <v/>
      </c>
    </row>
    <row r="2232">
      <c r="A2232">
        <f>HYPERLINK("https://www.youtube.com/watch?v=YHQjbCstZME", "Video")</f>
        <v/>
      </c>
      <c r="B2232" t="inlineStr">
        <is>
          <t>15:37</t>
        </is>
      </c>
      <c r="C2232" t="inlineStr">
        <is>
          <t>was directed by michelle gondry an</t>
        </is>
      </c>
      <c r="D2232">
        <f>HYPERLINK("https://www.youtube.com/watch?v=YHQjbCstZME&amp;t=937s", "Go to time")</f>
        <v/>
      </c>
    </row>
    <row r="2233">
      <c r="A2233">
        <f>HYPERLINK("https://www.youtube.com/watch?v=YHQjbCstZME", "Video")</f>
        <v/>
      </c>
      <c r="B2233" t="inlineStr">
        <is>
          <t>15:38</t>
        </is>
      </c>
      <c r="C2233" t="inlineStr">
        <is>
          <t>accomplished music video director at the</t>
        </is>
      </c>
      <c r="D2233">
        <f>HYPERLINK("https://www.youtube.com/watch?v=YHQjbCstZME&amp;t=938s", "Go to time")</f>
        <v/>
      </c>
    </row>
    <row r="2234">
      <c r="A2234">
        <f>HYPERLINK("https://www.youtube.com/watch?v=YHQjbCstZME", "Video")</f>
        <v/>
      </c>
      <c r="B2234" t="inlineStr">
        <is>
          <t>16:35</t>
        </is>
      </c>
      <c r="C2234" t="inlineStr">
        <is>
          <t>daring directorial touch makes this film</t>
        </is>
      </c>
      <c r="D2234">
        <f>HYPERLINK("https://www.youtube.com/watch?v=YHQjbCstZME&amp;t=995s", "Go to time")</f>
        <v/>
      </c>
    </row>
    <row r="2235">
      <c r="A2235">
        <f>HYPERLINK("https://www.youtube.com/watch?v=YHQjbCstZME", "Video")</f>
        <v/>
      </c>
      <c r="B2235" t="inlineStr">
        <is>
          <t>17:41</t>
        </is>
      </c>
      <c r="C2235" t="inlineStr">
        <is>
          <t>with anna director drake doremus</t>
        </is>
      </c>
      <c r="D2235">
        <f>HYPERLINK("https://www.youtube.com/watch?v=YHQjbCstZME&amp;t=1061s", "Go to time")</f>
        <v/>
      </c>
    </row>
    <row r="2236">
      <c r="A2236">
        <f>HYPERLINK("https://www.youtube.com/watch?v=YHQjbCstZME", "Video")</f>
        <v/>
      </c>
      <c r="B2236" t="inlineStr">
        <is>
          <t>20:09</t>
        </is>
      </c>
      <c r="C2236" t="inlineStr">
        <is>
          <t>thank you the film was directed by glenn</t>
        </is>
      </c>
      <c r="D2236">
        <f>HYPERLINK("https://www.youtube.com/watch?v=YHQjbCstZME&amp;t=1209s", "Go to time")</f>
        <v/>
      </c>
    </row>
    <row r="2237">
      <c r="A2237">
        <f>HYPERLINK("https://www.youtube.com/watch?v=YHQjbCstZME", "Video")</f>
        <v/>
      </c>
      <c r="B2237" t="inlineStr">
        <is>
          <t>21:42</t>
        </is>
      </c>
      <c r="C2237" t="inlineStr">
        <is>
          <t>adam drivers charlie a theater director</t>
        </is>
      </c>
      <c r="D2237">
        <f>HYPERLINK("https://www.youtube.com/watch?v=YHQjbCstZME&amp;t=1302s", "Go to time")</f>
        <v/>
      </c>
    </row>
    <row r="2238">
      <c r="A2238">
        <f>HYPERLINK("https://www.youtube.com/watch?v=YHQjbCstZME", "Video")</f>
        <v/>
      </c>
      <c r="B2238" t="inlineStr">
        <is>
          <t>22:28</t>
        </is>
      </c>
      <c r="C2238" t="inlineStr">
        <is>
          <t>and writer director noah bombach during</t>
        </is>
      </c>
      <c r="D2238">
        <f>HYPERLINK("https://www.youtube.com/watch?v=YHQjbCstZME&amp;t=1348s", "Go to time")</f>
        <v/>
      </c>
    </row>
    <row r="2239">
      <c r="A2239">
        <f>HYPERLINK("https://www.youtube.com/watch?v=bgZJ3c_59jI", "Video")</f>
        <v/>
      </c>
      <c r="B2239" t="inlineStr">
        <is>
          <t>0:03</t>
        </is>
      </c>
      <c r="C2239" t="inlineStr">
        <is>
          <t>from Visionary director Jody</t>
        </is>
      </c>
      <c r="D2239">
        <f>HYPERLINK("https://www.youtube.com/watch?v=bgZJ3c_59jI&amp;t=3s", "Go to time")</f>
        <v/>
      </c>
    </row>
    <row r="2240">
      <c r="A2240">
        <f>HYPERLINK("https://www.youtube.com/watch?v=cmi_cGmILo0", "Video")</f>
        <v/>
      </c>
      <c r="B2240" t="inlineStr">
        <is>
          <t>15:18</t>
        </is>
      </c>
      <c r="C2240" t="inlineStr">
        <is>
          <t>directly uh dealing with the guy who</t>
        </is>
      </c>
      <c r="D2240">
        <f>HYPERLINK("https://www.youtube.com/watch?v=cmi_cGmILo0&amp;t=918s", "Go to time")</f>
        <v/>
      </c>
    </row>
    <row r="2241">
      <c r="A2241">
        <f>HYPERLINK("https://www.youtube.com/watch?v=cmi_cGmILo0", "Video")</f>
        <v/>
      </c>
      <c r="B2241" t="inlineStr">
        <is>
          <t>29:29</t>
        </is>
      </c>
      <c r="C2241" t="inlineStr">
        <is>
          <t>opposite direction of the open door me</t>
        </is>
      </c>
      <c r="D2241">
        <f>HYPERLINK("https://www.youtube.com/watch?v=cmi_cGmILo0&amp;t=1769s", "Go to time")</f>
        <v/>
      </c>
    </row>
    <row r="2242">
      <c r="A2242">
        <f>HYPERLINK("https://www.youtube.com/watch?v=cmi_cGmILo0", "Video")</f>
        <v/>
      </c>
      <c r="B2242" t="inlineStr">
        <is>
          <t>33:28</t>
        </is>
      </c>
      <c r="C2242" t="inlineStr">
        <is>
          <t>that Kevin the director you know he's he</t>
        </is>
      </c>
      <c r="D2242">
        <f>HYPERLINK("https://www.youtube.com/watch?v=cmi_cGmILo0&amp;t=2008s", "Go to time")</f>
        <v/>
      </c>
    </row>
    <row r="2243">
      <c r="A2243">
        <f>HYPERLINK("https://www.youtube.com/watch?v=cmi_cGmILo0", "Video")</f>
        <v/>
      </c>
      <c r="B2243" t="inlineStr">
        <is>
          <t>33:33</t>
        </is>
      </c>
      <c r="C2243" t="inlineStr">
        <is>
          <t>moving into the director's chair for six</t>
        </is>
      </c>
      <c r="D2243">
        <f>HYPERLINK("https://www.youtube.com/watch?v=cmi_cGmILo0&amp;t=2013s", "Go to time")</f>
        <v/>
      </c>
    </row>
    <row r="2244">
      <c r="A2244">
        <f>HYPERLINK("https://www.youtube.com/watch?v=cmi_cGmILo0", "Video")</f>
        <v/>
      </c>
      <c r="B2244" t="inlineStr">
        <is>
          <t>39:11</t>
        </is>
      </c>
      <c r="C2244" t="inlineStr">
        <is>
          <t>franchises or or or directors whatever</t>
        </is>
      </c>
      <c r="D2244">
        <f>HYPERLINK("https://www.youtube.com/watch?v=cmi_cGmILo0&amp;t=2351s", "Go to time")</f>
        <v/>
      </c>
    </row>
    <row r="2245">
      <c r="A2245">
        <f>HYPERLINK("https://www.youtube.com/watch?v=cmi_cGmILo0", "Video")</f>
        <v/>
      </c>
      <c r="B2245" t="inlineStr">
        <is>
          <t>39:27</t>
        </is>
      </c>
      <c r="C2245" t="inlineStr">
        <is>
          <t>uh same director I couldn't be more</t>
        </is>
      </c>
      <c r="D2245">
        <f>HYPERLINK("https://www.youtube.com/watch?v=cmi_cGmILo0&amp;t=2367s", "Go to time")</f>
        <v/>
      </c>
    </row>
    <row r="2246">
      <c r="A2246">
        <f>HYPERLINK("https://www.youtube.com/watch?v=cmi_cGmILo0", "Video")</f>
        <v/>
      </c>
      <c r="B2246" t="inlineStr">
        <is>
          <t>39:40</t>
        </is>
      </c>
      <c r="C2246" t="inlineStr">
        <is>
          <t>Juan directed the first one Kevin grer</t>
        </is>
      </c>
      <c r="D2246">
        <f>HYPERLINK("https://www.youtube.com/watch?v=cmi_cGmILo0&amp;t=2380s", "Go to time")</f>
        <v/>
      </c>
    </row>
    <row r="2247">
      <c r="A2247">
        <f>HYPERLINK("https://www.youtube.com/watch?v=cmi_cGmILo0", "Video")</f>
        <v/>
      </c>
      <c r="B2247" t="inlineStr">
        <is>
          <t>39:45</t>
        </is>
      </c>
      <c r="C2247" t="inlineStr">
        <is>
          <t>director's chair his fingerprint all the</t>
        </is>
      </c>
      <c r="D2247">
        <f>HYPERLINK("https://www.youtube.com/watch?v=cmi_cGmILo0&amp;t=2385s", "Go to time")</f>
        <v/>
      </c>
    </row>
    <row r="2248">
      <c r="A2248">
        <f>HYPERLINK("https://www.youtube.com/watch?v=cmi_cGmILo0", "Video")</f>
        <v/>
      </c>
      <c r="B2248" t="inlineStr">
        <is>
          <t>43:46</t>
        </is>
      </c>
      <c r="C2248" t="inlineStr">
        <is>
          <t>would be a great choice to Direct One of</t>
        </is>
      </c>
      <c r="D2248">
        <f>HYPERLINK("https://www.youtube.com/watch?v=cmi_cGmILo0&amp;t=2626s", "Go to time")</f>
        <v/>
      </c>
    </row>
    <row r="2249">
      <c r="A2249">
        <f>HYPERLINK("https://www.youtube.com/watch?v=-8JVIc4wokM", "Video")</f>
        <v/>
      </c>
      <c r="B2249" t="inlineStr">
        <is>
          <t>16:09</t>
        </is>
      </c>
      <c r="C2249" t="inlineStr">
        <is>
          <t>design lighting director all of them</t>
        </is>
      </c>
      <c r="D2249">
        <f>HYPERLINK("https://www.youtube.com/watch?v=-8JVIc4wokM&amp;t=969s", "Go to time")</f>
        <v/>
      </c>
    </row>
    <row r="2250">
      <c r="A2250">
        <f>HYPERLINK("https://www.youtube.com/watch?v=KYEP1OgoNGM", "Video")</f>
        <v/>
      </c>
      <c r="B2250" t="inlineStr">
        <is>
          <t>1:18</t>
        </is>
      </c>
      <c r="C2250" t="inlineStr">
        <is>
          <t>i fart in your general direction your</t>
        </is>
      </c>
      <c r="D2250">
        <f>HYPERLINK("https://www.youtube.com/watch?v=KYEP1OgoNGM&amp;t=78s", "Go to time")</f>
        <v/>
      </c>
    </row>
    <row r="2251">
      <c r="A2251">
        <f>HYPERLINK("https://www.youtube.com/watch?v=KYEP1OgoNGM", "Video")</f>
        <v/>
      </c>
      <c r="B2251" t="inlineStr">
        <is>
          <t>3:15</t>
        </is>
      </c>
      <c r="C2251" t="inlineStr">
        <is>
          <t>credit above the film's directors though</t>
        </is>
      </c>
      <c r="D2251">
        <f>HYPERLINK("https://www.youtube.com/watch?v=KYEP1OgoNGM&amp;t=195s", "Go to time")</f>
        <v/>
      </c>
    </row>
    <row r="2252">
      <c r="A2252">
        <f>HYPERLINK("https://www.youtube.com/watch?v=KYEP1OgoNGM", "Video")</f>
        <v/>
      </c>
      <c r="B2252" t="inlineStr">
        <is>
          <t>3:52</t>
        </is>
      </c>
      <c r="C2252" t="inlineStr">
        <is>
          <t>the writer director team of jim abrahams</t>
        </is>
      </c>
      <c r="D2252">
        <f>HYPERLINK("https://www.youtube.com/watch?v=KYEP1OgoNGM&amp;t=232s", "Go to time")</f>
        <v/>
      </c>
    </row>
    <row r="2253">
      <c r="A2253">
        <f>HYPERLINK("https://www.youtube.com/watch?v=KYEP1OgoNGM", "Video")</f>
        <v/>
      </c>
      <c r="B2253" t="inlineStr">
        <is>
          <t>5:37</t>
        </is>
      </c>
      <c r="C2253" t="inlineStr">
        <is>
          <t>direct their cast to play it straight</t>
        </is>
      </c>
      <c r="D2253">
        <f>HYPERLINK("https://www.youtube.com/watch?v=KYEP1OgoNGM&amp;t=337s", "Go to time")</f>
        <v/>
      </c>
    </row>
    <row r="2254">
      <c r="A2254">
        <f>HYPERLINK("https://www.youtube.com/watch?v=KYEP1OgoNGM", "Video")</f>
        <v/>
      </c>
      <c r="B2254" t="inlineStr">
        <is>
          <t>13:29</t>
        </is>
      </c>
      <c r="C2254" t="inlineStr">
        <is>
          <t>directed by jormuth the cone of the</t>
        </is>
      </c>
      <c r="D2254">
        <f>HYPERLINK("https://www.youtube.com/watch?v=KYEP1OgoNGM&amp;t=809s", "Go to time")</f>
        <v/>
      </c>
    </row>
    <row r="2255">
      <c r="A2255">
        <f>HYPERLINK("https://www.youtube.com/watch?v=KYEP1OgoNGM", "Video")</f>
        <v/>
      </c>
      <c r="B2255" t="inlineStr">
        <is>
          <t>16:06</t>
        </is>
      </c>
      <c r="C2255" t="inlineStr">
        <is>
          <t>directed and starred in hollywood</t>
        </is>
      </c>
      <c r="D2255">
        <f>HYPERLINK("https://www.youtube.com/watch?v=KYEP1OgoNGM&amp;t=966s", "Go to time")</f>
        <v/>
      </c>
    </row>
    <row r="2256">
      <c r="A2256">
        <f>HYPERLINK("https://www.youtube.com/watch?v=KYEP1OgoNGM", "Video")</f>
        <v/>
      </c>
      <c r="B2256" t="inlineStr">
        <is>
          <t>17:30</t>
        </is>
      </c>
      <c r="C2256" t="inlineStr">
        <is>
          <t>direct his own blaxploitation spoof the</t>
        </is>
      </c>
      <c r="D2256">
        <f>HYPERLINK("https://www.youtube.com/watch?v=KYEP1OgoNGM&amp;t=1050s", "Go to time")</f>
        <v/>
      </c>
    </row>
    <row r="2257">
      <c r="A2257">
        <f>HYPERLINK("https://www.youtube.com/watch?v=KYEP1OgoNGM", "Video")</f>
        <v/>
      </c>
      <c r="B2257" t="inlineStr">
        <is>
          <t>18:13</t>
        </is>
      </c>
      <c r="C2257" t="inlineStr">
        <is>
          <t>marlon wayans and directed by keenan</t>
        </is>
      </c>
      <c r="D2257">
        <f>HYPERLINK("https://www.youtube.com/watch?v=KYEP1OgoNGM&amp;t=1093s", "Go to time")</f>
        <v/>
      </c>
    </row>
    <row r="2258">
      <c r="A2258">
        <f>HYPERLINK("https://www.youtube.com/watch?v=KYEP1OgoNGM", "Video")</f>
        <v/>
      </c>
      <c r="B2258" t="inlineStr">
        <is>
          <t>20:11</t>
        </is>
      </c>
      <c r="C2258" t="inlineStr">
        <is>
          <t>directorial debut rob reiner used</t>
        </is>
      </c>
      <c r="D2258">
        <f>HYPERLINK("https://www.youtube.com/watch?v=KYEP1OgoNGM&amp;t=1211s", "Go to time")</f>
        <v/>
      </c>
    </row>
    <row r="2259">
      <c r="A2259">
        <f>HYPERLINK("https://www.youtube.com/watch?v=KYEP1OgoNGM", "Video")</f>
        <v/>
      </c>
      <c r="B2259" t="inlineStr">
        <is>
          <t>21:25</t>
        </is>
      </c>
      <c r="C2259" t="inlineStr">
        <is>
          <t>say smartly directed brilliantly acted</t>
        </is>
      </c>
      <c r="D2259">
        <f>HYPERLINK("https://www.youtube.com/watch?v=KYEP1OgoNGM&amp;t=1285s", "Go to time")</f>
        <v/>
      </c>
    </row>
    <row r="2260">
      <c r="A2260">
        <f>HYPERLINK("https://www.youtube.com/watch?v=G5R5EtgHuH8", "Video")</f>
        <v/>
      </c>
      <c r="B2260" t="inlineStr">
        <is>
          <t>1:12</t>
        </is>
      </c>
      <c r="C2260" t="inlineStr">
        <is>
          <t>we are directly in the strike zone i</t>
        </is>
      </c>
      <c r="D2260">
        <f>HYPERLINK("https://www.youtube.com/watch?v=G5R5EtgHuH8&amp;t=72s", "Go to time")</f>
        <v/>
      </c>
    </row>
    <row r="2261">
      <c r="A2261">
        <f>HYPERLINK("https://www.youtube.com/watch?v=Dk2BtXCzdzc", "Video")</f>
        <v/>
      </c>
      <c r="B2261" t="inlineStr">
        <is>
          <t>1:46</t>
        </is>
      </c>
      <c r="C2261" t="inlineStr">
        <is>
          <t>plan yep that's the direction the car</t>
        </is>
      </c>
      <c r="D2261">
        <f>HYPERLINK("https://www.youtube.com/watch?v=Dk2BtXCzdzc&amp;t=106s", "Go to time")</f>
        <v/>
      </c>
    </row>
    <row r="2262">
      <c r="A2262">
        <f>HYPERLINK("https://www.youtube.com/watch?v=wAH6MZynLGM", "Video")</f>
        <v/>
      </c>
      <c r="B2262" t="inlineStr">
        <is>
          <t>0:54</t>
        </is>
      </c>
      <c r="C2262" t="inlineStr">
        <is>
          <t>to our board of directors</t>
        </is>
      </c>
      <c r="D2262">
        <f>HYPERLINK("https://www.youtube.com/watch?v=wAH6MZynLGM&amp;t=54s", "Go to time")</f>
        <v/>
      </c>
    </row>
    <row r="2263">
      <c r="A2263">
        <f>HYPERLINK("https://www.youtube.com/watch?v=qpc4qPGj63I", "Video")</f>
        <v/>
      </c>
      <c r="B2263" t="inlineStr">
        <is>
          <t>0:28</t>
        </is>
      </c>
      <c r="C2263" t="inlineStr">
        <is>
          <t>mayor men disobeyed a direct order from</t>
        </is>
      </c>
      <c r="D2263">
        <f>HYPERLINK("https://www.youtube.com/watch?v=qpc4qPGj63I&amp;t=28s", "Go to time")</f>
        <v/>
      </c>
    </row>
    <row r="2264">
      <c r="A2264">
        <f>HYPERLINK("https://www.youtube.com/watch?v=IWuIntFf4uk", "Video")</f>
        <v/>
      </c>
      <c r="B2264" t="inlineStr">
        <is>
          <t>6:36</t>
        </is>
      </c>
      <c r="C2264" t="inlineStr">
        <is>
          <t>maybe you picked the wrong director for</t>
        </is>
      </c>
      <c r="D2264">
        <f>HYPERLINK("https://www.youtube.com/watch?v=IWuIntFf4uk&amp;t=396s", "Go to time")</f>
        <v/>
      </c>
    </row>
    <row r="2265">
      <c r="A2265">
        <f>HYPERLINK("https://www.youtube.com/watch?v=IWuIntFf4uk", "Video")</f>
        <v/>
      </c>
      <c r="B2265" t="inlineStr">
        <is>
          <t>11:22</t>
        </is>
      </c>
      <c r="C2265" t="inlineStr">
        <is>
          <t>acting and detached to joyless Direction</t>
        </is>
      </c>
      <c r="D2265">
        <f>HYPERLINK("https://www.youtube.com/watch?v=IWuIntFf4uk&amp;t=682s", "Go to time")</f>
        <v/>
      </c>
    </row>
    <row r="2266">
      <c r="A2266">
        <f>HYPERLINK("https://www.youtube.com/watch?v=IWuIntFf4uk", "Video")</f>
        <v/>
      </c>
      <c r="B2266" t="inlineStr">
        <is>
          <t>11:56</t>
        </is>
      </c>
      <c r="C2266" t="inlineStr">
        <is>
          <t>director who has a movie and it's an</t>
        </is>
      </c>
      <c r="D2266">
        <f>HYPERLINK("https://www.youtube.com/watch?v=IWuIntFf4uk&amp;t=716s", "Go to time")</f>
        <v/>
      </c>
    </row>
    <row r="2267">
      <c r="A2267">
        <f>HYPERLINK("https://www.youtube.com/watch?v=IWuIntFf4uk", "Video")</f>
        <v/>
      </c>
      <c r="B2267" t="inlineStr">
        <is>
          <t>16:30</t>
        </is>
      </c>
      <c r="C2267" t="inlineStr">
        <is>
          <t>it seemed the only direction that M</t>
        </is>
      </c>
      <c r="D2267">
        <f>HYPERLINK("https://www.youtube.com/watch?v=IWuIntFf4uk&amp;t=990s", "Go to time")</f>
        <v/>
      </c>
    </row>
    <row r="2268">
      <c r="A2268">
        <f>HYPERLINK("https://www.youtube.com/watch?v=IWuIntFf4uk", "Video")</f>
        <v/>
      </c>
      <c r="B2268" t="inlineStr">
        <is>
          <t>17:52</t>
        </is>
      </c>
      <c r="C2268" t="inlineStr">
        <is>
          <t>direction for it because again I think</t>
        </is>
      </c>
      <c r="D2268">
        <f>HYPERLINK("https://www.youtube.com/watch?v=IWuIntFf4uk&amp;t=1072s", "Go to time")</f>
        <v/>
      </c>
    </row>
    <row r="2269">
      <c r="A2269">
        <f>HYPERLINK("https://www.youtube.com/watch?v=IWuIntFf4uk", "Video")</f>
        <v/>
      </c>
      <c r="B2269" t="inlineStr">
        <is>
          <t>18:53</t>
        </is>
      </c>
      <c r="C2269" t="inlineStr">
        <is>
          <t>was one of the biggest director names</t>
        </is>
      </c>
      <c r="D2269">
        <f>HYPERLINK("https://www.youtube.com/watch?v=IWuIntFf4uk&amp;t=1133s", "Go to time")</f>
        <v/>
      </c>
    </row>
    <row r="2270">
      <c r="A2270">
        <f>HYPERLINK("https://www.youtube.com/watch?v=IWuIntFf4uk", "Video")</f>
        <v/>
      </c>
      <c r="B2270" t="inlineStr">
        <is>
          <t>19:17</t>
        </is>
      </c>
      <c r="C2270" t="inlineStr">
        <is>
          <t>don't get a brown guy to direct it I'm</t>
        </is>
      </c>
      <c r="D2270">
        <f>HYPERLINK("https://www.youtube.com/watch?v=IWuIntFf4uk&amp;t=1157s", "Go to time")</f>
        <v/>
      </c>
    </row>
    <row r="2271">
      <c r="A2271">
        <f>HYPERLINK("https://www.youtube.com/watch?v=IWuIntFf4uk", "Video")</f>
        <v/>
      </c>
      <c r="B2271" t="inlineStr">
        <is>
          <t>19:21</t>
        </is>
      </c>
      <c r="C2271" t="inlineStr">
        <is>
          <t>why you make M Night Shyamalan direct</t>
        </is>
      </c>
      <c r="D2271">
        <f>HYPERLINK("https://www.youtube.com/watch?v=IWuIntFf4uk&amp;t=1161s", "Go to time")</f>
        <v/>
      </c>
    </row>
    <row r="2272">
      <c r="A2272">
        <f>HYPERLINK("https://www.youtube.com/watch?v=IWuIntFf4uk", "Video")</f>
        <v/>
      </c>
      <c r="B2272" t="inlineStr">
        <is>
          <t>19:41</t>
        </is>
      </c>
      <c r="C2272" t="inlineStr">
        <is>
          <t>that if there were two directors who</t>
        </is>
      </c>
      <c r="D2272">
        <f>HYPERLINK("https://www.youtube.com/watch?v=IWuIntFf4uk&amp;t=1181s", "Go to time")</f>
        <v/>
      </c>
    </row>
    <row r="2273">
      <c r="A2273">
        <f>HYPERLINK("https://www.youtube.com/watch?v=IWuIntFf4uk", "Video")</f>
        <v/>
      </c>
      <c r="B2273" t="inlineStr">
        <is>
          <t>20:23</t>
        </is>
      </c>
      <c r="C2273" t="inlineStr">
        <is>
          <t>direct this yeah this is gonna be really</t>
        </is>
      </c>
      <c r="D2273">
        <f>HYPERLINK("https://www.youtube.com/watch?v=IWuIntFf4uk&amp;t=1223s", "Go to time")</f>
        <v/>
      </c>
    </row>
    <row r="2274">
      <c r="A2274">
        <f>HYPERLINK("https://www.youtube.com/watch?v=IWuIntFf4uk", "Video")</f>
        <v/>
      </c>
      <c r="B2274" t="inlineStr">
        <is>
          <t>20:25</t>
        </is>
      </c>
      <c r="C2274" t="inlineStr">
        <is>
          <t>good at directing this yeah and then I</t>
        </is>
      </c>
      <c r="D2274">
        <f>HYPERLINK("https://www.youtube.com/watch?v=IWuIntFf4uk&amp;t=1225s", "Go to time")</f>
        <v/>
      </c>
    </row>
    <row r="2275">
      <c r="A2275">
        <f>HYPERLINK("https://www.youtube.com/watch?v=IWuIntFf4uk", "Video")</f>
        <v/>
      </c>
      <c r="B2275" t="inlineStr">
        <is>
          <t>27:15</t>
        </is>
      </c>
      <c r="C2275" t="inlineStr">
        <is>
          <t>director yeah I think it was a few</t>
        </is>
      </c>
      <c r="D2275">
        <f>HYPERLINK("https://www.youtube.com/watch?v=IWuIntFf4uk&amp;t=1635s", "Go to time")</f>
        <v/>
      </c>
    </row>
    <row r="2276">
      <c r="A2276">
        <f>HYPERLINK("https://www.youtube.com/watch?v=IWuIntFf4uk", "Video")</f>
        <v/>
      </c>
      <c r="B2276" t="inlineStr">
        <is>
          <t>38:24</t>
        </is>
      </c>
      <c r="C2276" t="inlineStr">
        <is>
          <t>actor and I think that was Direction</t>
        </is>
      </c>
      <c r="D2276">
        <f>HYPERLINK("https://www.youtube.com/watch?v=IWuIntFf4uk&amp;t=2304s", "Go to time")</f>
        <v/>
      </c>
    </row>
    <row r="2277">
      <c r="A2277">
        <f>HYPERLINK("https://www.youtube.com/watch?v=IWuIntFf4uk", "Video")</f>
        <v/>
      </c>
      <c r="B2277" t="inlineStr">
        <is>
          <t>40:52</t>
        </is>
      </c>
      <c r="C2277" t="inlineStr">
        <is>
          <t>direct a rom-com is that we all are</t>
        </is>
      </c>
      <c r="D2277">
        <f>HYPERLINK("https://www.youtube.com/watch?v=IWuIntFf4uk&amp;t=2452s", "Go to time")</f>
        <v/>
      </c>
    </row>
    <row r="2278">
      <c r="A2278">
        <f>HYPERLINK("https://www.youtube.com/watch?v=IWuIntFf4uk", "Video")</f>
        <v/>
      </c>
      <c r="B2278" t="inlineStr">
        <is>
          <t>41:00</t>
        </is>
      </c>
      <c r="C2278" t="inlineStr">
        <is>
          <t>never gone you can direct version of</t>
        </is>
      </c>
      <c r="D2278">
        <f>HYPERLINK("https://www.youtube.com/watch?v=IWuIntFf4uk&amp;t=2460s", "Go to time")</f>
        <v/>
      </c>
    </row>
    <row r="2279">
      <c r="A2279">
        <f>HYPERLINK("https://www.youtube.com/watch?v=IWuIntFf4uk", "Video")</f>
        <v/>
      </c>
      <c r="B2279" t="inlineStr">
        <is>
          <t>41:02</t>
        </is>
      </c>
      <c r="C2279" t="inlineStr">
        <is>
          <t>bros you can direct your cynical love</t>
        </is>
      </c>
      <c r="D2279">
        <f>HYPERLINK("https://www.youtube.com/watch?v=IWuIntFf4uk&amp;t=2462s", "Go to time")</f>
        <v/>
      </c>
    </row>
    <row r="2280">
      <c r="A2280">
        <f>HYPERLINK("https://www.youtube.com/watch?v=IWuIntFf4uk", "Video")</f>
        <v/>
      </c>
      <c r="B2280" t="inlineStr">
        <is>
          <t>41:06</t>
        </is>
      </c>
      <c r="C2280" t="inlineStr">
        <is>
          <t>hard time doing is you directing your</t>
        </is>
      </c>
      <c r="D2280">
        <f>HYPERLINK("https://www.youtube.com/watch?v=IWuIntFf4uk&amp;t=2466s", "Go to time")</f>
        <v/>
      </c>
    </row>
    <row r="2281">
      <c r="A2281">
        <f>HYPERLINK("https://www.youtube.com/watch?v=IWuIntFf4uk", "Video")</f>
        <v/>
      </c>
      <c r="B2281" t="inlineStr">
        <is>
          <t>42:24</t>
        </is>
      </c>
      <c r="C2281" t="inlineStr">
        <is>
          <t>that's how you know our directions arise</t>
        </is>
      </c>
      <c r="D2281">
        <f>HYPERLINK("https://www.youtube.com/watch?v=IWuIntFf4uk&amp;t=2544s", "Go to time")</f>
        <v/>
      </c>
    </row>
    <row r="2282">
      <c r="A2282">
        <f>HYPERLINK("https://www.youtube.com/watch?v=IWuIntFf4uk", "Video")</f>
        <v/>
      </c>
      <c r="B2282" t="inlineStr">
        <is>
          <t>42:30</t>
        </is>
      </c>
      <c r="C2282" t="inlineStr">
        <is>
          <t>it's directed by Mark well that is very</t>
        </is>
      </c>
      <c r="D2282">
        <f>HYPERLINK("https://www.youtube.com/watch?v=IWuIntFf4uk&amp;t=2550s", "Go to time")</f>
        <v/>
      </c>
    </row>
    <row r="2283">
      <c r="A2283">
        <f>HYPERLINK("https://www.youtube.com/watch?v=IWuIntFf4uk", "Video")</f>
        <v/>
      </c>
      <c r="B2283" t="inlineStr">
        <is>
          <t>49:21</t>
        </is>
      </c>
      <c r="C2283" t="inlineStr">
        <is>
          <t>didn't work well yeah you directors are</t>
        </is>
      </c>
      <c r="D2283">
        <f>HYPERLINK("https://www.youtube.com/watch?v=IWuIntFf4uk&amp;t=2961s", "Go to time")</f>
        <v/>
      </c>
    </row>
    <row r="2284">
      <c r="A2284">
        <f>HYPERLINK("https://www.youtube.com/watch?v=IWuIntFf4uk", "Video")</f>
        <v/>
      </c>
      <c r="B2284" t="inlineStr">
        <is>
          <t>50:10</t>
        </is>
      </c>
      <c r="C2284" t="inlineStr">
        <is>
          <t>director and when the director makes</t>
        </is>
      </c>
      <c r="D2284">
        <f>HYPERLINK("https://www.youtube.com/watch?v=IWuIntFf4uk&amp;t=3010s", "Go to time")</f>
        <v/>
      </c>
    </row>
    <row r="2285">
      <c r="A2285">
        <f>HYPERLINK("https://www.youtube.com/watch?v=cHulJg5-Iv8", "Video")</f>
        <v/>
      </c>
      <c r="B2285" t="inlineStr">
        <is>
          <t>1:07</t>
        </is>
      </c>
      <c r="C2285" t="inlineStr">
        <is>
          <t>direct me to him</t>
        </is>
      </c>
      <c r="D2285">
        <f>HYPERLINK("https://www.youtube.com/watch?v=cHulJg5-Iv8&amp;t=67s", "Go to time")</f>
        <v/>
      </c>
    </row>
    <row r="2286">
      <c r="A2286">
        <f>HYPERLINK("https://www.youtube.com/watch?v=1-pMclN0WOw", "Video")</f>
        <v/>
      </c>
      <c r="B2286" t="inlineStr">
        <is>
          <t>0:18</t>
        </is>
      </c>
      <c r="C2286" t="inlineStr">
        <is>
          <t>director has had the movie in the back</t>
        </is>
      </c>
      <c r="D2286">
        <f>HYPERLINK("https://www.youtube.com/watch?v=1-pMclN0WOw&amp;t=18s", "Go to time")</f>
        <v/>
      </c>
    </row>
    <row r="2287">
      <c r="A2287">
        <f>HYPERLINK("https://www.youtube.com/watch?v=1-pMclN0WOw", "Video")</f>
        <v/>
      </c>
      <c r="B2287" t="inlineStr">
        <is>
          <t>2:41</t>
        </is>
      </c>
      <c r="C2287" t="inlineStr">
        <is>
          <t>intrigued what that is for that director</t>
        </is>
      </c>
      <c r="D2287">
        <f>HYPERLINK("https://www.youtube.com/watch?v=1-pMclN0WOw&amp;t=161s", "Go to time")</f>
        <v/>
      </c>
    </row>
    <row r="2288">
      <c r="A2288">
        <f>HYPERLINK("https://www.youtube.com/watch?v=1-pMclN0WOw", "Video")</f>
        <v/>
      </c>
      <c r="B2288" t="inlineStr">
        <is>
          <t>6:42</t>
        </is>
      </c>
      <c r="C2288" t="inlineStr">
        <is>
          <t>here yeah but as a direct like I'd feel</t>
        </is>
      </c>
      <c r="D2288">
        <f>HYPERLINK("https://www.youtube.com/watch?v=1-pMclN0WOw&amp;t=402s", "Go to time")</f>
        <v/>
      </c>
    </row>
    <row r="2289">
      <c r="A2289">
        <f>HYPERLINK("https://www.youtube.com/watch?v=1-pMclN0WOw", "Video")</f>
        <v/>
      </c>
      <c r="B2289" t="inlineStr">
        <is>
          <t>6:55</t>
        </is>
      </c>
      <c r="C2289" t="inlineStr">
        <is>
          <t>as a director but I stepped on your</t>
        </is>
      </c>
      <c r="D2289">
        <f>HYPERLINK("https://www.youtube.com/watch?v=1-pMclN0WOw&amp;t=415s", "Go to time")</f>
        <v/>
      </c>
    </row>
    <row r="2290">
      <c r="A2290">
        <f>HYPERLINK("https://www.youtube.com/watch?v=1-pMclN0WOw", "Video")</f>
        <v/>
      </c>
      <c r="B2290" t="inlineStr">
        <is>
          <t>12:15</t>
        </is>
      </c>
      <c r="C2290" t="inlineStr">
        <is>
          <t>Tom that's not most directors are not</t>
        </is>
      </c>
      <c r="D2290">
        <f>HYPERLINK("https://www.youtube.com/watch?v=1-pMclN0WOw&amp;t=735s", "Go to time")</f>
        <v/>
      </c>
    </row>
    <row r="2291">
      <c r="A2291">
        <f>HYPERLINK("https://www.youtube.com/watch?v=1-pMclN0WOw", "Video")</f>
        <v/>
      </c>
      <c r="B2291" t="inlineStr">
        <is>
          <t>12:22</t>
        </is>
      </c>
      <c r="C2291" t="inlineStr">
        <is>
          <t>like um like how I direct it was very</t>
        </is>
      </c>
      <c r="D2291">
        <f>HYPERLINK("https://www.youtube.com/watch?v=1-pMclN0WOw&amp;t=742s", "Go to time")</f>
        <v/>
      </c>
    </row>
    <row r="2292">
      <c r="A2292">
        <f>HYPERLINK("https://www.youtube.com/watch?v=1-pMclN0WOw", "Video")</f>
        <v/>
      </c>
      <c r="B2292" t="inlineStr">
        <is>
          <t>14:30</t>
        </is>
      </c>
      <c r="C2292" t="inlineStr">
        <is>
          <t>bigger ones that you've ever directed</t>
        </is>
      </c>
      <c r="D2292">
        <f>HYPERLINK("https://www.youtube.com/watch?v=1-pMclN0WOw&amp;t=870s", "Go to time")</f>
        <v/>
      </c>
    </row>
    <row r="2293">
      <c r="A2293">
        <f>HYPERLINK("https://www.youtube.com/watch?v=1-pMclN0WOw", "Video")</f>
        <v/>
      </c>
      <c r="B2293" t="inlineStr">
        <is>
          <t>15:19</t>
        </is>
      </c>
      <c r="C2293" t="inlineStr">
        <is>
          <t>directors dream about the shots before</t>
        </is>
      </c>
      <c r="D2293">
        <f>HYPERLINK("https://www.youtube.com/watch?v=1-pMclN0WOw&amp;t=919s", "Go to time")</f>
        <v/>
      </c>
    </row>
    <row r="2294">
      <c r="A2294">
        <f>HYPERLINK("https://www.youtube.com/watch?v=1-pMclN0WOw", "Video")</f>
        <v/>
      </c>
      <c r="B2294" t="inlineStr">
        <is>
          <t>16:12</t>
        </is>
      </c>
      <c r="C2294" t="inlineStr">
        <is>
          <t>know directed one of the films and and</t>
        </is>
      </c>
      <c r="D2294">
        <f>HYPERLINK("https://www.youtube.com/watch?v=1-pMclN0WOw&amp;t=972s", "Go to time")</f>
        <v/>
      </c>
    </row>
    <row r="2295">
      <c r="A2295">
        <f>HYPERLINK("https://www.youtube.com/watch?v=1-pMclN0WOw", "Video")</f>
        <v/>
      </c>
      <c r="B2295" t="inlineStr">
        <is>
          <t>17:25</t>
        </is>
      </c>
      <c r="C2295" t="inlineStr">
        <is>
          <t>intentional director on the things that</t>
        </is>
      </c>
      <c r="D2295">
        <f>HYPERLINK("https://www.youtube.com/watch?v=1-pMclN0WOw&amp;t=1045s", "Go to time")</f>
        <v/>
      </c>
    </row>
    <row r="2296">
      <c r="A2296">
        <f>HYPERLINK("https://www.youtube.com/watch?v=1-pMclN0WOw", "Video")</f>
        <v/>
      </c>
      <c r="B2296" t="inlineStr">
        <is>
          <t>22:02</t>
        </is>
      </c>
      <c r="C2296" t="inlineStr">
        <is>
          <t>Francine masley my casting director is a</t>
        </is>
      </c>
      <c r="D2296">
        <f>HYPERLINK("https://www.youtube.com/watch?v=1-pMclN0WOw&amp;t=1322s", "Go to time")</f>
        <v/>
      </c>
    </row>
    <row r="2297">
      <c r="A2297">
        <f>HYPERLINK("https://www.youtube.com/watch?v=1-pMclN0WOw", "Video")</f>
        <v/>
      </c>
      <c r="B2297" t="inlineStr">
        <is>
          <t>23:48</t>
        </is>
      </c>
      <c r="C2297" t="inlineStr">
        <is>
          <t>director in the world there's no one</t>
        </is>
      </c>
      <c r="D2297">
        <f>HYPERLINK("https://www.youtube.com/watch?v=1-pMclN0WOw&amp;t=1428s", "Go to time")</f>
        <v/>
      </c>
    </row>
    <row r="2298">
      <c r="A2298">
        <f>HYPERLINK("https://www.youtube.com/watch?v=DYBqhR_0wiw", "Video")</f>
        <v/>
      </c>
      <c r="B2298" t="inlineStr">
        <is>
          <t>1:07</t>
        </is>
      </c>
      <c r="C2298" t="inlineStr">
        <is>
          <t>directed by John Singleton known mostly</t>
        </is>
      </c>
      <c r="D2298">
        <f>HYPERLINK("https://www.youtube.com/watch?v=DYBqhR_0wiw&amp;t=67s", "Go to time")</f>
        <v/>
      </c>
    </row>
    <row r="2299">
      <c r="A2299">
        <f>HYPERLINK("https://www.youtube.com/watch?v=DYBqhR_0wiw", "Video")</f>
        <v/>
      </c>
      <c r="B2299" t="inlineStr">
        <is>
          <t>2:21</t>
        </is>
      </c>
      <c r="C2299" t="inlineStr">
        <is>
          <t>franchise this film was directed by</t>
        </is>
      </c>
      <c r="D2299">
        <f>HYPERLINK("https://www.youtube.com/watch?v=DYBqhR_0wiw&amp;t=141s", "Go to time")</f>
        <v/>
      </c>
    </row>
    <row r="2300">
      <c r="A2300">
        <f>HYPERLINK("https://www.youtube.com/watch?v=DYBqhR_0wiw", "Video")</f>
        <v/>
      </c>
      <c r="B2300" t="inlineStr">
        <is>
          <t>2:23</t>
        </is>
      </c>
      <c r="C2300" t="inlineStr">
        <is>
          <t>Justin Lin who would go on to direct</t>
        </is>
      </c>
      <c r="D2300">
        <f>HYPERLINK("https://www.youtube.com/watch?v=DYBqhR_0wiw&amp;t=143s", "Go to time")</f>
        <v/>
      </c>
    </row>
    <row r="2301">
      <c r="A2301">
        <f>HYPERLINK("https://www.youtube.com/watch?v=DYBqhR_0wiw", "Video")</f>
        <v/>
      </c>
      <c r="B2301" t="inlineStr">
        <is>
          <t>8:22</t>
        </is>
      </c>
      <c r="C2301" t="inlineStr">
        <is>
          <t>directed by Straight Outta Compton's F</t>
        </is>
      </c>
      <c r="D2301">
        <f>HYPERLINK("https://www.youtube.com/watch?v=DYBqhR_0wiw&amp;t=502s", "Go to time")</f>
        <v/>
      </c>
    </row>
    <row r="2302">
      <c r="A2302">
        <f>HYPERLINK("https://www.youtube.com/watch?v=DYBqhR_0wiw", "Video")</f>
        <v/>
      </c>
      <c r="B2302" t="inlineStr">
        <is>
          <t>10:28</t>
        </is>
      </c>
      <c r="C2302" t="inlineStr">
        <is>
          <t>fourth were both director Justin Lin and</t>
        </is>
      </c>
      <c r="D2302">
        <f>HYPERLINK("https://www.youtube.com/watch?v=DYBqhR_0wiw&amp;t=628s", "Go to time")</f>
        <v/>
      </c>
    </row>
    <row r="2303">
      <c r="A2303">
        <f>HYPERLINK("https://www.youtube.com/watch?v=DYBqhR_0wiw", "Video")</f>
        <v/>
      </c>
      <c r="B2303" t="inlineStr">
        <is>
          <t>14:02</t>
        </is>
      </c>
      <c r="C2303" t="inlineStr">
        <is>
          <t>fear seven was directed by James Wan and</t>
        </is>
      </c>
      <c r="D2303">
        <f>HYPERLINK("https://www.youtube.com/watch?v=DYBqhR_0wiw&amp;t=842s", "Go to time")</f>
        <v/>
      </c>
    </row>
    <row r="2304">
      <c r="A2304">
        <f>HYPERLINK("https://www.youtube.com/watch?v=fIQp-ageqfE", "Video")</f>
        <v/>
      </c>
      <c r="B2304" t="inlineStr">
        <is>
          <t>0:10</t>
        </is>
      </c>
      <c r="C2304" t="inlineStr">
        <is>
          <t>that's One Direction</t>
        </is>
      </c>
      <c r="D2304">
        <f>HYPERLINK("https://www.youtube.com/watch?v=fIQp-ageqfE&amp;t=10s", "Go to time")</f>
        <v/>
      </c>
    </row>
    <row r="2305">
      <c r="A2305">
        <f>HYPERLINK("https://www.youtube.com/watch?v=2UdW17knMfw", "Video")</f>
        <v/>
      </c>
      <c r="B2305" t="inlineStr">
        <is>
          <t>28:45</t>
        </is>
      </c>
      <c r="C2305" t="inlineStr">
        <is>
          <t>remember that it was directed by Brett</t>
        </is>
      </c>
      <c r="D2305">
        <f>HYPERLINK("https://www.youtube.com/watch?v=2UdW17knMfw&amp;t=1725s", "Go to time")</f>
        <v/>
      </c>
    </row>
    <row r="2306">
      <c r="A2306">
        <f>HYPERLINK("https://www.youtube.com/watch?v=ELbCWQcPhfs", "Video")</f>
        <v/>
      </c>
      <c r="B2306" t="inlineStr">
        <is>
          <t>24:34</t>
        </is>
      </c>
      <c r="C2306" t="inlineStr">
        <is>
          <t>great director at doing that thing Clark</t>
        </is>
      </c>
      <c r="D2306">
        <f>HYPERLINK("https://www.youtube.com/watch?v=ELbCWQcPhfs&amp;t=1474s", "Go to time")</f>
        <v/>
      </c>
    </row>
    <row r="2307">
      <c r="A2307">
        <f>HYPERLINK("https://www.youtube.com/watch?v=ELbCWQcPhfs", "Video")</f>
        <v/>
      </c>
      <c r="B2307" t="inlineStr">
        <is>
          <t>28:29</t>
        </is>
      </c>
      <c r="C2307" t="inlineStr">
        <is>
          <t>Snatchers and Robert Rodriguez directing</t>
        </is>
      </c>
      <c r="D2307">
        <f>HYPERLINK("https://www.youtube.com/watch?v=ELbCWQcPhfs&amp;t=1709s", "Go to time")</f>
        <v/>
      </c>
    </row>
    <row r="2308">
      <c r="A2308">
        <f>HYPERLINK("https://www.youtube.com/watch?v=ELbCWQcPhfs", "Video")</f>
        <v/>
      </c>
      <c r="B2308" t="inlineStr">
        <is>
          <t>28:34</t>
        </is>
      </c>
      <c r="C2308" t="inlineStr">
        <is>
          <t>directed The stab segments in the Scream</t>
        </is>
      </c>
      <c r="D2308">
        <f>HYPERLINK("https://www.youtube.com/watch?v=ELbCWQcPhfs&amp;t=1714s", "Go to time")</f>
        <v/>
      </c>
    </row>
    <row r="2309">
      <c r="A2309">
        <f>HYPERLINK("https://www.youtube.com/watch?v=ELbCWQcPhfs", "Video")</f>
        <v/>
      </c>
      <c r="B2309" t="inlineStr">
        <is>
          <t>40:46</t>
        </is>
      </c>
      <c r="C2309" t="inlineStr">
        <is>
          <t>greatest directors of all time and Spike</t>
        </is>
      </c>
      <c r="D2309">
        <f>HYPERLINK("https://www.youtube.com/watch?v=ELbCWQcPhfs&amp;t=2446s", "Go to time")</f>
        <v/>
      </c>
    </row>
    <row r="2310">
      <c r="A2310">
        <f>HYPERLINK("https://www.youtube.com/watch?v=agcUUHc2iAw", "Video")</f>
        <v/>
      </c>
      <c r="B2310" t="inlineStr">
        <is>
          <t>0:39</t>
        </is>
      </c>
      <c r="C2310" t="inlineStr">
        <is>
          <t>censored around feature or directly</t>
        </is>
      </c>
      <c r="D2310">
        <f>HYPERLINK("https://www.youtube.com/watch?v=agcUUHc2iAw&amp;t=39s", "Go to time")</f>
        <v/>
      </c>
    </row>
    <row r="2311">
      <c r="A2311">
        <f>HYPERLINK("https://www.youtube.com/watch?v=agcUUHc2iAw", "Video")</f>
        <v/>
      </c>
      <c r="B2311" t="inlineStr">
        <is>
          <t>1:27</t>
        </is>
      </c>
      <c r="C2311" t="inlineStr">
        <is>
          <t>adaptation this film was directed by</t>
        </is>
      </c>
      <c r="D2311">
        <f>HYPERLINK("https://www.youtube.com/watch?v=agcUUHc2iAw&amp;t=87s", "Go to time")</f>
        <v/>
      </c>
    </row>
    <row r="2312">
      <c r="A2312">
        <f>HYPERLINK("https://www.youtube.com/watch?v=agcUUHc2iAw", "Video")</f>
        <v/>
      </c>
      <c r="B2312" t="inlineStr">
        <is>
          <t>3:44</t>
        </is>
      </c>
      <c r="C2312" t="inlineStr">
        <is>
          <t>Boulevard directed and co-written by the</t>
        </is>
      </c>
      <c r="D2312">
        <f>HYPERLINK("https://www.youtube.com/watch?v=agcUUHc2iAw&amp;t=224s", "Go to time")</f>
        <v/>
      </c>
    </row>
    <row r="2313">
      <c r="A2313">
        <f>HYPERLINK("https://www.youtube.com/watch?v=agcUUHc2iAw", "Video")</f>
        <v/>
      </c>
      <c r="B2313" t="inlineStr">
        <is>
          <t>5:27</t>
        </is>
      </c>
      <c r="C2313" t="inlineStr">
        <is>
          <t>Direction and best music and the critics</t>
        </is>
      </c>
      <c r="D2313">
        <f>HYPERLINK("https://www.youtube.com/watch?v=agcUUHc2iAw&amp;t=327s", "Go to time")</f>
        <v/>
      </c>
    </row>
    <row r="2314">
      <c r="A2314">
        <f>HYPERLINK("https://www.youtube.com/watch?v=agcUUHc2iAw", "Video")</f>
        <v/>
      </c>
      <c r="B2314" t="inlineStr">
        <is>
          <t>6:07</t>
        </is>
      </c>
      <c r="C2314" t="inlineStr">
        <is>
          <t>directed by David Lynch of Twin Peaks</t>
        </is>
      </c>
      <c r="D2314">
        <f>HYPERLINK("https://www.youtube.com/watch?v=agcUUHc2iAw&amp;t=367s", "Go to time")</f>
        <v/>
      </c>
    </row>
    <row r="2315">
      <c r="A2315">
        <f>HYPERLINK("https://www.youtube.com/watch?v=agcUUHc2iAw", "Video")</f>
        <v/>
      </c>
      <c r="B2315" t="inlineStr">
        <is>
          <t>6:33</t>
        </is>
      </c>
      <c r="C2315" t="inlineStr">
        <is>
          <t>film director played by Justin Thoreau</t>
        </is>
      </c>
      <c r="D2315">
        <f>HYPERLINK("https://www.youtube.com/watch?v=agcUUHc2iAw&amp;t=393s", "Go to time")</f>
        <v/>
      </c>
    </row>
    <row r="2316">
      <c r="A2316">
        <f>HYPERLINK("https://www.youtube.com/watch?v=agcUUHc2iAw", "Video")</f>
        <v/>
      </c>
      <c r="B2316" t="inlineStr">
        <is>
          <t>7:51</t>
        </is>
      </c>
      <c r="C2316" t="inlineStr">
        <is>
          <t>for a Best Director Oscar for his work</t>
        </is>
      </c>
      <c r="D2316">
        <f>HYPERLINK("https://www.youtube.com/watch?v=agcUUHc2iAw&amp;t=471s", "Go to time")</f>
        <v/>
      </c>
    </row>
    <row r="2317">
      <c r="A2317">
        <f>HYPERLINK("https://www.youtube.com/watch?v=agcUUHc2iAw", "Video")</f>
        <v/>
      </c>
      <c r="B2317" t="inlineStr">
        <is>
          <t>8:28</t>
        </is>
      </c>
      <c r="C2317" t="inlineStr">
        <is>
          <t>classic was directed and choreographed</t>
        </is>
      </c>
      <c r="D2317">
        <f>HYPERLINK("https://www.youtube.com/watch?v=agcUUHc2iAw&amp;t=508s", "Go to time")</f>
        <v/>
      </c>
    </row>
    <row r="2318">
      <c r="A2318">
        <f>HYPERLINK("https://www.youtube.com/watch?v=agcUUHc2iAw", "Video")</f>
        <v/>
      </c>
      <c r="B2318" t="inlineStr">
        <is>
          <t>10:47</t>
        </is>
      </c>
      <c r="C2318" t="inlineStr">
        <is>
          <t>was written and directed by Damien</t>
        </is>
      </c>
      <c r="D2318">
        <f>HYPERLINK("https://www.youtube.com/watch?v=agcUUHc2iAw&amp;t=647s", "Go to time")</f>
        <v/>
      </c>
    </row>
    <row r="2319">
      <c r="A2319">
        <f>HYPERLINK("https://www.youtube.com/watch?v=agcUUHc2iAw", "Video")</f>
        <v/>
      </c>
      <c r="B2319" t="inlineStr">
        <is>
          <t>12:39</t>
        </is>
      </c>
      <c r="C2319" t="inlineStr">
        <is>
          <t>and best director for chazelle making</t>
        </is>
      </c>
      <c r="D2319">
        <f>HYPERLINK("https://www.youtube.com/watch?v=agcUUHc2iAw&amp;t=759s", "Go to time")</f>
        <v/>
      </c>
    </row>
    <row r="2320">
      <c r="A2320">
        <f>HYPERLINK("https://www.youtube.com/watch?v=agcUUHc2iAw", "Video")</f>
        <v/>
      </c>
      <c r="B2320" t="inlineStr">
        <is>
          <t>13:26</t>
        </is>
      </c>
      <c r="C2320" t="inlineStr">
        <is>
          <t>1994 Ed Wood this film was directed and</t>
        </is>
      </c>
      <c r="D2320">
        <f>HYPERLINK("https://www.youtube.com/watch?v=agcUUHc2iAw&amp;t=806s", "Go to time")</f>
        <v/>
      </c>
    </row>
    <row r="2321">
      <c r="A2321">
        <f>HYPERLINK("https://www.youtube.com/watch?v=agcUUHc2iAw", "Video")</f>
        <v/>
      </c>
      <c r="B2321" t="inlineStr">
        <is>
          <t>14:34</t>
        </is>
      </c>
      <c r="C2321" t="inlineStr">
        <is>
          <t>it wasn't until original director</t>
        </is>
      </c>
      <c r="D2321">
        <f>HYPERLINK("https://www.youtube.com/watch?v=agcUUHc2iAw&amp;t=874s", "Go to time")</f>
        <v/>
      </c>
    </row>
    <row r="2322">
      <c r="A2322">
        <f>HYPERLINK("https://www.youtube.com/watch?v=agcUUHc2iAw", "Video")</f>
        <v/>
      </c>
      <c r="B2322" t="inlineStr">
        <is>
          <t>14:45</t>
        </is>
      </c>
      <c r="C2322" t="inlineStr">
        <is>
          <t>after the director insisted on shooting</t>
        </is>
      </c>
      <c r="D2322">
        <f>HYPERLINK("https://www.youtube.com/watch?v=agcUUHc2iAw&amp;t=885s", "Go to time")</f>
        <v/>
      </c>
    </row>
    <row r="2323">
      <c r="A2323">
        <f>HYPERLINK("https://www.youtube.com/watch?v=agcUUHc2iAw", "Video")</f>
        <v/>
      </c>
      <c r="B2323" t="inlineStr">
        <is>
          <t>15:37</t>
        </is>
      </c>
      <c r="C2323" t="inlineStr">
        <is>
          <t>crime drama was directed produced and</t>
        </is>
      </c>
      <c r="D2323">
        <f>HYPERLINK("https://www.youtube.com/watch?v=agcUUHc2iAw&amp;t=937s", "Go to time")</f>
        <v/>
      </c>
    </row>
    <row r="2324">
      <c r="A2324">
        <f>HYPERLINK("https://www.youtube.com/watch?v=agcUUHc2iAw", "Video")</f>
        <v/>
      </c>
      <c r="B2324" t="inlineStr">
        <is>
          <t>15:55</t>
        </is>
      </c>
      <c r="C2324" t="inlineStr">
        <is>
          <t>shop director Hansen and screenwriter</t>
        </is>
      </c>
      <c r="D2324">
        <f>HYPERLINK("https://www.youtube.com/watch?v=agcUUHc2iAw&amp;t=955s", "Go to time")</f>
        <v/>
      </c>
    </row>
    <row r="2325">
      <c r="A2325">
        <f>HYPERLINK("https://www.youtube.com/watch?v=agcUUHc2iAw", "Video")</f>
        <v/>
      </c>
      <c r="B2325" t="inlineStr">
        <is>
          <t>17:59</t>
        </is>
      </c>
      <c r="C2325" t="inlineStr">
        <is>
          <t>written and directed by Quentin</t>
        </is>
      </c>
      <c r="D2325">
        <f>HYPERLINK("https://www.youtube.com/watch?v=agcUUHc2iAw&amp;t=1079s", "Go to time")</f>
        <v/>
      </c>
    </row>
    <row r="2326">
      <c r="A2326">
        <f>HYPERLINK("https://www.youtube.com/watch?v=agcUUHc2iAw", "Video")</f>
        <v/>
      </c>
      <c r="B2326" t="inlineStr">
        <is>
          <t>20:13</t>
        </is>
      </c>
      <c r="C2326" t="inlineStr">
        <is>
          <t>and directed by the brothers Joel and</t>
        </is>
      </c>
      <c r="D2326">
        <f>HYPERLINK("https://www.youtube.com/watch?v=agcUUHc2iAw&amp;t=1213s", "Go to time")</f>
        <v/>
      </c>
    </row>
    <row r="2327">
      <c r="A2327">
        <f>HYPERLINK("https://www.youtube.com/watch?v=agcUUHc2iAw", "Video")</f>
        <v/>
      </c>
      <c r="B2327" t="inlineStr">
        <is>
          <t>22:48</t>
        </is>
      </c>
      <c r="C2327" t="inlineStr">
        <is>
          <t>directed by Michelle hazena vicious and</t>
        </is>
      </c>
      <c r="D2327">
        <f>HYPERLINK("https://www.youtube.com/watch?v=agcUUHc2iAw&amp;t=1368s", "Go to time")</f>
        <v/>
      </c>
    </row>
    <row r="2328">
      <c r="A2328">
        <f>HYPERLINK("https://www.youtube.com/watch?v=agcUUHc2iAw", "Video")</f>
        <v/>
      </c>
      <c r="B2328" t="inlineStr">
        <is>
          <t>24:15</t>
        </is>
      </c>
      <c r="C2328" t="inlineStr">
        <is>
          <t>director and best actor for Jean de</t>
        </is>
      </c>
      <c r="D2328">
        <f>HYPERLINK("https://www.youtube.com/watch?v=agcUUHc2iAw&amp;t=1455s", "Go to time")</f>
        <v/>
      </c>
    </row>
    <row r="2329">
      <c r="A2329">
        <f>HYPERLINK("https://www.youtube.com/watch?v=znWOZWBBRuM", "Video")</f>
        <v/>
      </c>
      <c r="B2329" t="inlineStr">
        <is>
          <t>2:48</t>
        </is>
      </c>
      <c r="C2329" t="inlineStr">
        <is>
          <t>from every direction he almost looks</t>
        </is>
      </c>
      <c r="D2329">
        <f>HYPERLINK("https://www.youtube.com/watch?v=znWOZWBBRuM&amp;t=168s", "Go to time")</f>
        <v/>
      </c>
    </row>
    <row r="2330">
      <c r="A2330">
        <f>HYPERLINK("https://www.youtube.com/watch?v=58J1vutT7qQ", "Video")</f>
        <v/>
      </c>
      <c r="B2330" t="inlineStr">
        <is>
          <t>6:17</t>
        </is>
      </c>
      <c r="C2330" t="inlineStr">
        <is>
          <t>director james wan's films but as creepy</t>
        </is>
      </c>
      <c r="D2330">
        <f>HYPERLINK("https://www.youtube.com/watch?v=58J1vutT7qQ&amp;t=377s", "Go to time")</f>
        <v/>
      </c>
    </row>
    <row r="2331">
      <c r="A2331">
        <f>HYPERLINK("https://www.youtube.com/watch?v=58J1vutT7qQ", "Video")</f>
        <v/>
      </c>
      <c r="B2331" t="inlineStr">
        <is>
          <t>7:58</t>
        </is>
      </c>
      <c r="C2331" t="inlineStr">
        <is>
          <t>the forbidden director bernard rose</t>
        </is>
      </c>
      <c r="D2331">
        <f>HYPERLINK("https://www.youtube.com/watch?v=58J1vutT7qQ&amp;t=478s", "Go to time")</f>
        <v/>
      </c>
    </row>
    <row r="2332">
      <c r="A2332">
        <f>HYPERLINK("https://www.youtube.com/watch?v=58J1vutT7qQ", "Video")</f>
        <v/>
      </c>
      <c r="B2332" t="inlineStr">
        <is>
          <t>14:38</t>
        </is>
      </c>
      <c r="C2332" t="inlineStr">
        <is>
          <t>director barca to make hellraiser which</t>
        </is>
      </c>
      <c r="D2332">
        <f>HYPERLINK("https://www.youtube.com/watch?v=58J1vutT7qQ&amp;t=878s", "Go to time")</f>
        <v/>
      </c>
    </row>
    <row r="2333">
      <c r="A2333">
        <f>HYPERLINK("https://www.youtube.com/watch?v=58J1vutT7qQ", "Video")</f>
        <v/>
      </c>
      <c r="B2333" t="inlineStr">
        <is>
          <t>18:19</t>
        </is>
      </c>
      <c r="C2333" t="inlineStr">
        <is>
          <t>originally director michael mann had</t>
        </is>
      </c>
      <c r="D2333">
        <f>HYPERLINK("https://www.youtube.com/watch?v=58J1vutT7qQ&amp;t=1099s", "Go to time")</f>
        <v/>
      </c>
    </row>
    <row r="2334">
      <c r="A2334">
        <f>HYPERLINK("https://www.youtube.com/watch?v=58J1vutT7qQ", "Video")</f>
        <v/>
      </c>
      <c r="B2334" t="inlineStr">
        <is>
          <t>18:23</t>
        </is>
      </c>
      <c r="C2334" t="inlineStr">
        <is>
          <t>director of the exorcist to play lecter</t>
        </is>
      </c>
      <c r="D2334">
        <f>HYPERLINK("https://www.youtube.com/watch?v=58J1vutT7qQ&amp;t=1103s", "Go to time")</f>
        <v/>
      </c>
    </row>
    <row r="2335">
      <c r="A2335">
        <f>HYPERLINK("https://www.youtube.com/watch?v=58J1vutT7qQ", "Video")</f>
        <v/>
      </c>
      <c r="B2335" t="inlineStr">
        <is>
          <t>18:31</t>
        </is>
      </c>
      <c r="C2335" t="inlineStr">
        <is>
          <t>cinema silence of the lambs director</t>
        </is>
      </c>
      <c r="D2335">
        <f>HYPERLINK("https://www.youtube.com/watch?v=58J1vutT7qQ&amp;t=1111s", "Go to time")</f>
        <v/>
      </c>
    </row>
    <row r="2336">
      <c r="A2336">
        <f>HYPERLINK("https://www.youtube.com/watch?v=58J1vutT7qQ", "Video")</f>
        <v/>
      </c>
      <c r="B2336" t="inlineStr">
        <is>
          <t>23:48</t>
        </is>
      </c>
      <c r="C2336" t="inlineStr">
        <is>
          <t>two dceu films directed by conjuring</t>
        </is>
      </c>
      <c r="D2336">
        <f>HYPERLINK("https://www.youtube.com/watch?v=58J1vutT7qQ&amp;t=1428s", "Go to time")</f>
        <v/>
      </c>
    </row>
    <row r="2337">
      <c r="A2337">
        <f>HYPERLINK("https://www.youtube.com/watch?v=K9PFmssZdBo", "Video")</f>
        <v/>
      </c>
      <c r="B2337" t="inlineStr">
        <is>
          <t>0:49</t>
        </is>
      </c>
      <c r="C2337" t="inlineStr">
        <is>
          <t>director Tom Hardy once again played</t>
        </is>
      </c>
      <c r="D2337">
        <f>HYPERLINK("https://www.youtube.com/watch?v=K9PFmssZdBo&amp;t=49s", "Go to time")</f>
        <v/>
      </c>
    </row>
    <row r="2338">
      <c r="A2338">
        <f>HYPERLINK("https://www.youtube.com/watch?v=K9PFmssZdBo", "Video")</f>
        <v/>
      </c>
      <c r="B2338" t="inlineStr">
        <is>
          <t>5:24</t>
        </is>
      </c>
      <c r="C2338" t="inlineStr">
        <is>
          <t>with director Sam Raimi on board who was</t>
        </is>
      </c>
      <c r="D2338">
        <f>HYPERLINK("https://www.youtube.com/watch?v=K9PFmssZdBo&amp;t=324s", "Go to time")</f>
        <v/>
      </c>
    </row>
    <row r="2339">
      <c r="A2339">
        <f>HYPERLINK("https://www.youtube.com/watch?v=K9PFmssZdBo", "Video")</f>
        <v/>
      </c>
      <c r="B2339" t="inlineStr">
        <is>
          <t>7:59</t>
        </is>
      </c>
      <c r="C2339" t="inlineStr">
        <is>
          <t>Spider-Man film reboot and was directed</t>
        </is>
      </c>
      <c r="D2339">
        <f>HYPERLINK("https://www.youtube.com/watch?v=K9PFmssZdBo&amp;t=479s", "Go to time")</f>
        <v/>
      </c>
    </row>
    <row r="2340">
      <c r="A2340">
        <f>HYPERLINK("https://www.youtube.com/watch?v=K9PFmssZdBo", "Video")</f>
        <v/>
      </c>
      <c r="B2340" t="inlineStr">
        <is>
          <t>8:02</t>
        </is>
      </c>
      <c r="C2340" t="inlineStr">
        <is>
          <t>by John Watts who would go on to direct</t>
        </is>
      </c>
      <c r="D2340">
        <f>HYPERLINK("https://www.youtube.com/watch?v=K9PFmssZdBo&amp;t=482s", "Go to time")</f>
        <v/>
      </c>
    </row>
    <row r="2341">
      <c r="A2341">
        <f>HYPERLINK("https://www.youtube.com/watch?v=K9PFmssZdBo", "Video")</f>
        <v/>
      </c>
      <c r="B2341" t="inlineStr">
        <is>
          <t>9:20</t>
        </is>
      </c>
      <c r="C2341" t="inlineStr">
        <is>
          <t>again starring Toby Maguire and directed</t>
        </is>
      </c>
      <c r="D2341">
        <f>HYPERLINK("https://www.youtube.com/watch?v=K9PFmssZdBo&amp;t=560s", "Go to time")</f>
        <v/>
      </c>
    </row>
    <row r="2342">
      <c r="A2342">
        <f>HYPERLINK("https://www.youtube.com/watch?v=H-YC_VUoPTY", "Video")</f>
        <v/>
      </c>
      <c r="B2342" t="inlineStr">
        <is>
          <t>1:48</t>
        </is>
      </c>
      <c r="C2342" t="inlineStr">
        <is>
          <t>the mcu this installment was directed by</t>
        </is>
      </c>
      <c r="D2342">
        <f>HYPERLINK("https://www.youtube.com/watch?v=H-YC_VUoPTY&amp;t=108s", "Go to time")</f>
        <v/>
      </c>
    </row>
    <row r="2343">
      <c r="A2343">
        <f>HYPERLINK("https://www.youtube.com/watch?v=H-YC_VUoPTY", "Video")</f>
        <v/>
      </c>
      <c r="B2343" t="inlineStr">
        <is>
          <t>2:10</t>
        </is>
      </c>
      <c r="C2343" t="inlineStr">
        <is>
          <t>is the direct opposite of light speed</t>
        </is>
      </c>
      <c r="D2343">
        <f>HYPERLINK("https://www.youtube.com/watch?v=H-YC_VUoPTY&amp;t=130s", "Go to time")</f>
        <v/>
      </c>
    </row>
    <row r="2344">
      <c r="A2344">
        <f>HYPERLINK("https://www.youtube.com/watch?v=H-YC_VUoPTY", "Video")</f>
        <v/>
      </c>
      <c r="B2344" t="inlineStr">
        <is>
          <t>6:32</t>
        </is>
      </c>
      <c r="C2344" t="inlineStr">
        <is>
          <t>eyebrow it's a crown how did director</t>
        </is>
      </c>
      <c r="D2344">
        <f>HYPERLINK("https://www.youtube.com/watch?v=H-YC_VUoPTY&amp;t=392s", "Go to time")</f>
        <v/>
      </c>
    </row>
    <row r="2345">
      <c r="A2345">
        <f>HYPERLINK("https://www.youtube.com/watch?v=H-YC_VUoPTY", "Video")</f>
        <v/>
      </c>
      <c r="B2345" t="inlineStr">
        <is>
          <t>8:41</t>
        </is>
      </c>
      <c r="C2345" t="inlineStr">
        <is>
          <t>war directed by anthony and joe russo</t>
        </is>
      </c>
      <c r="D2345">
        <f>HYPERLINK("https://www.youtube.com/watch?v=H-YC_VUoPTY&amp;t=521s", "Go to time")</f>
        <v/>
      </c>
    </row>
    <row r="2346">
      <c r="A2346">
        <f>HYPERLINK("https://www.youtube.com/watch?v=H-YC_VUoPTY", "Video")</f>
        <v/>
      </c>
      <c r="B2346" t="inlineStr">
        <is>
          <t>10:04</t>
        </is>
      </c>
      <c r="C2346" t="inlineStr">
        <is>
          <t>director and writer james gunn the</t>
        </is>
      </c>
      <c r="D2346">
        <f>HYPERLINK("https://www.youtube.com/watch?v=H-YC_VUoPTY&amp;t=604s", "Go to time")</f>
        <v/>
      </c>
    </row>
    <row r="2347">
      <c r="A2347">
        <f>HYPERLINK("https://www.youtube.com/watch?v=H-YC_VUoPTY", "Video")</f>
        <v/>
      </c>
      <c r="B2347" t="inlineStr">
        <is>
          <t>12:23</t>
        </is>
      </c>
      <c r="C2347" t="inlineStr">
        <is>
          <t>with you according to director joe russo</t>
        </is>
      </c>
      <c r="D2347">
        <f>HYPERLINK("https://www.youtube.com/watch?v=H-YC_VUoPTY&amp;t=743s", "Go to time")</f>
        <v/>
      </c>
    </row>
    <row r="2348">
      <c r="A2348">
        <f>HYPERLINK("https://www.youtube.com/watch?v=kim-p8Eaetw", "Video")</f>
        <v/>
      </c>
      <c r="B2348" t="inlineStr">
        <is>
          <t>2:20</t>
        </is>
      </c>
      <c r="C2348" t="inlineStr">
        <is>
          <t>to be Zack Snyder directing it and he</t>
        </is>
      </c>
      <c r="D2348">
        <f>HYPERLINK("https://www.youtube.com/watch?v=kim-p8Eaetw&amp;t=140s", "Go to time")</f>
        <v/>
      </c>
    </row>
    <row r="2349">
      <c r="A2349">
        <f>HYPERLINK("https://www.youtube.com/watch?v=kim-p8Eaetw", "Video")</f>
        <v/>
      </c>
      <c r="B2349" t="inlineStr">
        <is>
          <t>13:52</t>
        </is>
      </c>
      <c r="C2349" t="inlineStr">
        <is>
          <t>director known for emphasizing style</t>
        </is>
      </c>
      <c r="D2349">
        <f>HYPERLINK("https://www.youtube.com/watch?v=kim-p8Eaetw&amp;t=832s", "Go to time")</f>
        <v/>
      </c>
    </row>
    <row r="2350">
      <c r="A2350">
        <f>HYPERLINK("https://www.youtube.com/watch?v=kim-p8Eaetw", "Video")</f>
        <v/>
      </c>
      <c r="B2350" t="inlineStr">
        <is>
          <t>14:16</t>
        </is>
      </c>
      <c r="C2350" t="inlineStr">
        <is>
          <t>to fit the director's vision and should</t>
        </is>
      </c>
      <c r="D2350">
        <f>HYPERLINK("https://www.youtube.com/watch?v=kim-p8Eaetw&amp;t=856s", "Go to time")</f>
        <v/>
      </c>
    </row>
    <row r="2351">
      <c r="A2351">
        <f>HYPERLINK("https://www.youtube.com/watch?v=kim-p8Eaetw", "Video")</f>
        <v/>
      </c>
      <c r="B2351" t="inlineStr">
        <is>
          <t>21:55</t>
        </is>
      </c>
      <c r="C2351" t="inlineStr">
        <is>
          <t>two directions when you're when you feel</t>
        </is>
      </c>
      <c r="D2351">
        <f>HYPERLINK("https://www.youtube.com/watch?v=kim-p8Eaetw&amp;t=1315s", "Go to time")</f>
        <v/>
      </c>
    </row>
    <row r="2352">
      <c r="A2352">
        <f>HYPERLINK("https://www.youtube.com/watch?v=kim-p8Eaetw", "Video")</f>
        <v/>
      </c>
      <c r="B2352" t="inlineStr">
        <is>
          <t>40:03</t>
        </is>
      </c>
      <c r="C2352" t="inlineStr">
        <is>
          <t>directors or leadership along the way</t>
        </is>
      </c>
      <c r="D2352">
        <f>HYPERLINK("https://www.youtube.com/watch?v=kim-p8Eaetw&amp;t=2403s", "Go to time")</f>
        <v/>
      </c>
    </row>
    <row r="2353">
      <c r="A2353">
        <f>HYPERLINK("https://www.youtube.com/watch?v=kim-p8Eaetw", "Video")</f>
        <v/>
      </c>
      <c r="B2353" t="inlineStr">
        <is>
          <t>46:44</t>
        </is>
      </c>
      <c r="C2353" t="inlineStr">
        <is>
          <t>we open with saying okay directors do</t>
        </is>
      </c>
      <c r="D2353">
        <f>HYPERLINK("https://www.youtube.com/watch?v=kim-p8Eaetw&amp;t=2804s", "Go to time")</f>
        <v/>
      </c>
    </row>
    <row r="2354">
      <c r="A2354">
        <f>HYPERLINK("https://www.youtube.com/watch?v=kim-p8Eaetw", "Video")</f>
        <v/>
      </c>
      <c r="B2354" t="inlineStr">
        <is>
          <t>50:49</t>
        </is>
      </c>
      <c r="C2354" t="inlineStr">
        <is>
          <t>enough as far as director movie cuts</t>
        </is>
      </c>
      <c r="D2354">
        <f>HYPERLINK("https://www.youtube.com/watch?v=kim-p8Eaetw&amp;t=3049s", "Go to time")</f>
        <v/>
      </c>
    </row>
    <row r="2355">
      <c r="A2355">
        <f>HYPERLINK("https://www.youtube.com/watch?v=kim-p8Eaetw", "Video")</f>
        <v/>
      </c>
      <c r="B2355" t="inlineStr">
        <is>
          <t>50:55</t>
        </is>
      </c>
      <c r="C2355" t="inlineStr">
        <is>
          <t>the Rocky 4 director's cut that Stallone</t>
        </is>
      </c>
      <c r="D2355">
        <f>HYPERLINK("https://www.youtube.com/watch?v=kim-p8Eaetw&amp;t=3055s", "Go to time")</f>
        <v/>
      </c>
    </row>
    <row r="2356">
      <c r="A2356">
        <f>HYPERLINK("https://www.youtube.com/watch?v=kim-p8Eaetw", "Video")</f>
        <v/>
      </c>
      <c r="B2356" t="inlineStr">
        <is>
          <t>55:58</t>
        </is>
      </c>
      <c r="C2356" t="inlineStr">
        <is>
          <t>that was it's available the director's</t>
        </is>
      </c>
      <c r="D2356">
        <f>HYPERLINK("https://www.youtube.com/watch?v=kim-p8Eaetw&amp;t=3358s", "Go to time")</f>
        <v/>
      </c>
    </row>
    <row r="2357">
      <c r="A2357">
        <f>HYPERLINK("https://www.youtube.com/watch?v=NuQNtrHIA0w", "Video")</f>
        <v/>
      </c>
      <c r="B2357" t="inlineStr">
        <is>
          <t>2:19</t>
        </is>
      </c>
      <c r="C2357" t="inlineStr">
        <is>
          <t>direction uh yeah uh to your left maybe</t>
        </is>
      </c>
      <c r="D2357">
        <f>HYPERLINK("https://www.youtube.com/watch?v=NuQNtrHIA0w&amp;t=139s", "Go to time")</f>
        <v/>
      </c>
    </row>
    <row r="2358">
      <c r="A2358">
        <f>HYPERLINK("https://www.youtube.com/watch?v=zUgDbgBIb5U", "Video")</f>
        <v/>
      </c>
      <c r="B2358" t="inlineStr">
        <is>
          <t>2:04</t>
        </is>
      </c>
      <c r="C2358" t="inlineStr">
        <is>
          <t>crime Thriller directed written and</t>
        </is>
      </c>
      <c r="D2358">
        <f>HYPERLINK("https://www.youtube.com/watch?v=zUgDbgBIb5U&amp;t=124s", "Go to time")</f>
        <v/>
      </c>
    </row>
    <row r="2359">
      <c r="A2359">
        <f>HYPERLINK("https://www.youtube.com/watch?v=zUgDbgBIb5U", "Video")</f>
        <v/>
      </c>
      <c r="B2359" t="inlineStr">
        <is>
          <t>5:44</t>
        </is>
      </c>
      <c r="C2359" t="inlineStr">
        <is>
          <t>director Anton Fuqua who had his</t>
        </is>
      </c>
      <c r="D2359">
        <f>HYPERLINK("https://www.youtube.com/watch?v=zUgDbgBIb5U&amp;t=344s", "Go to time")</f>
        <v/>
      </c>
    </row>
    <row r="2360">
      <c r="A2360">
        <f>HYPERLINK("https://www.youtube.com/watch?v=zUgDbgBIb5U", "Video")</f>
        <v/>
      </c>
      <c r="B2360" t="inlineStr">
        <is>
          <t>6:42</t>
        </is>
      </c>
      <c r="C2360" t="inlineStr">
        <is>
          <t>weekend critics praise fuqua's Direction</t>
        </is>
      </c>
      <c r="D2360">
        <f>HYPERLINK("https://www.youtube.com/watch?v=zUgDbgBIb5U&amp;t=402s", "Go to time")</f>
        <v/>
      </c>
    </row>
    <row r="2361">
      <c r="A2361">
        <f>HYPERLINK("https://www.youtube.com/watch?v=zUgDbgBIb5U", "Video")</f>
        <v/>
      </c>
      <c r="B2361" t="inlineStr">
        <is>
          <t>7:14</t>
        </is>
      </c>
      <c r="C2361" t="inlineStr">
        <is>
          <t>Greenland was directed by Rick Roman wag</t>
        </is>
      </c>
      <c r="D2361">
        <f>HYPERLINK("https://www.youtube.com/watch?v=zUgDbgBIb5U&amp;t=434s", "Go to time")</f>
        <v/>
      </c>
    </row>
    <row r="2362">
      <c r="A2362">
        <f>HYPERLINK("https://www.youtube.com/watch?v=zUgDbgBIb5U", "Video")</f>
        <v/>
      </c>
      <c r="B2362" t="inlineStr">
        <is>
          <t>8:51</t>
        </is>
      </c>
      <c r="C2362" t="inlineStr">
        <is>
          <t>direct Butler also produce this one</t>
        </is>
      </c>
      <c r="D2362">
        <f>HYPERLINK("https://www.youtube.com/watch?v=zUgDbgBIb5U&amp;t=531s", "Go to time")</f>
        <v/>
      </c>
    </row>
    <row r="2363">
      <c r="A2363">
        <f>HYPERLINK("https://www.youtube.com/watch?v=zUgDbgBIb5U", "Video")</f>
        <v/>
      </c>
      <c r="B2363" t="inlineStr">
        <is>
          <t>11:48</t>
        </is>
      </c>
      <c r="C2363" t="inlineStr">
        <is>
          <t>dollars and is directly responsible for</t>
        </is>
      </c>
      <c r="D2363">
        <f>HYPERLINK("https://www.youtube.com/watch?v=zUgDbgBIb5U&amp;t=708s", "Go to time")</f>
        <v/>
      </c>
    </row>
    <row r="2364">
      <c r="A2364">
        <f>HYPERLINK("https://www.youtube.com/watch?v=zUgDbgBIb5U", "Video")</f>
        <v/>
      </c>
      <c r="B2364" t="inlineStr">
        <is>
          <t>14:47</t>
        </is>
      </c>
      <c r="C2364" t="inlineStr">
        <is>
          <t>next up Machine Gun Preacher directed</t>
        </is>
      </c>
      <c r="D2364">
        <f>HYPERLINK("https://www.youtube.com/watch?v=zUgDbgBIb5U&amp;t=887s", "Go to time")</f>
        <v/>
      </c>
    </row>
    <row r="2365">
      <c r="A2365">
        <f>HYPERLINK("https://www.youtube.com/watch?v=zUgDbgBIb5U", "Video")</f>
        <v/>
      </c>
      <c r="B2365" t="inlineStr">
        <is>
          <t>17:31</t>
        </is>
      </c>
      <c r="C2365" t="inlineStr">
        <is>
          <t>to Beggars Corey elanus was directed by</t>
        </is>
      </c>
      <c r="D2365">
        <f>HYPERLINK("https://www.youtube.com/watch?v=zUgDbgBIb5U&amp;t=1051s", "Go to time")</f>
        <v/>
      </c>
    </row>
    <row r="2366">
      <c r="A2366">
        <f>HYPERLINK("https://www.youtube.com/watch?v=zUgDbgBIb5U", "Video")</f>
        <v/>
      </c>
      <c r="B2366" t="inlineStr">
        <is>
          <t>18:45</t>
        </is>
      </c>
      <c r="C2366" t="inlineStr">
        <is>
          <t>this was Fine's debut as a director even</t>
        </is>
      </c>
      <c r="D2366">
        <f>HYPERLINK("https://www.youtube.com/watch?v=zUgDbgBIb5U&amp;t=1125s", "Go to time")</f>
        <v/>
      </c>
    </row>
    <row r="2367">
      <c r="A2367">
        <f>HYPERLINK("https://www.youtube.com/watch?v=zUgDbgBIb5U", "Video")</f>
        <v/>
      </c>
      <c r="B2367" t="inlineStr">
        <is>
          <t>20:08</t>
        </is>
      </c>
      <c r="C2367" t="inlineStr">
        <is>
          <t>and roller written and directed by</t>
        </is>
      </c>
      <c r="D2367">
        <f>HYPERLINK("https://www.youtube.com/watch?v=zUgDbgBIb5U&amp;t=1208s", "Go to time")</f>
        <v/>
      </c>
    </row>
    <row r="2368">
      <c r="A2368">
        <f>HYPERLINK("https://www.youtube.com/watch?v=zUgDbgBIb5U", "Video")</f>
        <v/>
      </c>
      <c r="B2368" t="inlineStr">
        <is>
          <t>20:10</t>
        </is>
      </c>
      <c r="C2368" t="inlineStr">
        <is>
          <t>acclaimed English director Guy Ritchie</t>
        </is>
      </c>
      <c r="D2368">
        <f>HYPERLINK("https://www.youtube.com/watch?v=zUgDbgBIb5U&amp;t=1210s", "Go to time")</f>
        <v/>
      </c>
    </row>
    <row r="2369">
      <c r="A2369">
        <f>HYPERLINK("https://www.youtube.com/watch?v=zUgDbgBIb5U", "Video")</f>
        <v/>
      </c>
      <c r="B2369" t="inlineStr">
        <is>
          <t>22:26</t>
        </is>
      </c>
      <c r="C2369" t="inlineStr">
        <is>
          <t>Cop Shop directed by Joe Carnahan and</t>
        </is>
      </c>
      <c r="D2369">
        <f>HYPERLINK("https://www.youtube.com/watch?v=zUgDbgBIb5U&amp;t=1346s", "Go to time")</f>
        <v/>
      </c>
    </row>
    <row r="2370">
      <c r="A2370">
        <f>HYPERLINK("https://www.youtube.com/watch?v=Acu4rUj_x9s", "Video")</f>
        <v/>
      </c>
      <c r="B2370" t="inlineStr">
        <is>
          <t>0:07</t>
        </is>
      </c>
      <c r="C2370" t="inlineStr">
        <is>
          <t>a Westerly course heading directly</t>
        </is>
      </c>
      <c r="D2370">
        <f>HYPERLINK("https://www.youtube.com/watch?v=Acu4rUj_x9s&amp;t=7s", "Go to time")</f>
        <v/>
      </c>
    </row>
    <row r="2371">
      <c r="A2371">
        <f>HYPERLINK("https://www.youtube.com/watch?v=IRGe_qnfCnk", "Video")</f>
        <v/>
      </c>
      <c r="B2371" t="inlineStr">
        <is>
          <t>1:30</t>
        </is>
      </c>
      <c r="C2371" t="inlineStr">
        <is>
          <t>taken directed by pierre morell and</t>
        </is>
      </c>
      <c r="D2371">
        <f>HYPERLINK("https://www.youtube.com/watch?v=IRGe_qnfCnk&amp;t=90s", "Go to time")</f>
        <v/>
      </c>
    </row>
    <row r="2372">
      <c r="A2372">
        <f>HYPERLINK("https://www.youtube.com/watch?v=IRGe_qnfCnk", "Video")</f>
        <v/>
      </c>
      <c r="B2372" t="inlineStr">
        <is>
          <t>3:49</t>
        </is>
      </c>
      <c r="C2372" t="inlineStr">
        <is>
          <t>thriller directed by john mctiernan the</t>
        </is>
      </c>
      <c r="D2372">
        <f>HYPERLINK("https://www.youtube.com/watch?v=IRGe_qnfCnk&amp;t=229s", "Go to time")</f>
        <v/>
      </c>
    </row>
    <row r="2373">
      <c r="A2373">
        <f>HYPERLINK("https://www.youtube.com/watch?v=IRGe_qnfCnk", "Video")</f>
        <v/>
      </c>
      <c r="B2373" t="inlineStr">
        <is>
          <t>6:04</t>
        </is>
      </c>
      <c r="C2373" t="inlineStr">
        <is>
          <t>new zealand director peter jackson has</t>
        </is>
      </c>
      <c r="D2373">
        <f>HYPERLINK("https://www.youtube.com/watch?v=IRGe_qnfCnk&amp;t=364s", "Go to time")</f>
        <v/>
      </c>
    </row>
    <row r="2374">
      <c r="A2374">
        <f>HYPERLINK("https://www.youtube.com/watch?v=IRGe_qnfCnk", "Video")</f>
        <v/>
      </c>
      <c r="B2374" t="inlineStr">
        <is>
          <t>8:19</t>
        </is>
      </c>
      <c r="C2374" t="inlineStr">
        <is>
          <t>pitch black is a sci-fi horror directed</t>
        </is>
      </c>
      <c r="D2374">
        <f>HYPERLINK("https://www.youtube.com/watch?v=IRGe_qnfCnk&amp;t=499s", "Go to time")</f>
        <v/>
      </c>
    </row>
    <row r="2375">
      <c r="A2375">
        <f>HYPERLINK("https://www.youtube.com/watch?v=IRGe_qnfCnk", "Video")</f>
        <v/>
      </c>
      <c r="B2375" t="inlineStr">
        <is>
          <t>10:47</t>
        </is>
      </c>
      <c r="C2375" t="inlineStr">
        <is>
          <t>that rule the film was directed by renny</t>
        </is>
      </c>
      <c r="D2375">
        <f>HYPERLINK("https://www.youtube.com/watch?v=IRGe_qnfCnk&amp;t=647s", "Go to time")</f>
        <v/>
      </c>
    </row>
    <row r="2376">
      <c r="A2376">
        <f>HYPERLINK("https://www.youtube.com/watch?v=IRGe_qnfCnk", "Video")</f>
        <v/>
      </c>
      <c r="B2376" t="inlineStr">
        <is>
          <t>12:54</t>
        </is>
      </c>
      <c r="C2376" t="inlineStr">
        <is>
          <t>written directed and co-produced by</t>
        </is>
      </c>
      <c r="D2376">
        <f>HYPERLINK("https://www.youtube.com/watch?v=IRGe_qnfCnk&amp;t=774s", "Go to time")</f>
        <v/>
      </c>
    </row>
    <row r="2377">
      <c r="A2377">
        <f>HYPERLINK("https://www.youtube.com/watch?v=IRGe_qnfCnk", "Video")</f>
        <v/>
      </c>
      <c r="B2377" t="inlineStr">
        <is>
          <t>13:29</t>
        </is>
      </c>
      <c r="C2377" t="inlineStr">
        <is>
          <t>the writer director admitted that in</t>
        </is>
      </c>
      <c r="D2377">
        <f>HYPERLINK("https://www.youtube.com/watch?v=IRGe_qnfCnk&amp;t=809s", "Go to time")</f>
        <v/>
      </c>
    </row>
    <row r="2378">
      <c r="A2378">
        <f>HYPERLINK("https://www.youtube.com/watch?v=IRGe_qnfCnk", "Video")</f>
        <v/>
      </c>
      <c r="B2378" t="inlineStr">
        <is>
          <t>15:46</t>
        </is>
      </c>
      <c r="C2378" t="inlineStr">
        <is>
          <t>director orrin pelley's first paranormal</t>
        </is>
      </c>
      <c r="D2378">
        <f>HYPERLINK("https://www.youtube.com/watch?v=IRGe_qnfCnk&amp;t=946s", "Go to time")</f>
        <v/>
      </c>
    </row>
    <row r="2379">
      <c r="A2379">
        <f>HYPERLINK("https://www.youtube.com/watch?v=IRGe_qnfCnk", "Video")</f>
        <v/>
      </c>
      <c r="B2379" t="inlineStr">
        <is>
          <t>15:56</t>
        </is>
      </c>
      <c r="C2379" t="inlineStr">
        <is>
          <t>direct the screenplay written by michael</t>
        </is>
      </c>
      <c r="D2379">
        <f>HYPERLINK("https://www.youtube.com/watch?v=IRGe_qnfCnk&amp;t=956s", "Go to time")</f>
        <v/>
      </c>
    </row>
    <row r="2380">
      <c r="A2380">
        <f>HYPERLINK("https://www.youtube.com/watch?v=IRGe_qnfCnk", "Video")</f>
        <v/>
      </c>
      <c r="B2380" t="inlineStr">
        <is>
          <t>21:14</t>
        </is>
      </c>
      <c r="C2380" t="inlineStr">
        <is>
          <t>superhero action film directed by andy</t>
        </is>
      </c>
      <c r="D2380">
        <f>HYPERLINK("https://www.youtube.com/watch?v=IRGe_qnfCnk&amp;t=1274s", "Go to time")</f>
        <v/>
      </c>
    </row>
    <row r="2381">
      <c r="A2381">
        <f>HYPERLINK("https://www.youtube.com/watch?v=IRGe_qnfCnk", "Video")</f>
        <v/>
      </c>
      <c r="B2381" t="inlineStr">
        <is>
          <t>22:02</t>
        </is>
      </c>
      <c r="C2381" t="inlineStr">
        <is>
          <t>obvious choice to direct let there be</t>
        </is>
      </c>
      <c r="D2381">
        <f>HYPERLINK("https://www.youtube.com/watch?v=IRGe_qnfCnk&amp;t=1322s", "Go to time")</f>
        <v/>
      </c>
    </row>
    <row r="2382">
      <c r="A2382">
        <f>HYPERLINK("https://www.youtube.com/watch?v=IRGe_qnfCnk", "Video")</f>
        <v/>
      </c>
      <c r="B2382" t="inlineStr">
        <is>
          <t>22:09</t>
        </is>
      </c>
      <c r="C2382" t="inlineStr">
        <is>
          <t>directed the film's breathe and mowgli</t>
        </is>
      </c>
      <c r="D2382">
        <f>HYPERLINK("https://www.youtube.com/watch?v=IRGe_qnfCnk&amp;t=1329s", "Go to time")</f>
        <v/>
      </c>
    </row>
    <row r="2383">
      <c r="A2383">
        <f>HYPERLINK("https://www.youtube.com/watch?v=m34XjKFNPrw", "Video")</f>
        <v/>
      </c>
      <c r="B2383" t="inlineStr">
        <is>
          <t>1:15</t>
        </is>
      </c>
      <c r="C2383" t="inlineStr">
        <is>
          <t>this movie is the directorial debut for</t>
        </is>
      </c>
      <c r="D2383">
        <f>HYPERLINK("https://www.youtube.com/watch?v=m34XjKFNPrw&amp;t=75s", "Go to time")</f>
        <v/>
      </c>
    </row>
    <row r="2384">
      <c r="A2384">
        <f>HYPERLINK("https://www.youtube.com/watch?v=m34XjKFNPrw", "Video")</f>
        <v/>
      </c>
      <c r="B2384" t="inlineStr">
        <is>
          <t>3:37</t>
        </is>
      </c>
      <c r="C2384" t="inlineStr">
        <is>
          <t>director Gary Ross who also wrote big by</t>
        </is>
      </c>
      <c r="D2384">
        <f>HYPERLINK("https://www.youtube.com/watch?v=m34XjKFNPrw&amp;t=217s", "Go to time")</f>
        <v/>
      </c>
    </row>
    <row r="2385">
      <c r="A2385">
        <f>HYPERLINK("https://www.youtube.com/watch?v=m34XjKFNPrw", "Video")</f>
        <v/>
      </c>
      <c r="B2385" t="inlineStr">
        <is>
          <t>5:32</t>
        </is>
      </c>
      <c r="C2385" t="inlineStr">
        <is>
          <t>to direct a superhero film in Kathy Yan</t>
        </is>
      </c>
      <c r="D2385">
        <f>HYPERLINK("https://www.youtube.com/watch?v=m34XjKFNPrw&amp;t=332s", "Go to time")</f>
        <v/>
      </c>
    </row>
    <row r="2386">
      <c r="A2386">
        <f>HYPERLINK("https://www.youtube.com/watch?v=-nqpvSjmvKI", "Video")</f>
        <v/>
      </c>
      <c r="B2386" t="inlineStr">
        <is>
          <t>1:39</t>
        </is>
      </c>
      <c r="C2386" t="inlineStr">
        <is>
          <t>writer director jordan peele's get out</t>
        </is>
      </c>
      <c r="D2386">
        <f>HYPERLINK("https://www.youtube.com/watch?v=-nqpvSjmvKI&amp;t=99s", "Go to time")</f>
        <v/>
      </c>
    </row>
    <row r="2387">
      <c r="A2387">
        <f>HYPERLINK("https://www.youtube.com/watch?v=-nqpvSjmvKI", "Video")</f>
        <v/>
      </c>
      <c r="B2387" t="inlineStr">
        <is>
          <t>2:47</t>
        </is>
      </c>
      <c r="C2387" t="inlineStr">
        <is>
          <t>peele's directorial debut and somewhat</t>
        </is>
      </c>
      <c r="D2387">
        <f>HYPERLINK("https://www.youtube.com/watch?v=-nqpvSjmvKI&amp;t=167s", "Go to time")</f>
        <v/>
      </c>
    </row>
    <row r="2388">
      <c r="A2388">
        <f>HYPERLINK("https://www.youtube.com/watch?v=-nqpvSjmvKI", "Video")</f>
        <v/>
      </c>
      <c r="B2388" t="inlineStr">
        <is>
          <t>3:01</t>
        </is>
      </c>
      <c r="C2388" t="inlineStr">
        <is>
          <t>and directing peel also took inspiration</t>
        </is>
      </c>
      <c r="D2388">
        <f>HYPERLINK("https://www.youtube.com/watch?v=-nqpvSjmvKI&amp;t=181s", "Go to time")</f>
        <v/>
      </c>
    </row>
    <row r="2389">
      <c r="A2389">
        <f>HYPERLINK("https://www.youtube.com/watch?v=-nqpvSjmvKI", "Video")</f>
        <v/>
      </c>
      <c r="B2389" t="inlineStr">
        <is>
          <t>3:19</t>
        </is>
      </c>
      <c r="C2389" t="inlineStr">
        <is>
          <t>first black writer director to gross</t>
        </is>
      </c>
      <c r="D2389">
        <f>HYPERLINK("https://www.youtube.com/watch?v=-nqpvSjmvKI&amp;t=199s", "Go to time")</f>
        <v/>
      </c>
    </row>
    <row r="2390">
      <c r="A2390">
        <f>HYPERLINK("https://www.youtube.com/watch?v=-nqpvSjmvKI", "Video")</f>
        <v/>
      </c>
      <c r="B2390" t="inlineStr">
        <is>
          <t>4:53</t>
        </is>
      </c>
      <c r="C2390" t="inlineStr">
        <is>
          <t>was directed by steven norrington and in</t>
        </is>
      </c>
      <c r="D2390">
        <f>HYPERLINK("https://www.youtube.com/watch?v=-nqpvSjmvKI&amp;t=293s", "Go to time")</f>
        <v/>
      </c>
    </row>
    <row r="2391">
      <c r="A2391">
        <f>HYPERLINK("https://www.youtube.com/watch?v=-nqpvSjmvKI", "Video")</f>
        <v/>
      </c>
      <c r="B2391" t="inlineStr">
        <is>
          <t>6:39</t>
        </is>
      </c>
      <c r="C2391" t="inlineStr">
        <is>
          <t>directed by english filmmaker bernard</t>
        </is>
      </c>
      <c r="D2391">
        <f>HYPERLINK("https://www.youtube.com/watch?v=-nqpvSjmvKI&amp;t=399s", "Go to time")</f>
        <v/>
      </c>
    </row>
    <row r="2392">
      <c r="A2392">
        <f>HYPERLINK("https://www.youtube.com/watch?v=-nqpvSjmvKI", "Video")</f>
        <v/>
      </c>
      <c r="B2392" t="inlineStr">
        <is>
          <t>8:43</t>
        </is>
      </c>
      <c r="C2392" t="inlineStr">
        <is>
          <t>should say a direct sequel to 1992's</t>
        </is>
      </c>
      <c r="D2392">
        <f>HYPERLINK("https://www.youtube.com/watch?v=-nqpvSjmvKI&amp;t=523s", "Go to time")</f>
        <v/>
      </c>
    </row>
    <row r="2393">
      <c r="A2393">
        <f>HYPERLINK("https://www.youtube.com/watch?v=-nqpvSjmvKI", "Video")</f>
        <v/>
      </c>
      <c r="B2393" t="inlineStr">
        <is>
          <t>8:54</t>
        </is>
      </c>
      <c r="C2393" t="inlineStr">
        <is>
          <t>choice to direct this new version</t>
        </is>
      </c>
      <c r="D2393">
        <f>HYPERLINK("https://www.youtube.com/watch?v=-nqpvSjmvKI&amp;t=534s", "Go to time")</f>
        <v/>
      </c>
    </row>
    <row r="2394">
      <c r="A2394">
        <f>HYPERLINK("https://www.youtube.com/watch?v=-nqpvSjmvKI", "Video")</f>
        <v/>
      </c>
      <c r="B2394" t="inlineStr">
        <is>
          <t>9:24</t>
        </is>
      </c>
      <c r="C2394" t="inlineStr">
        <is>
          <t>signed on to direct a reimagined version</t>
        </is>
      </c>
      <c r="D2394">
        <f>HYPERLINK("https://www.youtube.com/watch?v=-nqpvSjmvKI&amp;t=564s", "Go to time")</f>
        <v/>
      </c>
    </row>
    <row r="2395">
      <c r="A2395">
        <f>HYPERLINK("https://www.youtube.com/watch?v=-nqpvSjmvKI", "Video")</f>
        <v/>
      </c>
      <c r="B2395" t="inlineStr">
        <is>
          <t>10:00</t>
        </is>
      </c>
      <c r="C2395" t="inlineStr">
        <is>
          <t>direction stating that he'd rather</t>
        </is>
      </c>
      <c r="D2395">
        <f>HYPERLINK("https://www.youtube.com/watch?v=-nqpvSjmvKI&amp;t=600s", "Go to time")</f>
        <v/>
      </c>
    </row>
    <row r="2396">
      <c r="A2396">
        <f>HYPERLINK("https://www.youtube.com/watch?v=-nqpvSjmvKI", "Video")</f>
        <v/>
      </c>
      <c r="B2396" t="inlineStr">
        <is>
          <t>11:38</t>
        </is>
      </c>
      <c r="C2396" t="inlineStr">
        <is>
          <t>attack from all directions</t>
        </is>
      </c>
      <c r="D2396">
        <f>HYPERLINK("https://www.youtube.com/watch?v=-nqpvSjmvKI&amp;t=698s", "Go to time")</f>
        <v/>
      </c>
    </row>
    <row r="2397">
      <c r="A2397">
        <f>HYPERLINK("https://www.youtube.com/watch?v=-nqpvSjmvKI", "Video")</f>
        <v/>
      </c>
      <c r="B2397" t="inlineStr">
        <is>
          <t>12:50</t>
        </is>
      </c>
      <c r="C2397" t="inlineStr">
        <is>
          <t>directed and starred and marlene clark</t>
        </is>
      </c>
      <c r="D2397">
        <f>HYPERLINK("https://www.youtube.com/watch?v=-nqpvSjmvKI&amp;t=770s", "Go to time")</f>
        <v/>
      </c>
    </row>
    <row r="2398">
      <c r="A2398">
        <f>HYPERLINK("https://www.youtube.com/watch?v=-nqpvSjmvKI", "Video")</f>
        <v/>
      </c>
      <c r="B2398" t="inlineStr">
        <is>
          <t>14:45</t>
        </is>
      </c>
      <c r="C2398" t="inlineStr">
        <is>
          <t>horror written and directed by english</t>
        </is>
      </c>
      <c r="D2398">
        <f>HYPERLINK("https://www.youtube.com/watch?v=-nqpvSjmvKI&amp;t=885s", "Go to time")</f>
        <v/>
      </c>
    </row>
    <row r="2399">
      <c r="A2399">
        <f>HYPERLINK("https://www.youtube.com/watch?v=-nqpvSjmvKI", "Video")</f>
        <v/>
      </c>
      <c r="B2399" t="inlineStr">
        <is>
          <t>16:25</t>
        </is>
      </c>
      <c r="C2399" t="inlineStr">
        <is>
          <t>writing and directing and boyega</t>
        </is>
      </c>
      <c r="D2399">
        <f>HYPERLINK("https://www.youtube.com/watch?v=-nqpvSjmvKI&amp;t=985s", "Go to time")</f>
        <v/>
      </c>
    </row>
    <row r="2400">
      <c r="A2400">
        <f>HYPERLINK("https://www.youtube.com/watch?v=-nqpvSjmvKI", "Video")</f>
        <v/>
      </c>
      <c r="B2400" t="inlineStr">
        <is>
          <t>16:46</t>
        </is>
      </c>
      <c r="C2400" t="inlineStr">
        <is>
          <t>written and directed by remy weeks and</t>
        </is>
      </c>
      <c r="D2400">
        <f>HYPERLINK("https://www.youtube.com/watch?v=-nqpvSjmvKI&amp;t=1006s", "Go to time")</f>
        <v/>
      </c>
    </row>
    <row r="2401">
      <c r="A2401">
        <f>HYPERLINK("https://www.youtube.com/watch?v=-nqpvSjmvKI", "Video")</f>
        <v/>
      </c>
      <c r="B2401" t="inlineStr">
        <is>
          <t>17:10</t>
        </is>
      </c>
      <c r="C2401" t="inlineStr">
        <is>
          <t>directorial debut makes the film</t>
        </is>
      </c>
      <c r="D2401">
        <f>HYPERLINK("https://www.youtube.com/watch?v=-nqpvSjmvKI&amp;t=1030s", "Go to time")</f>
        <v/>
      </c>
    </row>
    <row r="2402">
      <c r="A2402">
        <f>HYPERLINK("https://www.youtube.com/watch?v=-nqpvSjmvKI", "Video")</f>
        <v/>
      </c>
      <c r="B2402" t="inlineStr">
        <is>
          <t>17:41</t>
        </is>
      </c>
      <c r="C2402" t="inlineStr">
        <is>
          <t>independent film award for best director</t>
        </is>
      </c>
      <c r="D2402">
        <f>HYPERLINK("https://www.youtube.com/watch?v=-nqpvSjmvKI&amp;t=1061s", "Go to time")</f>
        <v/>
      </c>
    </row>
    <row r="2403">
      <c r="A2403">
        <f>HYPERLINK("https://www.youtube.com/watch?v=-nqpvSjmvKI", "Video")</f>
        <v/>
      </c>
      <c r="B2403" t="inlineStr">
        <is>
          <t>18:52</t>
        </is>
      </c>
      <c r="C2403" t="inlineStr">
        <is>
          <t>directed black box psychological horror</t>
        </is>
      </c>
      <c r="D2403">
        <f>HYPERLINK("https://www.youtube.com/watch?v=-nqpvSjmvKI&amp;t=1132s", "Go to time")</f>
        <v/>
      </c>
    </row>
    <row r="2404">
      <c r="A2404">
        <f>HYPERLINK("https://www.youtube.com/watch?v=-nqpvSjmvKI", "Video")</f>
        <v/>
      </c>
      <c r="B2404" t="inlineStr">
        <is>
          <t>20:23</t>
        </is>
      </c>
      <c r="C2404" t="inlineStr">
        <is>
          <t>cooper jr's direction roger ebert.com</t>
        </is>
      </c>
      <c r="D2404">
        <f>HYPERLINK("https://www.youtube.com/watch?v=-nqpvSjmvKI&amp;t=1223s", "Go to time")</f>
        <v/>
      </c>
    </row>
    <row r="2405">
      <c r="A2405">
        <f>HYPERLINK("https://www.youtube.com/watch?v=-nqpvSjmvKI", "Video")</f>
        <v/>
      </c>
      <c r="B2405" t="inlineStr">
        <is>
          <t>20:27</t>
        </is>
      </c>
      <c r="C2405" t="inlineStr">
        <is>
          <t>black box you just know the director is</t>
        </is>
      </c>
      <c r="D2405">
        <f>HYPERLINK("https://www.youtube.com/watch?v=-nqpvSjmvKI&amp;t=1227s", "Go to time")</f>
        <v/>
      </c>
    </row>
    <row r="2406">
      <c r="A2406">
        <f>HYPERLINK("https://www.youtube.com/watch?v=-nqpvSjmvKI", "Video")</f>
        <v/>
      </c>
      <c r="B2406" t="inlineStr">
        <is>
          <t>21:01</t>
        </is>
      </c>
      <c r="C2406" t="inlineStr">
        <is>
          <t>and directed lupita nyong'o winston duke</t>
        </is>
      </c>
      <c r="D2406">
        <f>HYPERLINK("https://www.youtube.com/watch?v=-nqpvSjmvKI&amp;t=1261s", "Go to time")</f>
        <v/>
      </c>
    </row>
    <row r="2407">
      <c r="A2407">
        <f>HYPERLINK("https://www.youtube.com/watch?v=yKBuHeXQhp4", "Video")</f>
        <v/>
      </c>
      <c r="B2407" t="inlineStr">
        <is>
          <t>2:27</t>
        </is>
      </c>
      <c r="C2407" t="inlineStr">
        <is>
          <t>directly for the details</t>
        </is>
      </c>
      <c r="D2407">
        <f>HYPERLINK("https://www.youtube.com/watch?v=yKBuHeXQhp4&amp;t=147s", "Go to time")</f>
        <v/>
      </c>
    </row>
    <row r="2408">
      <c r="A2408">
        <f>HYPERLINK("https://www.youtube.com/watch?v=zQO3q1lSZ4k", "Video")</f>
        <v/>
      </c>
      <c r="B2408" t="inlineStr">
        <is>
          <t>2:09</t>
        </is>
      </c>
      <c r="C2408" t="inlineStr">
        <is>
          <t>she stars and directed and is coming out</t>
        </is>
      </c>
      <c r="D2408">
        <f>HYPERLINK("https://www.youtube.com/watch?v=zQO3q1lSZ4k&amp;t=129s", "Go to time")</f>
        <v/>
      </c>
    </row>
    <row r="2409">
      <c r="A2409">
        <f>HYPERLINK("https://www.youtube.com/watch?v=zQO3q1lSZ4k", "Video")</f>
        <v/>
      </c>
      <c r="B2409" t="inlineStr">
        <is>
          <t>29:07</t>
        </is>
      </c>
      <c r="C2409" t="inlineStr">
        <is>
          <t>directing who is responsible for most of</t>
        </is>
      </c>
      <c r="D2409">
        <f>HYPERLINK("https://www.youtube.com/watch?v=zQO3q1lSZ4k&amp;t=1747s", "Go to time")</f>
        <v/>
      </c>
    </row>
    <row r="2410">
      <c r="A2410">
        <f>HYPERLINK("https://www.youtube.com/watch?v=zQO3q1lSZ4k", "Video")</f>
        <v/>
      </c>
      <c r="B2410" t="inlineStr">
        <is>
          <t>31:37</t>
        </is>
      </c>
      <c r="C2410" t="inlineStr">
        <is>
          <t>Jackson also directed by Brian Robbins</t>
        </is>
      </c>
      <c r="D2410">
        <f>HYPERLINK("https://www.youtube.com/watch?v=zQO3q1lSZ4k&amp;t=1897s", "Go to time")</f>
        <v/>
      </c>
    </row>
    <row r="2411">
      <c r="A2411">
        <f>HYPERLINK("https://www.youtube.com/watch?v=zQO3q1lSZ4k", "Video")</f>
        <v/>
      </c>
      <c r="B2411" t="inlineStr">
        <is>
          <t>31:49</t>
        </is>
      </c>
      <c r="C2411" t="inlineStr">
        <is>
          <t>he also directed Good Burger for uh yeah</t>
        </is>
      </c>
      <c r="D2411">
        <f>HYPERLINK("https://www.youtube.com/watch?v=zQO3q1lSZ4k&amp;t=1909s", "Go to time")</f>
        <v/>
      </c>
    </row>
    <row r="2412">
      <c r="A2412">
        <f>HYPERLINK("https://www.youtube.com/watch?v=zQO3q1lSZ4k", "Video")</f>
        <v/>
      </c>
      <c r="B2412" t="inlineStr">
        <is>
          <t>36:25</t>
        </is>
      </c>
      <c r="C2412" t="inlineStr">
        <is>
          <t>co-writer and the director of of this</t>
        </is>
      </c>
      <c r="D2412">
        <f>HYPERLINK("https://www.youtube.com/watch?v=zQO3q1lSZ4k&amp;t=2185s", "Go to time")</f>
        <v/>
      </c>
    </row>
    <row r="2413">
      <c r="A2413">
        <f>HYPERLINK("https://www.youtube.com/watch?v=zQO3q1lSZ4k", "Video")</f>
        <v/>
      </c>
      <c r="B2413" t="inlineStr">
        <is>
          <t>36:38</t>
        </is>
      </c>
      <c r="C2413" t="inlineStr">
        <is>
          <t>has has directed kids movies and he's</t>
        </is>
      </c>
      <c r="D2413">
        <f>HYPERLINK("https://www.youtube.com/watch?v=zQO3q1lSZ4k&amp;t=2198s", "Go to time")</f>
        <v/>
      </c>
    </row>
    <row r="2414">
      <c r="A2414">
        <f>HYPERLINK("https://www.youtube.com/watch?v=zQO3q1lSZ4k", "Video")</f>
        <v/>
      </c>
      <c r="B2414" t="inlineStr">
        <is>
          <t>36:40</t>
        </is>
      </c>
      <c r="C2414" t="inlineStr">
        <is>
          <t>directed he's directed a plethora of</t>
        </is>
      </c>
      <c r="D2414">
        <f>HYPERLINK("https://www.youtube.com/watch?v=zQO3q1lSZ4k&amp;t=2200s", "Go to time")</f>
        <v/>
      </c>
    </row>
    <row r="2415">
      <c r="A2415">
        <f>HYPERLINK("https://www.youtube.com/watch?v=zQO3q1lSZ4k", "Video")</f>
        <v/>
      </c>
      <c r="B2415" t="inlineStr">
        <is>
          <t>47:18</t>
        </is>
      </c>
      <c r="C2415" t="inlineStr">
        <is>
          <t>directed by Anthony De blasi called the</t>
        </is>
      </c>
      <c r="D2415">
        <f>HYPERLINK("https://www.youtube.com/watch?v=zQO3q1lSZ4k&amp;t=2838s", "Go to time")</f>
        <v/>
      </c>
    </row>
    <row r="2416">
      <c r="A2416">
        <f>HYPERLINK("https://www.youtube.com/watch?v=zQO3q1lSZ4k", "Video")</f>
        <v/>
      </c>
      <c r="B2416" t="inlineStr">
        <is>
          <t>50:15</t>
        </is>
      </c>
      <c r="C2416" t="inlineStr">
        <is>
          <t>rapidly different directions than the</t>
        </is>
      </c>
      <c r="D2416">
        <f>HYPERLINK("https://www.youtube.com/watch?v=zQO3q1lSZ4k&amp;t=3015s", "Go to time")</f>
        <v/>
      </c>
    </row>
    <row r="2417">
      <c r="A2417">
        <f>HYPERLINK("https://www.youtube.com/watch?v=8vIcT7VLx0U", "Video")</f>
        <v/>
      </c>
      <c r="B2417" t="inlineStr">
        <is>
          <t>1:07</t>
        </is>
      </c>
      <c r="C2417" t="inlineStr">
        <is>
          <t>director's cut for the first time ever</t>
        </is>
      </c>
      <c r="D2417">
        <f>HYPERLINK("https://www.youtube.com/watch?v=8vIcT7VLx0U&amp;t=67s", "Go to time")</f>
        <v/>
      </c>
    </row>
    <row r="2418">
      <c r="A2418">
        <f>HYPERLINK("https://www.youtube.com/watch?v=8vIcT7VLx0U", "Video")</f>
        <v/>
      </c>
      <c r="B2418" t="inlineStr">
        <is>
          <t>1:41</t>
        </is>
      </c>
      <c r="C2418" t="inlineStr">
        <is>
          <t>between montages the director's Cut Is</t>
        </is>
      </c>
      <c r="D2418">
        <f>HYPERLINK("https://www.youtube.com/watch?v=8vIcT7VLx0U&amp;t=101s", "Go to time")</f>
        <v/>
      </c>
    </row>
    <row r="2419">
      <c r="A2419">
        <f>HYPERLINK("https://www.youtube.com/watch?v=8vIcT7VLx0U", "Video")</f>
        <v/>
      </c>
      <c r="B2419" t="inlineStr">
        <is>
          <t>1:52</t>
        </is>
      </c>
      <c r="C2419" t="inlineStr">
        <is>
          <t>where the director's cut is different</t>
        </is>
      </c>
      <c r="D2419">
        <f>HYPERLINK("https://www.youtube.com/watch?v=8vIcT7VLx0U&amp;t=112s", "Go to time")</f>
        <v/>
      </c>
    </row>
    <row r="2420">
      <c r="A2420">
        <f>HYPERLINK("https://www.youtube.com/watch?v=8vIcT7VLx0U", "Video")</f>
        <v/>
      </c>
      <c r="B2420" t="inlineStr">
        <is>
          <t>9:23</t>
        </is>
      </c>
      <c r="C2420" t="inlineStr">
        <is>
          <t>director as well as the star he puts</t>
        </is>
      </c>
      <c r="D2420">
        <f>HYPERLINK("https://www.youtube.com/watch?v=8vIcT7VLx0U&amp;t=563s", "Go to time")</f>
        <v/>
      </c>
    </row>
    <row r="2421">
      <c r="A2421">
        <f>HYPERLINK("https://www.youtube.com/watch?v=8vIcT7VLx0U", "Video")</f>
        <v/>
      </c>
      <c r="B2421" t="inlineStr">
        <is>
          <t>20:30</t>
        </is>
      </c>
      <c r="C2421" t="inlineStr">
        <is>
          <t>excellent choices directing I will say</t>
        </is>
      </c>
      <c r="D2421">
        <f>HYPERLINK("https://www.youtube.com/watch?v=8vIcT7VLx0U&amp;t=1230s", "Go to time")</f>
        <v/>
      </c>
    </row>
    <row r="2422">
      <c r="A2422">
        <f>HYPERLINK("https://www.youtube.com/watch?v=8vIcT7VLx0U", "Video")</f>
        <v/>
      </c>
      <c r="B2422" t="inlineStr">
        <is>
          <t>20:32</t>
        </is>
      </c>
      <c r="C2422" t="inlineStr">
        <is>
          <t>that he directed during the montages so</t>
        </is>
      </c>
      <c r="D2422">
        <f>HYPERLINK("https://www.youtube.com/watch?v=8vIcT7VLx0U&amp;t=1232s", "Go to time")</f>
        <v/>
      </c>
    </row>
    <row r="2423">
      <c r="A2423">
        <f>HYPERLINK("https://www.youtube.com/watch?v=8vIcT7VLx0U", "Video")</f>
        <v/>
      </c>
      <c r="B2423" t="inlineStr">
        <is>
          <t>28:01</t>
        </is>
      </c>
      <c r="C2423" t="inlineStr">
        <is>
          <t>moved the director's Cup by the way they</t>
        </is>
      </c>
      <c r="D2423">
        <f>HYPERLINK("https://www.youtube.com/watch?v=8vIcT7VLx0U&amp;t=1681s", "Go to time")</f>
        <v/>
      </c>
    </row>
    <row r="2424">
      <c r="A2424">
        <f>HYPERLINK("https://www.youtube.com/watch?v=8vIcT7VLx0U", "Video")</f>
        <v/>
      </c>
      <c r="B2424" t="inlineStr">
        <is>
          <t>28:08</t>
        </is>
      </c>
      <c r="C2424" t="inlineStr">
        <is>
          <t>as in the director's cut there's there's</t>
        </is>
      </c>
      <c r="D2424">
        <f>HYPERLINK("https://www.youtube.com/watch?v=8vIcT7VLx0U&amp;t=1688s", "Go to time")</f>
        <v/>
      </c>
    </row>
    <row r="2425">
      <c r="A2425">
        <f>HYPERLINK("https://www.youtube.com/watch?v=8vIcT7VLx0U", "Video")</f>
        <v/>
      </c>
      <c r="B2425" t="inlineStr">
        <is>
          <t>28:12</t>
        </is>
      </c>
      <c r="C2425" t="inlineStr">
        <is>
          <t>tangent now the director's cut is a</t>
        </is>
      </c>
      <c r="D2425">
        <f>HYPERLINK("https://www.youtube.com/watch?v=8vIcT7VLx0U&amp;t=1692s", "Go to time")</f>
        <v/>
      </c>
    </row>
    <row r="2426">
      <c r="A2426">
        <f>HYPERLINK("https://www.youtube.com/watch?v=8vIcT7VLx0U", "Video")</f>
        <v/>
      </c>
      <c r="B2426" t="inlineStr">
        <is>
          <t>36:47</t>
        </is>
      </c>
      <c r="C2426" t="inlineStr">
        <is>
          <t>has even less time in the director's cut</t>
        </is>
      </c>
      <c r="D2426">
        <f>HYPERLINK("https://www.youtube.com/watch?v=8vIcT7VLx0U&amp;t=2207s", "Go to time")</f>
        <v/>
      </c>
    </row>
    <row r="2427">
      <c r="A2427">
        <f>HYPERLINK("https://www.youtube.com/watch?v=8vIcT7VLx0U", "Video")</f>
        <v/>
      </c>
      <c r="B2427" t="inlineStr">
        <is>
          <t>38:37</t>
        </is>
      </c>
      <c r="C2427" t="inlineStr">
        <is>
          <t>again none the director's cut at all but</t>
        </is>
      </c>
      <c r="D2427">
        <f>HYPERLINK("https://www.youtube.com/watch?v=8vIcT7VLx0U&amp;t=2317s", "Go to time")</f>
        <v/>
      </c>
    </row>
    <row r="2428">
      <c r="A2428">
        <f>HYPERLINK("https://www.youtube.com/watch?v=8vIcT7VLx0U", "Video")</f>
        <v/>
      </c>
      <c r="B2428" t="inlineStr">
        <is>
          <t>40:37</t>
        </is>
      </c>
      <c r="C2428" t="inlineStr">
        <is>
          <t>the director Scott treat yourself</t>
        </is>
      </c>
      <c r="D2428">
        <f>HYPERLINK("https://www.youtube.com/watch?v=8vIcT7VLx0U&amp;t=2437s", "Go to time")</f>
        <v/>
      </c>
    </row>
    <row r="2429">
      <c r="A2429">
        <f>HYPERLINK("https://www.youtube.com/watch?v=8vIcT7VLx0U", "Video")</f>
        <v/>
      </c>
      <c r="B2429" t="inlineStr">
        <is>
          <t>45:18</t>
        </is>
      </c>
      <c r="C2429" t="inlineStr">
        <is>
          <t>King's directorial debut and stepping</t>
        </is>
      </c>
      <c r="D2429">
        <f>HYPERLINK("https://www.youtube.com/watch?v=8vIcT7VLx0U&amp;t=2718s", "Go to time")</f>
        <v/>
      </c>
    </row>
    <row r="2430">
      <c r="A2430">
        <f>HYPERLINK("https://www.youtube.com/watch?v=8vIcT7VLx0U", "Video")</f>
        <v/>
      </c>
      <c r="B2430" t="inlineStr">
        <is>
          <t>51:24</t>
        </is>
      </c>
      <c r="C2430" t="inlineStr">
        <is>
          <t>your directors and then I tailored it to</t>
        </is>
      </c>
      <c r="D2430">
        <f>HYPERLINK("https://www.youtube.com/watch?v=8vIcT7VLx0U&amp;t=3084s", "Go to time")</f>
        <v/>
      </c>
    </row>
    <row r="2431">
      <c r="A2431">
        <f>HYPERLINK("https://www.youtube.com/watch?v=iWlw6IXRhJA", "Video")</f>
        <v/>
      </c>
      <c r="B2431" t="inlineStr">
        <is>
          <t>1:30</t>
        </is>
      </c>
      <c r="C2431" t="inlineStr">
        <is>
          <t>just direct your feet</t>
        </is>
      </c>
      <c r="D2431">
        <f>HYPERLINK("https://www.youtube.com/watch?v=iWlw6IXRhJA&amp;t=90s", "Go to time")</f>
        <v/>
      </c>
    </row>
    <row r="2432">
      <c r="A2432">
        <f>HYPERLINK("https://www.youtube.com/watch?v=OoY4tOI7UbU", "Video")</f>
        <v/>
      </c>
      <c r="B2432" t="inlineStr">
        <is>
          <t>2:16</t>
        </is>
      </c>
      <c r="C2432" t="inlineStr">
        <is>
          <t>that's a direct order you hear me Alysha</t>
        </is>
      </c>
      <c r="D2432">
        <f>HYPERLINK("https://www.youtube.com/watch?v=OoY4tOI7UbU&amp;t=136s", "Go to time")</f>
        <v/>
      </c>
    </row>
    <row r="2433">
      <c r="A2433">
        <f>HYPERLINK("https://www.youtube.com/watch?v=N9rlqZEThgk", "Video")</f>
        <v/>
      </c>
      <c r="B2433" t="inlineStr">
        <is>
          <t>12:12</t>
        </is>
      </c>
      <c r="C2433" t="inlineStr">
        <is>
          <t>to talk to uh your director and Miss</t>
        </is>
      </c>
      <c r="D2433">
        <f>HYPERLINK("https://www.youtube.com/watch?v=N9rlqZEThgk&amp;t=732s", "Go to time")</f>
        <v/>
      </c>
    </row>
    <row r="2434">
      <c r="A2434">
        <f>HYPERLINK("https://www.youtube.com/watch?v=N9rlqZEThgk", "Video")</f>
        <v/>
      </c>
      <c r="B2434" t="inlineStr">
        <is>
          <t>12:16</t>
        </is>
      </c>
      <c r="C2434" t="inlineStr">
        <is>
          <t>it's both producer and director I know</t>
        </is>
      </c>
      <c r="D2434">
        <f>HYPERLINK("https://www.youtube.com/watch?v=N9rlqZEThgk&amp;t=736s", "Go to time")</f>
        <v/>
      </c>
    </row>
    <row r="2435">
      <c r="A2435">
        <f>HYPERLINK("https://www.youtube.com/watch?v=N9rlqZEThgk", "Video")</f>
        <v/>
      </c>
      <c r="B2435" t="inlineStr">
        <is>
          <t>13:23</t>
        </is>
      </c>
      <c r="C2435" t="inlineStr">
        <is>
          <t>directing this</t>
        </is>
      </c>
      <c r="D2435">
        <f>HYPERLINK("https://www.youtube.com/watch?v=N9rlqZEThgk&amp;t=803s", "Go to time")</f>
        <v/>
      </c>
    </row>
    <row r="2436">
      <c r="A2436">
        <f>HYPERLINK("https://www.youtube.com/watch?v=kJorp6byumU", "Video")</f>
        <v/>
      </c>
      <c r="B2436" t="inlineStr">
        <is>
          <t>1:32</t>
        </is>
      </c>
      <c r="C2436" t="inlineStr">
        <is>
          <t>direction</t>
        </is>
      </c>
      <c r="D2436">
        <f>HYPERLINK("https://www.youtube.com/watch?v=kJorp6byumU&amp;t=92s", "Go to time")</f>
        <v/>
      </c>
    </row>
    <row r="2437">
      <c r="A2437">
        <f>HYPERLINK("https://www.youtube.com/watch?v=P_BnTgfL7qs", "Video")</f>
        <v/>
      </c>
      <c r="B2437" t="inlineStr">
        <is>
          <t>2:33</t>
        </is>
      </c>
      <c r="C2437" t="inlineStr">
        <is>
          <t>director fritz lang's first visit to new</t>
        </is>
      </c>
      <c r="D2437">
        <f>HYPERLINK("https://www.youtube.com/watch?v=P_BnTgfL7qs&amp;t=153s", "Go to time")</f>
        <v/>
      </c>
    </row>
    <row r="2438">
      <c r="A2438">
        <f>HYPERLINK("https://www.youtube.com/watch?v=P_BnTgfL7qs", "Video")</f>
        <v/>
      </c>
      <c r="B2438" t="inlineStr">
        <is>
          <t>3:23</t>
        </is>
      </c>
      <c r="C2438" t="inlineStr">
        <is>
          <t>pending scripts for directors fw morneau</t>
        </is>
      </c>
      <c r="D2438">
        <f>HYPERLINK("https://www.youtube.com/watch?v=P_BnTgfL7qs&amp;t=203s", "Go to time")</f>
        <v/>
      </c>
    </row>
    <row r="2439">
      <c r="A2439">
        <f>HYPERLINK("https://www.youtube.com/watch?v=P_BnTgfL7qs", "Video")</f>
        <v/>
      </c>
      <c r="B2439" t="inlineStr">
        <is>
          <t>4:14</t>
        </is>
      </c>
      <c r="C2439" t="inlineStr">
        <is>
          <t>directed by none other than john</t>
        </is>
      </c>
      <c r="D2439">
        <f>HYPERLINK("https://www.youtube.com/watch?v=P_BnTgfL7qs&amp;t=254s", "Go to time")</f>
        <v/>
      </c>
    </row>
    <row r="2440">
      <c r="A2440">
        <f>HYPERLINK("https://www.youtube.com/watch?v=P_BnTgfL7qs", "Video")</f>
        <v/>
      </c>
      <c r="B2440" t="inlineStr">
        <is>
          <t>6:51</t>
        </is>
      </c>
      <c r="C2440" t="inlineStr">
        <is>
          <t>ill elliott is put in a dire situation</t>
        </is>
      </c>
      <c r="D2440">
        <f>HYPERLINK("https://www.youtube.com/watch?v=P_BnTgfL7qs&amp;t=411s", "Go to time")</f>
        <v/>
      </c>
    </row>
    <row r="2441">
      <c r="A2441">
        <f>HYPERLINK("https://www.youtube.com/watch?v=P_BnTgfL7qs", "Video")</f>
        <v/>
      </c>
      <c r="B2441" t="inlineStr">
        <is>
          <t>7:10</t>
        </is>
      </c>
      <c r="C2441" t="inlineStr">
        <is>
          <t>director steven spielberg had been</t>
        </is>
      </c>
      <c r="D2441">
        <f>HYPERLINK("https://www.youtube.com/watch?v=P_BnTgfL7qs&amp;t=430s", "Go to time")</f>
        <v/>
      </c>
    </row>
    <row r="2442">
      <c r="A2442">
        <f>HYPERLINK("https://www.youtube.com/watch?v=P_BnTgfL7qs", "Video")</f>
        <v/>
      </c>
      <c r="B2442" t="inlineStr">
        <is>
          <t>8:26</t>
        </is>
      </c>
      <c r="C2442" t="inlineStr">
        <is>
          <t>written and directed by sophia the</t>
        </is>
      </c>
      <c r="D2442">
        <f>HYPERLINK("https://www.youtube.com/watch?v=P_BnTgfL7qs&amp;t=506s", "Go to time")</f>
        <v/>
      </c>
    </row>
    <row r="2443">
      <c r="A2443">
        <f>HYPERLINK("https://www.youtube.com/watch?v=P_BnTgfL7qs", "Video")</f>
        <v/>
      </c>
      <c r="B2443" t="inlineStr">
        <is>
          <t>8:43</t>
        </is>
      </c>
      <c r="C2443" t="inlineStr">
        <is>
          <t>her featured directorial debut the</t>
        </is>
      </c>
      <c r="D2443">
        <f>HYPERLINK("https://www.youtube.com/watch?v=P_BnTgfL7qs&amp;t=523s", "Go to time")</f>
        <v/>
      </c>
    </row>
    <row r="2444">
      <c r="A2444">
        <f>HYPERLINK("https://www.youtube.com/watch?v=P_BnTgfL7qs", "Video")</f>
        <v/>
      </c>
      <c r="B2444" t="inlineStr">
        <is>
          <t>9:48</t>
        </is>
      </c>
      <c r="C2444" t="inlineStr">
        <is>
          <t>her early 20s the writer director was</t>
        </is>
      </c>
      <c r="D2444">
        <f>HYPERLINK("https://www.youtube.com/watch?v=P_BnTgfL7qs&amp;t=588s", "Go to time")</f>
        <v/>
      </c>
    </row>
    <row r="2445">
      <c r="A2445">
        <f>HYPERLINK("https://www.youtube.com/watch?v=P_BnTgfL7qs", "Video")</f>
        <v/>
      </c>
      <c r="B2445" t="inlineStr">
        <is>
          <t>10:50</t>
        </is>
      </c>
      <c r="C2445" t="inlineStr">
        <is>
          <t>written and directed by d reese and</t>
        </is>
      </c>
      <c r="D2445">
        <f>HYPERLINK("https://www.youtube.com/watch?v=P_BnTgfL7qs&amp;t=650s", "Go to time")</f>
        <v/>
      </c>
    </row>
    <row r="2446">
      <c r="A2446">
        <f>HYPERLINK("https://www.youtube.com/watch?v=P_BnTgfL7qs", "Video")</f>
        <v/>
      </c>
      <c r="B2446" t="inlineStr">
        <is>
          <t>11:30</t>
        </is>
      </c>
      <c r="C2446" t="inlineStr">
        <is>
          <t>for her graduate thesis she directed a</t>
        </is>
      </c>
      <c r="D2446">
        <f>HYPERLINK("https://www.youtube.com/watch?v=P_BnTgfL7qs&amp;t=690s", "Go to time")</f>
        <v/>
      </c>
    </row>
    <row r="2447">
      <c r="A2447">
        <f>HYPERLINK("https://www.youtube.com/watch?v=P_BnTgfL7qs", "Video")</f>
        <v/>
      </c>
      <c r="B2447" t="inlineStr">
        <is>
          <t>12:33</t>
        </is>
      </c>
      <c r="C2447" t="inlineStr">
        <is>
          <t>that quote the acting and directing</t>
        </is>
      </c>
      <c r="D2447">
        <f>HYPERLINK("https://www.youtube.com/watch?v=P_BnTgfL7qs&amp;t=753s", "Go to time")</f>
        <v/>
      </c>
    </row>
    <row r="2448">
      <c r="A2448">
        <f>HYPERLINK("https://www.youtube.com/watch?v=P_BnTgfL7qs", "Video")</f>
        <v/>
      </c>
      <c r="B2448" t="inlineStr">
        <is>
          <t>13:04</t>
        </is>
      </c>
      <c r="C2448" t="inlineStr">
        <is>
          <t>written and directed by marielle heller</t>
        </is>
      </c>
      <c r="D2448">
        <f>HYPERLINK("https://www.youtube.com/watch?v=P_BnTgfL7qs&amp;t=784s", "Go to time")</f>
        <v/>
      </c>
    </row>
    <row r="2449">
      <c r="A2449">
        <f>HYPERLINK("https://www.youtube.com/watch?v=P_BnTgfL7qs", "Video")</f>
        <v/>
      </c>
      <c r="B2449" t="inlineStr">
        <is>
          <t>14:29</t>
        </is>
      </c>
      <c r="C2449" t="inlineStr">
        <is>
          <t>and directed i mean is there anything</t>
        </is>
      </c>
      <c r="D2449">
        <f>HYPERLINK("https://www.youtube.com/watch?v=P_BnTgfL7qs&amp;t=869s", "Go to time")</f>
        <v/>
      </c>
    </row>
    <row r="2450">
      <c r="A2450">
        <f>HYPERLINK("https://www.youtube.com/watch?v=P_BnTgfL7qs", "Video")</f>
        <v/>
      </c>
      <c r="B2450" t="inlineStr">
        <is>
          <t>15:11</t>
        </is>
      </c>
      <c r="C2450" t="inlineStr">
        <is>
          <t>and directed by chloe zhao and released</t>
        </is>
      </c>
      <c r="D2450">
        <f>HYPERLINK("https://www.youtube.com/watch?v=P_BnTgfL7qs&amp;t=911s", "Go to time")</f>
        <v/>
      </c>
    </row>
    <row r="2451">
      <c r="A2451">
        <f>HYPERLINK("https://www.youtube.com/watch?v=P_BnTgfL7qs", "Video")</f>
        <v/>
      </c>
      <c r="B2451" t="inlineStr">
        <is>
          <t>16:34</t>
        </is>
      </c>
      <c r="C2451" t="inlineStr">
        <is>
          <t>zhao's direction and the raw</t>
        </is>
      </c>
      <c r="D2451">
        <f>HYPERLINK("https://www.youtube.com/watch?v=P_BnTgfL7qs&amp;t=994s", "Go to time")</f>
        <v/>
      </c>
    </row>
    <row r="2452">
      <c r="A2452">
        <f>HYPERLINK("https://www.youtube.com/watch?v=P_BnTgfL7qs", "Video")</f>
        <v/>
      </c>
      <c r="B2452" t="inlineStr">
        <is>
          <t>16:51</t>
        </is>
      </c>
      <c r="C2452" t="inlineStr">
        <is>
          <t>director oscars for her film nomad land</t>
        </is>
      </c>
      <c r="D2452">
        <f>HYPERLINK("https://www.youtube.com/watch?v=P_BnTgfL7qs&amp;t=1011s", "Go to time")</f>
        <v/>
      </c>
    </row>
    <row r="2453">
      <c r="A2453">
        <f>HYPERLINK("https://www.youtube.com/watch?v=P_BnTgfL7qs", "Video")</f>
        <v/>
      </c>
      <c r="B2453" t="inlineStr">
        <is>
          <t>16:57</t>
        </is>
      </c>
      <c r="C2453" t="inlineStr">
        <is>
          <t>director at the oscars some</t>
        </is>
      </c>
      <c r="D2453">
        <f>HYPERLINK("https://www.youtube.com/watch?v=P_BnTgfL7qs&amp;t=1017s", "Go to time")</f>
        <v/>
      </c>
    </row>
    <row r="2454">
      <c r="A2454">
        <f>HYPERLINK("https://www.youtube.com/watch?v=P_BnTgfL7qs", "Video")</f>
        <v/>
      </c>
      <c r="B2454" t="inlineStr">
        <is>
          <t>17:24</t>
        </is>
      </c>
      <c r="C2454" t="inlineStr">
        <is>
          <t>written and directed by lulu wang and</t>
        </is>
      </c>
      <c r="D2454">
        <f>HYPERLINK("https://www.youtube.com/watch?v=P_BnTgfL7qs&amp;t=1044s", "Go to time")</f>
        <v/>
      </c>
    </row>
    <row r="2455">
      <c r="A2455">
        <f>HYPERLINK("https://www.youtube.com/watch?v=P_BnTgfL7qs", "Video")</f>
        <v/>
      </c>
      <c r="B2455" t="inlineStr">
        <is>
          <t>19:27</t>
        </is>
      </c>
      <c r="C2455" t="inlineStr">
        <is>
          <t>the best director oscar nomination for</t>
        </is>
      </c>
      <c r="D2455">
        <f>HYPERLINK("https://www.youtube.com/watch?v=P_BnTgfL7qs&amp;t=1167s", "Go to time")</f>
        <v/>
      </c>
    </row>
    <row r="2456">
      <c r="A2456">
        <f>HYPERLINK("https://www.youtube.com/watch?v=P_BnTgfL7qs", "Video")</f>
        <v/>
      </c>
      <c r="B2456" t="inlineStr">
        <is>
          <t>20:37</t>
        </is>
      </c>
      <c r="C2456" t="inlineStr">
        <is>
          <t>gerwig's solo directorial debut and</t>
        </is>
      </c>
      <c r="D2456">
        <f>HYPERLINK("https://www.youtube.com/watch?v=P_BnTgfL7qs&amp;t=1237s", "Go to time")</f>
        <v/>
      </c>
    </row>
    <row r="2457">
      <c r="A2457">
        <f>HYPERLINK("https://www.youtube.com/watch?v=P_BnTgfL7qs", "Video")</f>
        <v/>
      </c>
      <c r="B2457" t="inlineStr">
        <is>
          <t>20:57</t>
        </is>
      </c>
      <c r="C2457" t="inlineStr">
        <is>
          <t>no nomination for best director</t>
        </is>
      </c>
      <c r="D2457">
        <f>HYPERLINK("https://www.youtube.com/watch?v=P_BnTgfL7qs&amp;t=1257s", "Go to time")</f>
        <v/>
      </c>
    </row>
    <row r="2458">
      <c r="A2458">
        <f>HYPERLINK("https://www.youtube.com/watch?v=P_BnTgfL7qs", "Video")</f>
        <v/>
      </c>
      <c r="B2458" t="inlineStr">
        <is>
          <t>21:22</t>
        </is>
      </c>
      <c r="C2458" t="inlineStr">
        <is>
          <t>fact that writer director gerway created</t>
        </is>
      </c>
      <c r="D2458">
        <f>HYPERLINK("https://www.youtube.com/watch?v=P_BnTgfL7qs&amp;t=1282s", "Go to time")</f>
        <v/>
      </c>
    </row>
    <row r="2459">
      <c r="A2459">
        <f>HYPERLINK("https://www.youtube.com/watch?v=P_BnTgfL7qs", "Video")</f>
        <v/>
      </c>
      <c r="B2459" t="inlineStr">
        <is>
          <t>21:36</t>
        </is>
      </c>
      <c r="C2459" t="inlineStr">
        <is>
          <t>direction an astonishing accomplishment</t>
        </is>
      </c>
      <c r="D2459">
        <f>HYPERLINK("https://www.youtube.com/watch?v=P_BnTgfL7qs&amp;t=1296s", "Go to time")</f>
        <v/>
      </c>
    </row>
    <row r="2460">
      <c r="A2460">
        <f>HYPERLINK("https://www.youtube.com/watch?v=P_BnTgfL7qs", "Video")</f>
        <v/>
      </c>
      <c r="B2460" t="inlineStr">
        <is>
          <t>22:05</t>
        </is>
      </c>
      <c r="C2460" t="inlineStr">
        <is>
          <t>and directed by celine shiyama the film</t>
        </is>
      </c>
      <c r="D2460">
        <f>HYPERLINK("https://www.youtube.com/watch?v=P_BnTgfL7qs&amp;t=1325s", "Go to time")</f>
        <v/>
      </c>
    </row>
    <row r="2461">
      <c r="A2461">
        <f>HYPERLINK("https://www.youtube.com/watch?v=P_BnTgfL7qs", "Video")</f>
        <v/>
      </c>
      <c r="B2461" t="inlineStr">
        <is>
          <t>22:30</t>
        </is>
      </c>
      <c r="C2461" t="inlineStr">
        <is>
          <t>brilliant director writer has been</t>
        </is>
      </c>
      <c r="D2461">
        <f>HYPERLINK("https://www.youtube.com/watch?v=P_BnTgfL7qs&amp;t=1350s", "Go to time")</f>
        <v/>
      </c>
    </row>
    <row r="2462">
      <c r="A2462">
        <f>HYPERLINK("https://www.youtube.com/watch?v=piYjkTV2zS4", "Video")</f>
        <v/>
      </c>
      <c r="B2462" t="inlineStr">
        <is>
          <t>1:55</t>
        </is>
      </c>
      <c r="C2462" t="inlineStr">
        <is>
          <t>and directed by Richard Curtis critics</t>
        </is>
      </c>
      <c r="D2462">
        <f>HYPERLINK("https://www.youtube.com/watch?v=piYjkTV2zS4&amp;t=115s", "Go to time")</f>
        <v/>
      </c>
    </row>
    <row r="2463">
      <c r="A2463">
        <f>HYPERLINK("https://www.youtube.com/watch?v=piYjkTV2zS4", "Video")</f>
        <v/>
      </c>
      <c r="B2463" t="inlineStr">
        <is>
          <t>2:00</t>
        </is>
      </c>
      <c r="C2463" t="inlineStr">
        <is>
          <t>sincere about time finds director</t>
        </is>
      </c>
      <c r="D2463">
        <f>HYPERLINK("https://www.youtube.com/watch?v=piYjkTV2zS4&amp;t=120s", "Go to time")</f>
        <v/>
      </c>
    </row>
    <row r="2464">
      <c r="A2464">
        <f>HYPERLINK("https://www.youtube.com/watch?v=piYjkTV2zS4", "Video")</f>
        <v/>
      </c>
      <c r="B2464" t="inlineStr">
        <is>
          <t>3:50</t>
        </is>
      </c>
      <c r="C2464" t="inlineStr">
        <is>
          <t>Hugh Grant and directed by Sharon</t>
        </is>
      </c>
      <c r="D2464">
        <f>HYPERLINK("https://www.youtube.com/watch?v=piYjkTV2zS4&amp;t=230s", "Go to time")</f>
        <v/>
      </c>
    </row>
    <row r="2465">
      <c r="A2465">
        <f>HYPERLINK("https://www.youtube.com/watch?v=piYjkTV2zS4", "Video")</f>
        <v/>
      </c>
      <c r="B2465" t="inlineStr">
        <is>
          <t>5:46</t>
        </is>
      </c>
      <c r="C2465" t="inlineStr">
        <is>
          <t>Ryan Bill Pullman and directed by Nora</t>
        </is>
      </c>
      <c r="D2465">
        <f>HYPERLINK("https://www.youtube.com/watch?v=piYjkTV2zS4&amp;t=346s", "Go to time")</f>
        <v/>
      </c>
    </row>
    <row r="2466">
      <c r="A2466">
        <f>HYPERLINK("https://www.youtube.com/watch?v=piYjkTV2zS4", "Video")</f>
        <v/>
      </c>
      <c r="B2466" t="inlineStr">
        <is>
          <t>7:42</t>
        </is>
      </c>
      <c r="C2466" t="inlineStr">
        <is>
          <t>Murphy Ralph Bellamy and directed by</t>
        </is>
      </c>
      <c r="D2466">
        <f>HYPERLINK("https://www.youtube.com/watch?v=piYjkTV2zS4&amp;t=462s", "Go to time")</f>
        <v/>
      </c>
    </row>
    <row r="2467">
      <c r="A2467">
        <f>HYPERLINK("https://www.youtube.com/watch?v=piYjkTV2zS4", "Video")</f>
        <v/>
      </c>
      <c r="B2467" t="inlineStr">
        <is>
          <t>9:23</t>
        </is>
      </c>
      <c r="C2467" t="inlineStr">
        <is>
          <t>Kevin Bacon and directed by Barry</t>
        </is>
      </c>
      <c r="D2467">
        <f>HYPERLINK("https://www.youtube.com/watch?v=piYjkTV2zS4&amp;t=563s", "Go to time")</f>
        <v/>
      </c>
    </row>
    <row r="2468">
      <c r="A2468">
        <f>HYPERLINK("https://www.youtube.com/watch?v=piYjkTV2zS4", "Video")</f>
        <v/>
      </c>
      <c r="B2468" t="inlineStr">
        <is>
          <t>11:04</t>
        </is>
      </c>
      <c r="C2468" t="inlineStr">
        <is>
          <t>Carrie Fisher and directed by Rob Reiner</t>
        </is>
      </c>
      <c r="D2468">
        <f>HYPERLINK("https://www.youtube.com/watch?v=piYjkTV2zS4&amp;t=664s", "Go to time")</f>
        <v/>
      </c>
    </row>
    <row r="2469">
      <c r="A2469">
        <f>HYPERLINK("https://www.youtube.com/watch?v=piYjkTV2zS4", "Video")</f>
        <v/>
      </c>
      <c r="B2469" t="inlineStr">
        <is>
          <t>12:27</t>
        </is>
      </c>
      <c r="C2469" t="inlineStr">
        <is>
          <t>Collette and directed by Chris and Paul</t>
        </is>
      </c>
      <c r="D2469">
        <f>HYPERLINK("https://www.youtube.com/watch?v=piYjkTV2zS4&amp;t=747s", "Go to time")</f>
        <v/>
      </c>
    </row>
    <row r="2470">
      <c r="A2470">
        <f>HYPERLINK("https://www.youtube.com/watch?v=piYjkTV2zS4", "Video")</f>
        <v/>
      </c>
      <c r="B2470" t="inlineStr">
        <is>
          <t>14:18</t>
        </is>
      </c>
      <c r="C2470" t="inlineStr">
        <is>
          <t>McMurray and directed by Billy Wilder</t>
        </is>
      </c>
      <c r="D2470">
        <f>HYPERLINK("https://www.youtube.com/watch?v=piYjkTV2zS4&amp;t=858s", "Go to time")</f>
        <v/>
      </c>
    </row>
    <row r="2471">
      <c r="A2471">
        <f>HYPERLINK("https://www.youtube.com/watch?v=piYjkTV2zS4", "Video")</f>
        <v/>
      </c>
      <c r="B2471" t="inlineStr">
        <is>
          <t>14:21</t>
        </is>
      </c>
      <c r="C2471" t="inlineStr">
        <is>
          <t>critics say director Billy Wilder's</t>
        </is>
      </c>
      <c r="D2471">
        <f>HYPERLINK("https://www.youtube.com/watch?v=piYjkTV2zS4&amp;t=861s", "Go to time")</f>
        <v/>
      </c>
    </row>
    <row r="2472">
      <c r="A2472">
        <f>HYPERLINK("https://www.youtube.com/watch?v=piYjkTV2zS4", "Video")</f>
        <v/>
      </c>
      <c r="B2472" t="inlineStr">
        <is>
          <t>15:42</t>
        </is>
      </c>
      <c r="C2472" t="inlineStr">
        <is>
          <t>Paulson and directed by Todd Haynes</t>
        </is>
      </c>
      <c r="D2472">
        <f>HYPERLINK("https://www.youtube.com/watch?v=piYjkTV2zS4&amp;t=942s", "Go to time")</f>
        <v/>
      </c>
    </row>
    <row r="2473">
      <c r="A2473">
        <f>HYPERLINK("https://www.youtube.com/watch?v=piYjkTV2zS4", "Video")</f>
        <v/>
      </c>
      <c r="B2473" t="inlineStr">
        <is>
          <t>15:48</t>
        </is>
      </c>
      <c r="C2473" t="inlineStr">
        <is>
          <t>Direction and powered by a strong cast</t>
        </is>
      </c>
      <c r="D2473">
        <f>HYPERLINK("https://www.youtube.com/watch?v=piYjkTV2zS4&amp;t=948s", "Go to time")</f>
        <v/>
      </c>
    </row>
    <row r="2474">
      <c r="A2474">
        <f>HYPERLINK("https://www.youtube.com/watch?v=piYjkTV2zS4", "Video")</f>
        <v/>
      </c>
      <c r="B2474" t="inlineStr">
        <is>
          <t>17:18</t>
        </is>
      </c>
      <c r="C2474" t="inlineStr">
        <is>
          <t>Law and directed by Nancy Myers critics</t>
        </is>
      </c>
      <c r="D2474">
        <f>HYPERLINK("https://www.youtube.com/watch?v=piYjkTV2zS4&amp;t=1038s", "Go to time")</f>
        <v/>
      </c>
    </row>
    <row r="2475">
      <c r="A2475">
        <f>HYPERLINK("https://www.youtube.com/watch?v=piYjkTV2zS4", "Video")</f>
        <v/>
      </c>
      <c r="B2475" t="inlineStr">
        <is>
          <t>18:58</t>
        </is>
      </c>
      <c r="C2475" t="inlineStr">
        <is>
          <t>Gary Sinise and directed by Robert</t>
        </is>
      </c>
      <c r="D2475">
        <f>HYPERLINK("https://www.youtube.com/watch?v=piYjkTV2zS4&amp;t=1138s", "Go to time")</f>
        <v/>
      </c>
    </row>
    <row r="2476">
      <c r="A2476">
        <f>HYPERLINK("https://www.youtube.com/watch?v=piYjkTV2zS4", "Video")</f>
        <v/>
      </c>
      <c r="B2476" t="inlineStr">
        <is>
          <t>20:30</t>
        </is>
      </c>
      <c r="C2476" t="inlineStr">
        <is>
          <t>directed by Vincente Minelli critics say</t>
        </is>
      </c>
      <c r="D2476">
        <f>HYPERLINK("https://www.youtube.com/watch?v=piYjkTV2zS4&amp;t=1230s", "Go to time")</f>
        <v/>
      </c>
    </row>
    <row r="2477">
      <c r="A2477">
        <f>HYPERLINK("https://www.youtube.com/watch?v=piYjkTV2zS4", "Video")</f>
        <v/>
      </c>
      <c r="B2477" t="inlineStr">
        <is>
          <t>20:44</t>
        </is>
      </c>
      <c r="C2477" t="inlineStr">
        <is>
          <t>Direction</t>
        </is>
      </c>
      <c r="D2477">
        <f>HYPERLINK("https://www.youtube.com/watch?v=piYjkTV2zS4&amp;t=1244s", "Go to time")</f>
        <v/>
      </c>
    </row>
    <row r="2478">
      <c r="A2478">
        <f>HYPERLINK("https://www.youtube.com/watch?v=HYgLsWMf6-4", "Video")</f>
        <v/>
      </c>
      <c r="B2478" t="inlineStr">
        <is>
          <t>1:26</t>
        </is>
      </c>
      <c r="C2478" t="inlineStr">
        <is>
          <t>directions come on come on</t>
        </is>
      </c>
      <c r="D2478">
        <f>HYPERLINK("https://www.youtube.com/watch?v=HYgLsWMf6-4&amp;t=86s", "Go to time")</f>
        <v/>
      </c>
    </row>
    <row r="2479">
      <c r="A2479">
        <f>HYPERLINK("https://www.youtube.com/watch?v=yaqDoG3X_xc", "Video")</f>
        <v/>
      </c>
      <c r="B2479" t="inlineStr">
        <is>
          <t>1:09</t>
        </is>
      </c>
      <c r="C2479" t="inlineStr">
        <is>
          <t>i'm talking to you directly</t>
        </is>
      </c>
      <c r="D2479">
        <f>HYPERLINK("https://www.youtube.com/watch?v=yaqDoG3X_xc&amp;t=69s", "Go to time")</f>
        <v/>
      </c>
    </row>
    <row r="2480">
      <c r="A2480">
        <f>HYPERLINK("https://www.youtube.com/watch?v=yaqDoG3X_xc", "Video")</f>
        <v/>
      </c>
      <c r="B2480" t="inlineStr">
        <is>
          <t>10:44</t>
        </is>
      </c>
      <c r="C2480" t="inlineStr">
        <is>
          <t>co-written and directed by the great</t>
        </is>
      </c>
      <c r="D2480">
        <f>HYPERLINK("https://www.youtube.com/watch?v=yaqDoG3X_xc&amp;t=644s", "Go to time")</f>
        <v/>
      </c>
    </row>
    <row r="2481">
      <c r="A2481">
        <f>HYPERLINK("https://www.youtube.com/watch?v=Dyp3j59XaL0", "Video")</f>
        <v/>
      </c>
      <c r="B2481" t="inlineStr">
        <is>
          <t>3:59</t>
        </is>
      </c>
      <c r="C2481" t="inlineStr">
        <is>
          <t>we both resigned I told my direct</t>
        </is>
      </c>
      <c r="D2481">
        <f>HYPERLINK("https://www.youtube.com/watch?v=Dyp3j59XaL0&amp;t=239s", "Go to time")</f>
        <v/>
      </c>
    </row>
    <row r="2482">
      <c r="A2482">
        <f>HYPERLINK("https://www.youtube.com/watch?v=eeoTVXNshoQ", "Video")</f>
        <v/>
      </c>
      <c r="B2482" t="inlineStr">
        <is>
          <t>16:19</t>
        </is>
      </c>
      <c r="C2482" t="inlineStr">
        <is>
          <t>director uh Fred I want to bring it to</t>
        </is>
      </c>
      <c r="D2482">
        <f>HYPERLINK("https://www.youtube.com/watch?v=eeoTVXNshoQ&amp;t=979s", "Go to time")</f>
        <v/>
      </c>
    </row>
    <row r="2483">
      <c r="A2483">
        <f>HYPERLINK("https://www.youtube.com/watch?v=eeoTVXNshoQ", "Video")</f>
        <v/>
      </c>
      <c r="B2483" t="inlineStr">
        <is>
          <t>18:17</t>
        </is>
      </c>
      <c r="C2483" t="inlineStr">
        <is>
          <t>which I don't know any other director</t>
        </is>
      </c>
      <c r="D2483">
        <f>HYPERLINK("https://www.youtube.com/watch?v=eeoTVXNshoQ&amp;t=1097s", "Go to time")</f>
        <v/>
      </c>
    </row>
    <row r="2484">
      <c r="A2484">
        <f>HYPERLINK("https://www.youtube.com/watch?v=eeoTVXNshoQ", "Video")</f>
        <v/>
      </c>
      <c r="B2484" t="inlineStr">
        <is>
          <t>22:54</t>
        </is>
      </c>
      <c r="C2484" t="inlineStr">
        <is>
          <t>but I think it takes it in a direction</t>
        </is>
      </c>
      <c r="D2484">
        <f>HYPERLINK("https://www.youtube.com/watch?v=eeoTVXNshoQ&amp;t=1374s", "Go to time")</f>
        <v/>
      </c>
    </row>
    <row r="2485">
      <c r="A2485">
        <f>HYPERLINK("https://www.youtube.com/watch?v=PdeX1qXUsZs", "Video")</f>
        <v/>
      </c>
      <c r="B2485" t="inlineStr">
        <is>
          <t>0:34</t>
        </is>
      </c>
      <c r="C2485" t="inlineStr">
        <is>
          <t>direction when suddenly I stumbled</t>
        </is>
      </c>
      <c r="D2485">
        <f>HYPERLINK("https://www.youtube.com/watch?v=PdeX1qXUsZs&amp;t=34s", "Go to time")</f>
        <v/>
      </c>
    </row>
    <row r="2486">
      <c r="A2486">
        <f>HYPERLINK("https://www.youtube.com/watch?v=4atTDZ9SbOU", "Video")</f>
        <v/>
      </c>
      <c r="B2486" t="inlineStr">
        <is>
          <t>0:04</t>
        </is>
      </c>
      <c r="C2486" t="inlineStr">
        <is>
          <t>the wind speed the direction of the Sun</t>
        </is>
      </c>
      <c r="D2486">
        <f>HYPERLINK("https://www.youtube.com/watch?v=4atTDZ9SbOU&amp;t=4s", "Go to time")</f>
        <v/>
      </c>
    </row>
    <row r="2487">
      <c r="A2487">
        <f>HYPERLINK("https://www.youtube.com/watch?v=Lqvt2gA8310", "Video")</f>
        <v/>
      </c>
      <c r="B2487" t="inlineStr">
        <is>
          <t>1:32</t>
        </is>
      </c>
      <c r="C2487" t="inlineStr">
        <is>
          <t>Batman directed and co-written by Matt</t>
        </is>
      </c>
      <c r="D2487">
        <f>HYPERLINK("https://www.youtube.com/watch?v=Lqvt2gA8310&amp;t=92s", "Go to time")</f>
        <v/>
      </c>
    </row>
    <row r="2488">
      <c r="A2488">
        <f>HYPERLINK("https://www.youtube.com/watch?v=Lqvt2gA8310", "Video")</f>
        <v/>
      </c>
      <c r="B2488" t="inlineStr">
        <is>
          <t>3:30</t>
        </is>
      </c>
      <c r="C2488" t="inlineStr">
        <is>
          <t>that was created written and directed by</t>
        </is>
      </c>
      <c r="D2488">
        <f>HYPERLINK("https://www.youtube.com/watch?v=Lqvt2gA8310&amp;t=210s", "Go to time")</f>
        <v/>
      </c>
    </row>
    <row r="2489">
      <c r="A2489">
        <f>HYPERLINK("https://www.youtube.com/watch?v=Lqvt2gA8310", "Video")</f>
        <v/>
      </c>
      <c r="B2489" t="inlineStr">
        <is>
          <t>5:41</t>
        </is>
      </c>
      <c r="C2489" t="inlineStr">
        <is>
          <t>co-wrotein directed everything</t>
        </is>
      </c>
      <c r="D2489">
        <f>HYPERLINK("https://www.youtube.com/watch?v=Lqvt2gA8310&amp;t=341s", "Go to time")</f>
        <v/>
      </c>
    </row>
    <row r="2490">
      <c r="A2490">
        <f>HYPERLINK("https://www.youtube.com/watch?v=Lqvt2gA8310", "Video")</f>
        <v/>
      </c>
      <c r="B2490" t="inlineStr">
        <is>
          <t>7:11</t>
        </is>
      </c>
      <c r="C2490" t="inlineStr">
        <is>
          <t>humor Direction and Imagination not to</t>
        </is>
      </c>
      <c r="D2490">
        <f>HYPERLINK("https://www.youtube.com/watch?v=Lqvt2gA8310&amp;t=431s", "Go to time")</f>
        <v/>
      </c>
    </row>
    <row r="2491">
      <c r="A2491">
        <f>HYPERLINK("https://www.youtube.com/watch?v=Lqvt2gA8310", "Video")</f>
        <v/>
      </c>
      <c r="B2491" t="inlineStr">
        <is>
          <t>9:22</t>
        </is>
      </c>
      <c r="C2491" t="inlineStr">
        <is>
          <t>directed many of the episodes himself</t>
        </is>
      </c>
      <c r="D2491">
        <f>HYPERLINK("https://www.youtube.com/watch?v=Lqvt2gA8310&amp;t=562s", "Go to time")</f>
        <v/>
      </c>
    </row>
    <row r="2492">
      <c r="A2492">
        <f>HYPERLINK("https://www.youtube.com/watch?v=Lqvt2gA8310", "Video")</f>
        <v/>
      </c>
      <c r="B2492" t="inlineStr">
        <is>
          <t>9:25</t>
        </is>
      </c>
      <c r="C2492" t="inlineStr">
        <is>
          <t>outstanding directing for a drama series</t>
        </is>
      </c>
      <c r="D2492">
        <f>HYPERLINK("https://www.youtube.com/watch?v=Lqvt2gA8310&amp;t=565s", "Go to time")</f>
        <v/>
      </c>
    </row>
    <row r="2493">
      <c r="A2493">
        <f>HYPERLINK("https://www.youtube.com/watch?v=Lqvt2gA8310", "Video")</f>
        <v/>
      </c>
      <c r="B2493" t="inlineStr">
        <is>
          <t>10:11</t>
        </is>
      </c>
      <c r="C2493" t="inlineStr">
        <is>
          <t>sequel to the 1986 hit Top Gun directed</t>
        </is>
      </c>
      <c r="D2493">
        <f>HYPERLINK("https://www.youtube.com/watch?v=Lqvt2gA8310&amp;t=611s", "Go to time")</f>
        <v/>
      </c>
    </row>
    <row r="2494">
      <c r="A2494">
        <f>HYPERLINK("https://www.youtube.com/watch?v=Lqvt2gA8310", "Video")</f>
        <v/>
      </c>
      <c r="B2494" t="inlineStr">
        <is>
          <t>14:38</t>
        </is>
      </c>
      <c r="C2494" t="inlineStr">
        <is>
          <t>directed and co-written by Ryan coogler</t>
        </is>
      </c>
      <c r="D2494">
        <f>HYPERLINK("https://www.youtube.com/watch?v=Lqvt2gA8310&amp;t=878s", "Go to time")</f>
        <v/>
      </c>
    </row>
    <row r="2495">
      <c r="A2495">
        <f>HYPERLINK("https://www.youtube.com/watch?v=Lqvt2gA8310", "Video")</f>
        <v/>
      </c>
      <c r="B2495" t="inlineStr">
        <is>
          <t>14:53</t>
        </is>
      </c>
      <c r="C2495" t="inlineStr">
        <is>
          <t>highest grossing film directed by a</t>
        </is>
      </c>
      <c r="D2495">
        <f>HYPERLINK("https://www.youtube.com/watch?v=Lqvt2gA8310&amp;t=893s", "Go to time")</f>
        <v/>
      </c>
    </row>
    <row r="2496">
      <c r="A2496">
        <f>HYPERLINK("https://www.youtube.com/watch?v=Lqvt2gA8310", "Video")</f>
        <v/>
      </c>
      <c r="B2496" t="inlineStr">
        <is>
          <t>19:48</t>
        </is>
      </c>
      <c r="C2496" t="inlineStr">
        <is>
          <t>and directed volumes one through three</t>
        </is>
      </c>
      <c r="D2496">
        <f>HYPERLINK("https://www.youtube.com/watch?v=Lqvt2gA8310&amp;t=1188s", "Go to time")</f>
        <v/>
      </c>
    </row>
    <row r="2497">
      <c r="A2497">
        <f>HYPERLINK("https://www.youtube.com/watch?v=Lqvt2gA8310", "Video")</f>
        <v/>
      </c>
      <c r="B2497" t="inlineStr">
        <is>
          <t>21:52</t>
        </is>
      </c>
      <c r="C2497" t="inlineStr">
        <is>
          <t>directly responsible for the increased</t>
        </is>
      </c>
      <c r="D2497">
        <f>HYPERLINK("https://www.youtube.com/watch?v=Lqvt2gA8310&amp;t=1312s", "Go to time")</f>
        <v/>
      </c>
    </row>
    <row r="2498">
      <c r="A2498">
        <f>HYPERLINK("https://www.youtube.com/watch?v=5zSNErnZ2Hw", "Video")</f>
        <v/>
      </c>
      <c r="B2498" t="inlineStr">
        <is>
          <t>2:40</t>
        </is>
      </c>
      <c r="C2498" t="inlineStr">
        <is>
          <t>were facing the same direction</t>
        </is>
      </c>
      <c r="D2498">
        <f>HYPERLINK("https://www.youtube.com/watch?v=5zSNErnZ2Hw&amp;t=160s", "Go to time")</f>
        <v/>
      </c>
    </row>
    <row r="2499">
      <c r="A2499">
        <f>HYPERLINK("https://www.youtube.com/watch?v=SjF_DpHczjE", "Video")</f>
        <v/>
      </c>
      <c r="B2499" t="inlineStr">
        <is>
          <t>0:49</t>
        </is>
      </c>
      <c r="C2499" t="inlineStr">
        <is>
          <t>fast you might not see what's directly</t>
        </is>
      </c>
      <c r="D2499">
        <f>HYPERLINK("https://www.youtube.com/watch?v=SjF_DpHczjE&amp;t=49s", "Go to time")</f>
        <v/>
      </c>
    </row>
    <row r="2500">
      <c r="A2500">
        <f>HYPERLINK("https://www.youtube.com/watch?v=SM5VSiWsTds", "Video")</f>
        <v/>
      </c>
      <c r="B2500" t="inlineStr">
        <is>
          <t>2:05</t>
        </is>
      </c>
      <c r="C2500" t="inlineStr">
        <is>
          <t>director of iron man okay on with the</t>
        </is>
      </c>
      <c r="D2500">
        <f>HYPERLINK("https://www.youtube.com/watch?v=SM5VSiWsTds&amp;t=125s", "Go to time")</f>
        <v/>
      </c>
    </row>
    <row r="2501">
      <c r="A2501">
        <f>HYPERLINK("https://www.youtube.com/watch?v=SM5VSiWsTds", "Video")</f>
        <v/>
      </c>
      <c r="B2501" t="inlineStr">
        <is>
          <t>2:37</t>
        </is>
      </c>
      <c r="C2501" t="inlineStr">
        <is>
          <t>director chris columbus originally</t>
        </is>
      </c>
      <c r="D2501">
        <f>HYPERLINK("https://www.youtube.com/watch?v=SM5VSiWsTds&amp;t=157s", "Go to time")</f>
        <v/>
      </c>
    </row>
    <row r="2502">
      <c r="A2502">
        <f>HYPERLINK("https://www.youtube.com/watch?v=SM5VSiWsTds", "Video")</f>
        <v/>
      </c>
      <c r="B2502" t="inlineStr">
        <is>
          <t>6:52</t>
        </is>
      </c>
      <c r="C2502" t="inlineStr">
        <is>
          <t>veterans this was director seth gordon's</t>
        </is>
      </c>
      <c r="D2502">
        <f>HYPERLINK("https://www.youtube.com/watch?v=SM5VSiWsTds&amp;t=412s", "Go to time")</f>
        <v/>
      </c>
    </row>
    <row r="2503">
      <c r="A2503">
        <f>HYPERLINK("https://www.youtube.com/watch?v=SM5VSiWsTds", "Video")</f>
        <v/>
      </c>
      <c r="B2503" t="inlineStr">
        <is>
          <t>8:07</t>
        </is>
      </c>
      <c r="C2503" t="inlineStr">
        <is>
          <t>that brings us to director robert</t>
        </is>
      </c>
      <c r="D2503">
        <f>HYPERLINK("https://www.youtube.com/watch?v=SM5VSiWsTds&amp;t=487s", "Go to time")</f>
        <v/>
      </c>
    </row>
    <row r="2504">
      <c r="A2504">
        <f>HYPERLINK("https://www.youtube.com/watch?v=SM5VSiWsTds", "Video")</f>
        <v/>
      </c>
      <c r="B2504" t="inlineStr">
        <is>
          <t>11:37</t>
        </is>
      </c>
      <c r="C2504" t="inlineStr">
        <is>
          <t>the film was the debut of director</t>
        </is>
      </c>
      <c r="D2504">
        <f>HYPERLINK("https://www.youtube.com/watch?v=SM5VSiWsTds&amp;t=697s", "Go to time")</f>
        <v/>
      </c>
    </row>
    <row r="2505">
      <c r="A2505">
        <f>HYPERLINK("https://www.youtube.com/watch?v=SM5VSiWsTds", "Video")</f>
        <v/>
      </c>
      <c r="B2505" t="inlineStr">
        <is>
          <t>11:48</t>
        </is>
      </c>
      <c r="C2505" t="inlineStr">
        <is>
          <t>direct the 2010 film wait for it tooth</t>
        </is>
      </c>
      <c r="D2505">
        <f>HYPERLINK("https://www.youtube.com/watch?v=SM5VSiWsTds&amp;t=708s", "Go to time")</f>
        <v/>
      </c>
    </row>
    <row r="2506">
      <c r="A2506">
        <f>HYPERLINK("https://www.youtube.com/watch?v=SM5VSiWsTds", "Video")</f>
        <v/>
      </c>
      <c r="B2506" t="inlineStr">
        <is>
          <t>15:52</t>
        </is>
      </c>
      <c r="C2506" t="inlineStr">
        <is>
          <t>audiences embraced writer director nancy</t>
        </is>
      </c>
      <c r="D2506">
        <f>HYPERLINK("https://www.youtube.com/watch?v=SM5VSiWsTds&amp;t=952s", "Go to time")</f>
        <v/>
      </c>
    </row>
    <row r="2507">
      <c r="A2507">
        <f>HYPERLINK("https://www.youtube.com/watch?v=SM5VSiWsTds", "Video")</f>
        <v/>
      </c>
      <c r="B2507" t="inlineStr">
        <is>
          <t>18:07</t>
        </is>
      </c>
      <c r="C2507" t="inlineStr">
        <is>
          <t>games was the final movie directed by</t>
        </is>
      </c>
      <c r="D2507">
        <f>HYPERLINK("https://www.youtube.com/watch?v=SM5VSiWsTds&amp;t=1087s", "Go to time")</f>
        <v/>
      </c>
    </row>
    <row r="2508">
      <c r="A2508">
        <f>HYPERLINK("https://www.youtube.com/watch?v=SM5VSiWsTds", "Video")</f>
        <v/>
      </c>
      <c r="B2508" t="inlineStr">
        <is>
          <t>18:54</t>
        </is>
      </c>
      <c r="C2508" t="inlineStr">
        <is>
          <t>ultimately satisfying a director's cut</t>
        </is>
      </c>
      <c r="D2508">
        <f>HYPERLINK("https://www.youtube.com/watch?v=SM5VSiWsTds&amp;t=1134s", "Go to time")</f>
        <v/>
      </c>
    </row>
    <row r="2509">
      <c r="A2509">
        <f>HYPERLINK("https://www.youtube.com/watch?v=SM5VSiWsTds", "Video")</f>
        <v/>
      </c>
      <c r="B2509" t="inlineStr">
        <is>
          <t>25:27</t>
        </is>
      </c>
      <c r="C2509" t="inlineStr">
        <is>
          <t>and heinz directed catherine hahn</t>
        </is>
      </c>
      <c r="D2509">
        <f>HYPERLINK("https://www.youtube.com/watch?v=SM5VSiWsTds&amp;t=1527s", "Go to time")</f>
        <v/>
      </c>
    </row>
    <row r="2510">
      <c r="A2510">
        <f>HYPERLINK("https://www.youtube.com/watch?v=SM5VSiWsTds", "Video")</f>
        <v/>
      </c>
      <c r="B2510" t="inlineStr">
        <is>
          <t>26:20</t>
        </is>
      </c>
      <c r="C2510" t="inlineStr">
        <is>
          <t>the second to last film directed by the</t>
        </is>
      </c>
      <c r="D2510">
        <f>HYPERLINK("https://www.youtube.com/watch?v=SM5VSiWsTds&amp;t=1580s", "Go to time")</f>
        <v/>
      </c>
    </row>
    <row r="2511">
      <c r="A2511">
        <f>HYPERLINK("https://www.youtube.com/watch?v=SM5VSiWsTds", "Video")</f>
        <v/>
      </c>
      <c r="B2511" t="inlineStr">
        <is>
          <t>27:22</t>
        </is>
      </c>
      <c r="C2511" t="inlineStr">
        <is>
          <t>directed by rammus that he didn't have a</t>
        </is>
      </c>
      <c r="D2511">
        <f>HYPERLINK("https://www.youtube.com/watch?v=SM5VSiWsTds&amp;t=1642s", "Go to time")</f>
        <v/>
      </c>
    </row>
    <row r="2512">
      <c r="A2512">
        <f>HYPERLINK("https://www.youtube.com/watch?v=SM5VSiWsTds", "Video")</f>
        <v/>
      </c>
      <c r="B2512" t="inlineStr">
        <is>
          <t>28:40</t>
        </is>
      </c>
      <c r="C2512" t="inlineStr">
        <is>
          <t>from writer director david e talbert who</t>
        </is>
      </c>
      <c r="D2512">
        <f>HYPERLINK("https://www.youtube.com/watch?v=SM5VSiWsTds&amp;t=1720s", "Go to time")</f>
        <v/>
      </c>
    </row>
    <row r="2513">
      <c r="A2513">
        <f>HYPERLINK("https://www.youtube.com/watch?v=SM5VSiWsTds", "Video")</f>
        <v/>
      </c>
      <c r="B2513" t="inlineStr">
        <is>
          <t>28:42</t>
        </is>
      </c>
      <c r="C2513" t="inlineStr">
        <is>
          <t>went on to write and direct the netflix</t>
        </is>
      </c>
      <c r="D2513">
        <f>HYPERLINK("https://www.youtube.com/watch?v=SM5VSiWsTds&amp;t=1722s", "Go to time")</f>
        <v/>
      </c>
    </row>
    <row r="2514">
      <c r="A2514">
        <f>HYPERLINK("https://www.youtube.com/watch?v=SM5VSiWsTds", "Video")</f>
        <v/>
      </c>
      <c r="B2514" t="inlineStr">
        <is>
          <t>31:42</t>
        </is>
      </c>
      <c r="C2514" t="inlineStr">
        <is>
          <t>varney and director john cherry were</t>
        </is>
      </c>
      <c r="D2514">
        <f>HYPERLINK("https://www.youtube.com/watch?v=SM5VSiWsTds&amp;t=1902s", "Go to time")</f>
        <v/>
      </c>
    </row>
    <row r="2515">
      <c r="A2515">
        <f>HYPERLINK("https://www.youtube.com/watch?v=SM5VSiWsTds", "Video")</f>
        <v/>
      </c>
      <c r="B2515" t="inlineStr">
        <is>
          <t>35:28</t>
        </is>
      </c>
      <c r="C2515" t="inlineStr">
        <is>
          <t>director paul feig's musical holiday</t>
        </is>
      </c>
      <c r="D2515">
        <f>HYPERLINK("https://www.youtube.com/watch?v=SM5VSiWsTds&amp;t=2128s", "Go to time")</f>
        <v/>
      </c>
    </row>
    <row r="2516">
      <c r="A2516">
        <f>HYPERLINK("https://www.youtube.com/watch?v=YPLWjpc84W4", "Video")</f>
        <v/>
      </c>
      <c r="B2516" t="inlineStr">
        <is>
          <t>3:06</t>
        </is>
      </c>
      <c r="C2516" t="inlineStr">
        <is>
          <t>were directly above him how could you</t>
        </is>
      </c>
      <c r="D2516">
        <f>HYPERLINK("https://www.youtube.com/watch?v=YPLWjpc84W4&amp;t=186s", "Go to time")</f>
        <v/>
      </c>
    </row>
    <row r="2517">
      <c r="A2517">
        <f>HYPERLINK("https://www.youtube.com/watch?v=YPLWjpc84W4", "Video")</f>
        <v/>
      </c>
      <c r="B2517" t="inlineStr">
        <is>
          <t>13:28</t>
        </is>
      </c>
      <c r="C2517" t="inlineStr">
        <is>
          <t>away got impact Check Direct Hit Direct</t>
        </is>
      </c>
      <c r="D2517">
        <f>HYPERLINK("https://www.youtube.com/watch?v=YPLWjpc84W4&amp;t=808s", "Go to time")</f>
        <v/>
      </c>
    </row>
    <row r="2518">
      <c r="A2518">
        <f>HYPERLINK("https://www.youtube.com/watch?v=eX7KaNfNG3c", "Video")</f>
        <v/>
      </c>
      <c r="B2518" t="inlineStr">
        <is>
          <t>12:26</t>
        </is>
      </c>
      <c r="C2518" t="inlineStr">
        <is>
          <t>you're a brilliant director you did but</t>
        </is>
      </c>
      <c r="D2518">
        <f>HYPERLINK("https://www.youtube.com/watch?v=eX7KaNfNG3c&amp;t=746s", "Go to time")</f>
        <v/>
      </c>
    </row>
    <row r="2519">
      <c r="A2519">
        <f>HYPERLINK("https://www.youtube.com/watch?v=JkAWo365C8c", "Video")</f>
        <v/>
      </c>
      <c r="B2519" t="inlineStr">
        <is>
          <t>16:43</t>
        </is>
      </c>
      <c r="C2519" t="inlineStr">
        <is>
          <t>for you please direct your attention to</t>
        </is>
      </c>
      <c r="D2519">
        <f>HYPERLINK("https://www.youtube.com/watch?v=JkAWo365C8c&amp;t=1003s", "Go to time")</f>
        <v/>
      </c>
    </row>
    <row r="2520">
      <c r="A2520">
        <f>HYPERLINK("https://www.youtube.com/watch?v=zkY-Td5ds1c", "Video")</f>
        <v/>
      </c>
      <c r="B2520" t="inlineStr">
        <is>
          <t>1:54</t>
        </is>
      </c>
      <c r="C2520" t="inlineStr">
        <is>
          <t>for this scene director james mangold</t>
        </is>
      </c>
      <c r="D2520">
        <f>HYPERLINK("https://www.youtube.com/watch?v=zkY-Td5ds1c&amp;t=114s", "Go to time")</f>
        <v/>
      </c>
    </row>
    <row r="2521">
      <c r="A2521">
        <f>HYPERLINK("https://www.youtube.com/watch?v=zkY-Td5ds1c", "Video")</f>
        <v/>
      </c>
      <c r="B2521" t="inlineStr">
        <is>
          <t>3:36</t>
        </is>
      </c>
      <c r="C2521" t="inlineStr">
        <is>
          <t>that's exactly what director brian de</t>
        </is>
      </c>
      <c r="D2521">
        <f>HYPERLINK("https://www.youtube.com/watch?v=zkY-Td5ds1c&amp;t=216s", "Go to time")</f>
        <v/>
      </c>
    </row>
    <row r="2522">
      <c r="A2522">
        <f>HYPERLINK("https://www.youtube.com/watch?v=zkY-Td5ds1c", "Video")</f>
        <v/>
      </c>
      <c r="B2522" t="inlineStr">
        <is>
          <t>6:31</t>
        </is>
      </c>
      <c r="C2522" t="inlineStr">
        <is>
          <t>need for director tony scott and</t>
        </is>
      </c>
      <c r="D2522">
        <f>HYPERLINK("https://www.youtube.com/watch?v=zkY-Td5ds1c&amp;t=391s", "Go to time")</f>
        <v/>
      </c>
    </row>
    <row r="2523">
      <c r="A2523">
        <f>HYPERLINK("https://www.youtube.com/watch?v=zkY-Td5ds1c", "Video")</f>
        <v/>
      </c>
      <c r="B2523" t="inlineStr">
        <is>
          <t>8:27</t>
        </is>
      </c>
      <c r="C2523" t="inlineStr">
        <is>
          <t>film scott would direct before his death</t>
        </is>
      </c>
      <c r="D2523">
        <f>HYPERLINK("https://www.youtube.com/watch?v=zkY-Td5ds1c&amp;t=507s", "Go to time")</f>
        <v/>
      </c>
    </row>
    <row r="2524">
      <c r="A2524">
        <f>HYPERLINK("https://www.youtube.com/watch?v=zkY-Td5ds1c", "Video")</f>
        <v/>
      </c>
      <c r="B2524" t="inlineStr">
        <is>
          <t>12:39</t>
        </is>
      </c>
      <c r="C2524" t="inlineStr">
        <is>
          <t>director sam mendes and his crew had</t>
        </is>
      </c>
      <c r="D2524">
        <f>HYPERLINK("https://www.youtube.com/watch?v=zkY-Td5ds1c&amp;t=759s", "Go to time")</f>
        <v/>
      </c>
    </row>
    <row r="2525">
      <c r="A2525">
        <f>HYPERLINK("https://www.youtube.com/watch?v=zkY-Td5ds1c", "Video")</f>
        <v/>
      </c>
      <c r="B2525" t="inlineStr">
        <is>
          <t>13:54</t>
        </is>
      </c>
      <c r="C2525" t="inlineStr">
        <is>
          <t>wanted directed by teamer beck mombadak</t>
        </is>
      </c>
      <c r="D2525">
        <f>HYPERLINK("https://www.youtube.com/watch?v=zkY-Td5ds1c&amp;t=834s", "Go to time")</f>
        <v/>
      </c>
    </row>
    <row r="2526">
      <c r="A2526">
        <f>HYPERLINK("https://www.youtube.com/watch?v=zkY-Td5ds1c", "Video")</f>
        <v/>
      </c>
      <c r="B2526" t="inlineStr">
        <is>
          <t>16:37</t>
        </is>
      </c>
      <c r="C2526" t="inlineStr">
        <is>
          <t>heist from fast five directed by justin</t>
        </is>
      </c>
      <c r="D2526">
        <f>HYPERLINK("https://www.youtube.com/watch?v=zkY-Td5ds1c&amp;t=997s", "Go to time")</f>
        <v/>
      </c>
    </row>
    <row r="2527">
      <c r="A2527">
        <f>HYPERLINK("https://www.youtube.com/watch?v=83122tKLGw4", "Video")</f>
        <v/>
      </c>
      <c r="B2527" t="inlineStr">
        <is>
          <t>4:38</t>
        </is>
      </c>
      <c r="C2527" t="inlineStr">
        <is>
          <t>if you're the director of this all you</t>
        </is>
      </c>
      <c r="D2527">
        <f>HYPERLINK("https://www.youtube.com/watch?v=83122tKLGw4&amp;t=278s", "Go to time")</f>
        <v/>
      </c>
    </row>
    <row r="2528">
      <c r="A2528">
        <f>HYPERLINK("https://www.youtube.com/watch?v=83122tKLGw4", "Video")</f>
        <v/>
      </c>
      <c r="B2528" t="inlineStr">
        <is>
          <t>16:56</t>
        </is>
      </c>
      <c r="C2528" t="inlineStr">
        <is>
          <t>who directed the movie um</t>
        </is>
      </c>
      <c r="D2528">
        <f>HYPERLINK("https://www.youtube.com/watch?v=83122tKLGw4&amp;t=1016s", "Go to time")</f>
        <v/>
      </c>
    </row>
    <row r="2529">
      <c r="A2529">
        <f>HYPERLINK("https://www.youtube.com/watch?v=83122tKLGw4", "Video")</f>
        <v/>
      </c>
      <c r="B2529" t="inlineStr">
        <is>
          <t>24:09</t>
        </is>
      </c>
      <c r="C2529" t="inlineStr">
        <is>
          <t>director slash writer on this what did</t>
        </is>
      </c>
      <c r="D2529">
        <f>HYPERLINK("https://www.youtube.com/watch?v=83122tKLGw4&amp;t=1449s", "Go to time")</f>
        <v/>
      </c>
    </row>
    <row r="2530">
      <c r="A2530">
        <f>HYPERLINK("https://www.youtube.com/watch?v=83122tKLGw4", "Video")</f>
        <v/>
      </c>
      <c r="B2530" t="inlineStr">
        <is>
          <t>26:05</t>
        </is>
      </c>
      <c r="C2530" t="inlineStr">
        <is>
          <t>as far as the directing of this movie</t>
        </is>
      </c>
      <c r="D2530">
        <f>HYPERLINK("https://www.youtube.com/watch?v=83122tKLGw4&amp;t=1565s", "Go to time")</f>
        <v/>
      </c>
    </row>
    <row r="2531">
      <c r="A2531">
        <f>HYPERLINK("https://www.youtube.com/watch?v=83122tKLGw4", "Video")</f>
        <v/>
      </c>
      <c r="B2531" t="inlineStr">
        <is>
          <t>26:09</t>
        </is>
      </c>
      <c r="C2531" t="inlineStr">
        <is>
          <t>David Wayne as a director of this movie</t>
        </is>
      </c>
      <c r="D2531">
        <f>HYPERLINK("https://www.youtube.com/watch?v=83122tKLGw4&amp;t=1569s", "Go to time")</f>
        <v/>
      </c>
    </row>
    <row r="2532">
      <c r="A2532">
        <f>HYPERLINK("https://www.youtube.com/watch?v=83122tKLGw4", "Video")</f>
        <v/>
      </c>
      <c r="B2532" t="inlineStr">
        <is>
          <t>27:33</t>
        </is>
      </c>
      <c r="C2532" t="inlineStr">
        <is>
          <t>really good director like that's a great</t>
        </is>
      </c>
      <c r="D2532">
        <f>HYPERLINK("https://www.youtube.com/watch?v=83122tKLGw4&amp;t=1653s", "Go to time")</f>
        <v/>
      </c>
    </row>
    <row r="2533">
      <c r="A2533">
        <f>HYPERLINK("https://www.youtube.com/watch?v=Z7ervACcNEA", "Video")</f>
        <v/>
      </c>
      <c r="B2533" t="inlineStr">
        <is>
          <t>0:25</t>
        </is>
      </c>
      <c r="C2533" t="inlineStr">
        <is>
          <t>giving you directions you're too busy</t>
        </is>
      </c>
      <c r="D2533">
        <f>HYPERLINK("https://www.youtube.com/watch?v=Z7ervACcNEA&amp;t=25s", "Go to time")</f>
        <v/>
      </c>
    </row>
    <row r="2534">
      <c r="A2534">
        <f>HYPERLINK("https://www.youtube.com/watch?v=Rrl4TGaJnyM", "Video")</f>
        <v/>
      </c>
      <c r="B2534" t="inlineStr">
        <is>
          <t>1:36</t>
        </is>
      </c>
      <c r="C2534" t="inlineStr">
        <is>
          <t>to a direction</t>
        </is>
      </c>
      <c r="D2534">
        <f>HYPERLINK("https://www.youtube.com/watch?v=Rrl4TGaJnyM&amp;t=96s", "Go to time")</f>
        <v/>
      </c>
    </row>
    <row r="2535">
      <c r="A2535">
        <f>HYPERLINK("https://www.youtube.com/watch?v=Rrl4TGaJnyM", "Video")</f>
        <v/>
      </c>
      <c r="B2535" t="inlineStr">
        <is>
          <t>1:56</t>
        </is>
      </c>
      <c r="C2535" t="inlineStr">
        <is>
          <t>directions the term is calling the</t>
        </is>
      </c>
      <c r="D2535">
        <f>HYPERLINK("https://www.youtube.com/watch?v=Rrl4TGaJnyM&amp;t=116s", "Go to time")</f>
        <v/>
      </c>
    </row>
    <row r="2536">
      <c r="A2536">
        <f>HYPERLINK("https://www.youtube.com/watch?v=OJrGd-0oOo0", "Video")</f>
        <v/>
      </c>
      <c r="B2536" t="inlineStr">
        <is>
          <t>5:04</t>
        </is>
      </c>
      <c r="C2536" t="inlineStr">
        <is>
          <t>true for director tom shadiak who had</t>
        </is>
      </c>
      <c r="D2536">
        <f>HYPERLINK("https://www.youtube.com/watch?v=OJrGd-0oOo0&amp;t=304s", "Go to time")</f>
        <v/>
      </c>
    </row>
    <row r="2537">
      <c r="A2537">
        <f>HYPERLINK("https://www.youtube.com/watch?v=OJrGd-0oOo0", "Video")</f>
        <v/>
      </c>
      <c r="B2537" t="inlineStr">
        <is>
          <t>7:39</t>
        </is>
      </c>
      <c r="C2537" t="inlineStr">
        <is>
          <t>the first female director to have a film</t>
        </is>
      </c>
      <c r="D2537">
        <f>HYPERLINK("https://www.youtube.com/watch?v=OJrGd-0oOo0&amp;t=459s", "Go to time")</f>
        <v/>
      </c>
    </row>
    <row r="2538">
      <c r="A2538">
        <f>HYPERLINK("https://www.youtube.com/watch?v=OJrGd-0oOo0", "Video")</f>
        <v/>
      </c>
      <c r="B2538" t="inlineStr">
        <is>
          <t>9:54</t>
        </is>
      </c>
      <c r="C2538" t="inlineStr">
        <is>
          <t>had to drop out of directing that movie</t>
        </is>
      </c>
      <c r="D2538">
        <f>HYPERLINK("https://www.youtube.com/watch?v=OJrGd-0oOo0&amp;t=594s", "Go to time")</f>
        <v/>
      </c>
    </row>
    <row r="2539">
      <c r="A2539">
        <f>HYPERLINK("https://www.youtube.com/watch?v=OJrGd-0oOo0", "Video")</f>
        <v/>
      </c>
      <c r="B2539" t="inlineStr">
        <is>
          <t>10:58</t>
        </is>
      </c>
      <c r="C2539" t="inlineStr">
        <is>
          <t>director tom shadyac carrie went from</t>
        </is>
      </c>
      <c r="D2539">
        <f>HYPERLINK("https://www.youtube.com/watch?v=OJrGd-0oOo0&amp;t=658s", "Go to time")</f>
        <v/>
      </c>
    </row>
    <row r="2540">
      <c r="A2540">
        <f>HYPERLINK("https://www.youtube.com/watch?v=OJrGd-0oOo0", "Video")</f>
        <v/>
      </c>
      <c r="B2540" t="inlineStr">
        <is>
          <t>12:58</t>
        </is>
      </c>
      <c r="C2540" t="inlineStr">
        <is>
          <t>have a directly inversely proportionate</t>
        </is>
      </c>
      <c r="D2540">
        <f>HYPERLINK("https://www.youtube.com/watch?v=OJrGd-0oOo0&amp;t=778s", "Go to time")</f>
        <v/>
      </c>
    </row>
    <row r="2541">
      <c r="A2541">
        <f>HYPERLINK("https://www.youtube.com/watch?v=OJrGd-0oOo0", "Video")</f>
        <v/>
      </c>
      <c r="B2541" t="inlineStr">
        <is>
          <t>13:01</t>
        </is>
      </c>
      <c r="C2541" t="inlineStr">
        <is>
          <t>it's james mangle directing a movie with</t>
        </is>
      </c>
      <c r="D2541">
        <f>HYPERLINK("https://www.youtube.com/watch?v=OJrGd-0oOo0&amp;t=781s", "Go to time")</f>
        <v/>
      </c>
    </row>
    <row r="2542">
      <c r="A2542">
        <f>HYPERLINK("https://www.youtube.com/watch?v=4xzCnDk21Kc", "Video")</f>
        <v/>
      </c>
      <c r="B2542" t="inlineStr">
        <is>
          <t>2:38</t>
        </is>
      </c>
      <c r="C2542" t="inlineStr">
        <is>
          <t>come here but to go directly back to</t>
        </is>
      </c>
      <c r="D2542">
        <f>HYPERLINK("https://www.youtube.com/watch?v=4xzCnDk21Kc&amp;t=158s", "Go to time")</f>
        <v/>
      </c>
    </row>
    <row r="2543">
      <c r="A2543">
        <f>HYPERLINK("https://www.youtube.com/watch?v=qL6Qgxz_oog", "Video")</f>
        <v/>
      </c>
      <c r="B2543" t="inlineStr">
        <is>
          <t>0:44</t>
        </is>
      </c>
      <c r="C2543" t="inlineStr">
        <is>
          <t>oh believable actors an astute director</t>
        </is>
      </c>
      <c r="D2543">
        <f>HYPERLINK("https://www.youtube.com/watch?v=qL6Qgxz_oog&amp;t=44s", "Go to time")</f>
        <v/>
      </c>
    </row>
    <row r="2544">
      <c r="A2544">
        <f>HYPERLINK("https://www.youtube.com/watch?v=qL6Qgxz_oog", "Video")</f>
        <v/>
      </c>
      <c r="B2544" t="inlineStr">
        <is>
          <t>4:47</t>
        </is>
      </c>
      <c r="C2544" t="inlineStr">
        <is>
          <t>the 2015 romantic drama carol directed</t>
        </is>
      </c>
      <c r="D2544">
        <f>HYPERLINK("https://www.youtube.com/watch?v=qL6Qgxz_oog&amp;t=287s", "Go to time")</f>
        <v/>
      </c>
    </row>
    <row r="2545">
      <c r="A2545">
        <f>HYPERLINK("https://www.youtube.com/watch?v=qL6Qgxz_oog", "Video")</f>
        <v/>
      </c>
      <c r="B2545" t="inlineStr">
        <is>
          <t>6:08</t>
        </is>
      </c>
      <c r="C2545" t="inlineStr">
        <is>
          <t>investors actors and directors came and</t>
        </is>
      </c>
      <c r="D2545">
        <f>HYPERLINK("https://www.youtube.com/watch?v=qL6Qgxz_oog&amp;t=368s", "Go to time")</f>
        <v/>
      </c>
    </row>
    <row r="2546">
      <c r="A2546">
        <f>HYPERLINK("https://www.youtube.com/watch?v=qL6Qgxz_oog", "Video")</f>
        <v/>
      </c>
      <c r="B2546" t="inlineStr">
        <is>
          <t>7:44</t>
        </is>
      </c>
      <c r="C2546" t="inlineStr">
        <is>
          <t>she conducted with director rob reiner</t>
        </is>
      </c>
      <c r="D2546">
        <f>HYPERLINK("https://www.youtube.com/watch?v=qL6Qgxz_oog&amp;t=464s", "Go to time")</f>
        <v/>
      </c>
    </row>
    <row r="2547">
      <c r="A2547">
        <f>HYPERLINK("https://www.youtube.com/watch?v=qL6Qgxz_oog", "Video")</f>
        <v/>
      </c>
      <c r="B2547" t="inlineStr">
        <is>
          <t>9:49</t>
        </is>
      </c>
      <c r="C2547" t="inlineStr">
        <is>
          <t>directed by ang lee and written by larry</t>
        </is>
      </c>
      <c r="D2547">
        <f>HYPERLINK("https://www.youtube.com/watch?v=qL6Qgxz_oog&amp;t=589s", "Go to time")</f>
        <v/>
      </c>
    </row>
    <row r="2548">
      <c r="A2548">
        <f>HYPERLINK("https://www.youtube.com/watch?v=qL6Qgxz_oog", "Video")</f>
        <v/>
      </c>
      <c r="B2548" t="inlineStr">
        <is>
          <t>11:36</t>
        </is>
      </c>
      <c r="C2548" t="inlineStr">
        <is>
          <t>gina prince bathwood wrote and directed</t>
        </is>
      </c>
      <c r="D2548">
        <f>HYPERLINK("https://www.youtube.com/watch?v=qL6Qgxz_oog&amp;t=696s", "Go to time")</f>
        <v/>
      </c>
    </row>
    <row r="2549">
      <c r="A2549">
        <f>HYPERLINK("https://www.youtube.com/watch?v=qL6Qgxz_oog", "Video")</f>
        <v/>
      </c>
      <c r="B2549" t="inlineStr">
        <is>
          <t>22:59</t>
        </is>
      </c>
      <c r="C2549" t="inlineStr">
        <is>
          <t>directed by nick cassavetes and based on</t>
        </is>
      </c>
      <c r="D2549">
        <f>HYPERLINK("https://www.youtube.com/watch?v=qL6Qgxz_oog&amp;t=1379s", "Go to time")</f>
        <v/>
      </c>
    </row>
    <row r="2550">
      <c r="A2550">
        <f>HYPERLINK("https://www.youtube.com/watch?v=_yMbz437IWI", "Video")</f>
        <v/>
      </c>
      <c r="B2550" t="inlineStr">
        <is>
          <t>1:35</t>
        </is>
      </c>
      <c r="C2550" t="inlineStr">
        <is>
          <t>director and Tom We were all pretty</t>
        </is>
      </c>
      <c r="D2550">
        <f>HYPERLINK("https://www.youtube.com/watch?v=_yMbz437IWI&amp;t=95s", "Go to time")</f>
        <v/>
      </c>
    </row>
    <row r="2551">
      <c r="A2551">
        <f>HYPERLINK("https://www.youtube.com/watch?v=_yMbz437IWI", "Video")</f>
        <v/>
      </c>
      <c r="B2551" t="inlineStr">
        <is>
          <t>8:53</t>
        </is>
      </c>
      <c r="C2551" t="inlineStr">
        <is>
          <t>is like director Bong is you know</t>
        </is>
      </c>
      <c r="D2551">
        <f>HYPERLINK("https://www.youtube.com/watch?v=_yMbz437IWI&amp;t=533s", "Go to time")</f>
        <v/>
      </c>
    </row>
    <row r="2552">
      <c r="A2552">
        <f>HYPERLINK("https://www.youtube.com/watch?v=VVaSBQUtpk0", "Video")</f>
        <v/>
      </c>
      <c r="B2552" t="inlineStr">
        <is>
          <t>0:04</t>
        </is>
      </c>
      <c r="C2552" t="inlineStr">
        <is>
          <t>this is the opposite direction to what</t>
        </is>
      </c>
      <c r="D2552">
        <f>HYPERLINK("https://www.youtube.com/watch?v=VVaSBQUtpk0&amp;t=4s", "Go to time")</f>
        <v/>
      </c>
    </row>
    <row r="2553">
      <c r="A2553">
        <f>HYPERLINK("https://www.youtube.com/watch?v=usBbenIeAIs", "Video")</f>
        <v/>
      </c>
      <c r="B2553" t="inlineStr">
        <is>
          <t>8:57</t>
        </is>
      </c>
      <c r="C2553" t="inlineStr">
        <is>
          <t>direction of Logan for the last 3</t>
        </is>
      </c>
      <c r="D2553">
        <f>HYPERLINK("https://www.youtube.com/watch?v=usBbenIeAIs&amp;t=537s", "Go to time")</f>
        <v/>
      </c>
    </row>
    <row r="2554">
      <c r="A2554">
        <f>HYPERLINK("https://www.youtube.com/watch?v=MRh8TEiJSZo", "Video")</f>
        <v/>
      </c>
      <c r="B2554" t="inlineStr">
        <is>
          <t>0:55</t>
        </is>
      </c>
      <c r="C2554" t="inlineStr">
        <is>
          <t>I says look I I want to direct this but</t>
        </is>
      </c>
      <c r="D2554">
        <f>HYPERLINK("https://www.youtube.com/watch?v=MRh8TEiJSZo&amp;t=55s", "Go to time")</f>
        <v/>
      </c>
    </row>
    <row r="2555">
      <c r="A2555">
        <f>HYPERLINK("https://www.youtube.com/watch?v=g-TJY2Tgzfc", "Video")</f>
        <v/>
      </c>
      <c r="B2555" t="inlineStr">
        <is>
          <t>8:12</t>
        </is>
      </c>
      <c r="C2555" t="inlineStr">
        <is>
          <t>I'm Dana the director we're sure excited</t>
        </is>
      </c>
      <c r="D2555">
        <f>HYPERLINK("https://www.youtube.com/watch?v=g-TJY2Tgzfc&amp;t=492s", "Go to time")</f>
        <v/>
      </c>
    </row>
    <row r="2556">
      <c r="A2556">
        <f>HYPERLINK("https://www.youtube.com/watch?v=T7qbsbPLtLE", "Video")</f>
        <v/>
      </c>
      <c r="B2556" t="inlineStr">
        <is>
          <t>2:37</t>
        </is>
      </c>
      <c r="C2556" t="inlineStr">
        <is>
          <t>Hamill Carrie Fisher and directed by JJ</t>
        </is>
      </c>
      <c r="D2556">
        <f>HYPERLINK("https://www.youtube.com/watch?v=T7qbsbPLtLE&amp;t=157s", "Go to time")</f>
        <v/>
      </c>
    </row>
    <row r="2557">
      <c r="A2557">
        <f>HYPERLINK("https://www.youtube.com/watch?v=T7qbsbPLtLE", "Video")</f>
        <v/>
      </c>
      <c r="B2557" t="inlineStr">
        <is>
          <t>4:27</t>
        </is>
      </c>
      <c r="C2557" t="inlineStr">
        <is>
          <t>Albert Brooks Ed O'Neill and directed by</t>
        </is>
      </c>
      <c r="D2557">
        <f>HYPERLINK("https://www.youtube.com/watch?v=T7qbsbPLtLE&amp;t=267s", "Go to time")</f>
        <v/>
      </c>
    </row>
    <row r="2558">
      <c r="A2558">
        <f>HYPERLINK("https://www.youtube.com/watch?v=T7qbsbPLtLE", "Video")</f>
        <v/>
      </c>
      <c r="B2558" t="inlineStr">
        <is>
          <t>5:53</t>
        </is>
      </c>
      <c r="C2558" t="inlineStr">
        <is>
          <t>Aaron Eckhart and directed by</t>
        </is>
      </c>
      <c r="D2558">
        <f>HYPERLINK("https://www.youtube.com/watch?v=T7qbsbPLtLE&amp;t=353s", "Go to time")</f>
        <v/>
      </c>
    </row>
    <row r="2559">
      <c r="A2559">
        <f>HYPERLINK("https://www.youtube.com/watch?v=T7qbsbPLtLE", "Video")</f>
        <v/>
      </c>
      <c r="B2559" t="inlineStr">
        <is>
          <t>7:34</t>
        </is>
      </c>
      <c r="C2559" t="inlineStr">
        <is>
          <t>Evans Mark Ruffalo and directed by</t>
        </is>
      </c>
      <c r="D2559">
        <f>HYPERLINK("https://www.youtube.com/watch?v=T7qbsbPLtLE&amp;t=454s", "Go to time")</f>
        <v/>
      </c>
    </row>
    <row r="2560">
      <c r="A2560">
        <f>HYPERLINK("https://www.youtube.com/watch?v=T7qbsbPLtLE", "Video")</f>
        <v/>
      </c>
      <c r="B2560" t="inlineStr">
        <is>
          <t>9:26</t>
        </is>
      </c>
      <c r="C2560" t="inlineStr">
        <is>
          <t>Rupert Grint Emma Watson and directed by</t>
        </is>
      </c>
      <c r="D2560">
        <f>HYPERLINK("https://www.youtube.com/watch?v=T7qbsbPLtLE&amp;t=566s", "Go to time")</f>
        <v/>
      </c>
    </row>
    <row r="2561">
      <c r="A2561">
        <f>HYPERLINK("https://www.youtube.com/watch?v=T7qbsbPLtLE", "Video")</f>
        <v/>
      </c>
      <c r="B2561" t="inlineStr">
        <is>
          <t>11:03</t>
        </is>
      </c>
      <c r="C2561" t="inlineStr">
        <is>
          <t>Jordan Lupita Nyong'o and directed by</t>
        </is>
      </c>
      <c r="D2561">
        <f>HYPERLINK("https://www.youtube.com/watch?v=T7qbsbPLtLE&amp;t=663s", "Go to time")</f>
        <v/>
      </c>
    </row>
    <row r="2562">
      <c r="A2562">
        <f>HYPERLINK("https://www.youtube.com/watch?v=T7qbsbPLtLE", "Video")</f>
        <v/>
      </c>
      <c r="B2562" t="inlineStr">
        <is>
          <t>13:07</t>
        </is>
      </c>
      <c r="C2562" t="inlineStr">
        <is>
          <t>Teller Jennifer Connelly and directed by</t>
        </is>
      </c>
      <c r="D2562">
        <f>HYPERLINK("https://www.youtube.com/watch?v=T7qbsbPLtLE&amp;t=787s", "Go to time")</f>
        <v/>
      </c>
    </row>
    <row r="2563">
      <c r="A2563">
        <f>HYPERLINK("https://www.youtube.com/watch?v=T7qbsbPLtLE", "Video")</f>
        <v/>
      </c>
      <c r="B2563" t="inlineStr">
        <is>
          <t>14:59</t>
        </is>
      </c>
      <c r="C2563" t="inlineStr">
        <is>
          <t>Allen Annie Potts and directed by Josh</t>
        </is>
      </c>
      <c r="D2563">
        <f>HYPERLINK("https://www.youtube.com/watch?v=T7qbsbPLtLE&amp;t=899s", "Go to time")</f>
        <v/>
      </c>
    </row>
    <row r="2564">
      <c r="A2564">
        <f>HYPERLINK("https://www.youtube.com/watch?v=T7qbsbPLtLE", "Video")</f>
        <v/>
      </c>
      <c r="B2564" t="inlineStr">
        <is>
          <t>16:47</t>
        </is>
      </c>
      <c r="C2564" t="inlineStr">
        <is>
          <t>directed by Byron Howard and Rich Moore</t>
        </is>
      </c>
      <c r="D2564">
        <f>HYPERLINK("https://www.youtube.com/watch?v=T7qbsbPLtLE&amp;t=1007s", "Go to time")</f>
        <v/>
      </c>
    </row>
    <row r="2565">
      <c r="A2565">
        <f>HYPERLINK("https://www.youtube.com/watch?v=T7qbsbPLtLE", "Video")</f>
        <v/>
      </c>
      <c r="B2565" t="inlineStr">
        <is>
          <t>18:36</t>
        </is>
      </c>
      <c r="C2565" t="inlineStr">
        <is>
          <t>Benedict Cumberbatch and directed by</t>
        </is>
      </c>
      <c r="D2565">
        <f>HYPERLINK("https://www.youtube.com/watch?v=T7qbsbPLtLE&amp;t=1116s", "Go to time")</f>
        <v/>
      </c>
    </row>
    <row r="2566">
      <c r="A2566">
        <f>HYPERLINK("https://www.youtube.com/watch?v=T7qbsbPLtLE", "Video")</f>
        <v/>
      </c>
      <c r="B2566" t="inlineStr">
        <is>
          <t>20:24</t>
        </is>
      </c>
      <c r="C2566" t="inlineStr">
        <is>
          <t>Mortensen and directed by Peter Jackson</t>
        </is>
      </c>
      <c r="D2566">
        <f>HYPERLINK("https://www.youtube.com/watch?v=T7qbsbPLtLE&amp;t=1224s", "Go to time")</f>
        <v/>
      </c>
    </row>
    <row r="2567">
      <c r="A2567">
        <f>HYPERLINK("https://www.youtube.com/watch?v=T7qbsbPLtLE", "Video")</f>
        <v/>
      </c>
      <c r="B2567" t="inlineStr">
        <is>
          <t>22:12</t>
        </is>
      </c>
      <c r="C2567" t="inlineStr">
        <is>
          <t>Saldana Sigourney Weaver and directed by</t>
        </is>
      </c>
      <c r="D2567">
        <f>HYPERLINK("https://www.youtube.com/watch?v=T7qbsbPLtLE&amp;t=1332s", "Go to time")</f>
        <v/>
      </c>
    </row>
    <row r="2568">
      <c r="A2568">
        <f>HYPERLINK("https://www.youtube.com/watch?v=T7qbsbPLtLE", "Video")</f>
        <v/>
      </c>
      <c r="B2568" t="inlineStr">
        <is>
          <t>23:54</t>
        </is>
      </c>
      <c r="C2568" t="inlineStr">
        <is>
          <t>Hanks Tim Allen Joan Cusack and directed</t>
        </is>
      </c>
      <c r="D2568">
        <f>HYPERLINK("https://www.youtube.com/watch?v=T7qbsbPLtLE&amp;t=1434s", "Go to time")</f>
        <v/>
      </c>
    </row>
    <row r="2569">
      <c r="A2569">
        <f>HYPERLINK("https://www.youtube.com/watch?v=Avvh9tWLoLc", "Video")</f>
        <v/>
      </c>
      <c r="B2569" t="inlineStr">
        <is>
          <t>1:18</t>
        </is>
      </c>
      <c r="C2569" t="inlineStr">
        <is>
          <t>directors</t>
        </is>
      </c>
      <c r="D2569">
        <f>HYPERLINK("https://www.youtube.com/watch?v=Avvh9tWLoLc&amp;t=78s", "Go to time")</f>
        <v/>
      </c>
    </row>
    <row r="2570">
      <c r="A2570">
        <f>HYPERLINK("https://www.youtube.com/watch?v=RoBEUjxixPY", "Video")</f>
        <v/>
      </c>
      <c r="B2570" t="inlineStr">
        <is>
          <t>1:49</t>
        </is>
      </c>
      <c r="C2570" t="inlineStr">
        <is>
          <t>lead character it was directed by Greg</t>
        </is>
      </c>
      <c r="D2570">
        <f>HYPERLINK("https://www.youtube.com/watch?v=RoBEUjxixPY&amp;t=109s", "Go to time")</f>
        <v/>
      </c>
    </row>
    <row r="2571">
      <c r="A2571">
        <f>HYPERLINK("https://www.youtube.com/watch?v=RoBEUjxixPY", "Video")</f>
        <v/>
      </c>
      <c r="B2571" t="inlineStr">
        <is>
          <t>4:12</t>
        </is>
      </c>
      <c r="C2571" t="inlineStr">
        <is>
          <t>and it was directed by Todd Haynes a</t>
        </is>
      </c>
      <c r="D2571">
        <f>HYPERLINK("https://www.youtube.com/watch?v=RoBEUjxixPY&amp;t=252s", "Go to time")</f>
        <v/>
      </c>
    </row>
    <row r="2572">
      <c r="A2572">
        <f>HYPERLINK("https://www.youtube.com/watch?v=RoBEUjxixPY", "Video")</f>
        <v/>
      </c>
      <c r="B2572" t="inlineStr">
        <is>
          <t>4:24</t>
        </is>
      </c>
      <c r="C2572" t="inlineStr">
        <is>
          <t>Deft direction from Haynes</t>
        </is>
      </c>
      <c r="D2572">
        <f>HYPERLINK("https://www.youtube.com/watch?v=RoBEUjxixPY&amp;t=264s", "Go to time")</f>
        <v/>
      </c>
    </row>
    <row r="2573">
      <c r="A2573">
        <f>HYPERLINK("https://www.youtube.com/watch?v=RoBEUjxixPY", "Video")</f>
        <v/>
      </c>
      <c r="B2573" t="inlineStr">
        <is>
          <t>5:16</t>
        </is>
      </c>
      <c r="C2573" t="inlineStr">
        <is>
          <t>written and directed by the</t>
        </is>
      </c>
      <c r="D2573">
        <f>HYPERLINK("https://www.youtube.com/watch?v=RoBEUjxixPY&amp;t=316s", "Go to time")</f>
        <v/>
      </c>
    </row>
    <row r="2574">
      <c r="A2574">
        <f>HYPERLINK("https://www.youtube.com/watch?v=RoBEUjxixPY", "Video")</f>
        <v/>
      </c>
      <c r="B2574" t="inlineStr">
        <is>
          <t>5:51</t>
        </is>
      </c>
      <c r="C2574" t="inlineStr">
        <is>
          <t>this coming-of-age drama was directed by</t>
        </is>
      </c>
      <c r="D2574">
        <f>HYPERLINK("https://www.youtube.com/watch?v=RoBEUjxixPY&amp;t=351s", "Go to time")</f>
        <v/>
      </c>
    </row>
    <row r="2575">
      <c r="A2575">
        <f>HYPERLINK("https://www.youtube.com/watch?v=RoBEUjxixPY", "Video")</f>
        <v/>
      </c>
      <c r="B2575" t="inlineStr">
        <is>
          <t>7:23</t>
        </is>
      </c>
      <c r="C2575" t="inlineStr">
        <is>
          <t>director who's going through a bit of a</t>
        </is>
      </c>
      <c r="D2575">
        <f>HYPERLINK("https://www.youtube.com/watch?v=RoBEUjxixPY&amp;t=443s", "Go to time")</f>
        <v/>
      </c>
    </row>
    <row r="2576">
      <c r="A2576">
        <f>HYPERLINK("https://www.youtube.com/watch?v=RoBEUjxixPY", "Video")</f>
        <v/>
      </c>
      <c r="B2576" t="inlineStr">
        <is>
          <t>8:37</t>
        </is>
      </c>
      <c r="C2576" t="inlineStr">
        <is>
          <t>on her the film was directed and</t>
        </is>
      </c>
      <c r="D2576">
        <f>HYPERLINK("https://www.youtube.com/watch?v=RoBEUjxixPY&amp;t=517s", "Go to time")</f>
        <v/>
      </c>
    </row>
    <row r="2577">
      <c r="A2577">
        <f>HYPERLINK("https://www.youtube.com/watch?v=RoBEUjxixPY", "Video")</f>
        <v/>
      </c>
      <c r="B2577" t="inlineStr">
        <is>
          <t>10:33</t>
        </is>
      </c>
      <c r="C2577" t="inlineStr">
        <is>
          <t>now this marks a directorial debut of</t>
        </is>
      </c>
      <c r="D2577">
        <f>HYPERLINK("https://www.youtube.com/watch?v=RoBEUjxixPY&amp;t=633s", "Go to time")</f>
        <v/>
      </c>
    </row>
    <row r="2578">
      <c r="A2578">
        <f>HYPERLINK("https://www.youtube.com/watch?v=RoBEUjxixPY", "Video")</f>
        <v/>
      </c>
      <c r="B2578" t="inlineStr">
        <is>
          <t>12:26</t>
        </is>
      </c>
      <c r="C2578" t="inlineStr">
        <is>
          <t>directed by Barry Jenkins this film</t>
        </is>
      </c>
      <c r="D2578">
        <f>HYPERLINK("https://www.youtube.com/watch?v=RoBEUjxixPY&amp;t=746s", "Go to time")</f>
        <v/>
      </c>
    </row>
    <row r="2579">
      <c r="A2579">
        <f>HYPERLINK("https://www.youtube.com/watch?v=RoBEUjxixPY", "Video")</f>
        <v/>
      </c>
      <c r="B2579" t="inlineStr">
        <is>
          <t>14:05</t>
        </is>
      </c>
      <c r="C2579" t="inlineStr">
        <is>
          <t>is the watermelon woman directed by</t>
        </is>
      </c>
      <c r="D2579">
        <f>HYPERLINK("https://www.youtube.com/watch?v=RoBEUjxixPY&amp;t=845s", "Go to time")</f>
        <v/>
      </c>
    </row>
    <row r="2580">
      <c r="A2580">
        <f>HYPERLINK("https://www.youtube.com/watch?v=YzrAKRhAAvA", "Video")</f>
        <v/>
      </c>
      <c r="B2580" t="inlineStr">
        <is>
          <t>1:40</t>
        </is>
      </c>
      <c r="C2580" t="inlineStr">
        <is>
          <t>it the dire one and the glass door thank</t>
        </is>
      </c>
      <c r="D2580">
        <f>HYPERLINK("https://www.youtube.com/watch?v=YzrAKRhAAvA&amp;t=100s", "Go to time")</f>
        <v/>
      </c>
    </row>
    <row r="2581">
      <c r="A2581">
        <f>HYPERLINK("https://www.youtube.com/watch?v=4DwkGzgARh0", "Video")</f>
        <v/>
      </c>
      <c r="B2581" t="inlineStr">
        <is>
          <t>2:39</t>
        </is>
      </c>
      <c r="C2581" t="inlineStr">
        <is>
          <t>directed and co-directed by Guy Ritchie</t>
        </is>
      </c>
      <c r="D2581">
        <f>HYPERLINK("https://www.youtube.com/watch?v=4DwkGzgARh0&amp;t=159s", "Go to time")</f>
        <v/>
      </c>
    </row>
    <row r="2582">
      <c r="A2582">
        <f>HYPERLINK("https://www.youtube.com/watch?v=4DwkGzgARh0", "Video")</f>
        <v/>
      </c>
      <c r="B2582" t="inlineStr">
        <is>
          <t>3:37</t>
        </is>
      </c>
      <c r="C2582" t="inlineStr">
        <is>
          <t>director's cut of the 2017 film Justice</t>
        </is>
      </c>
      <c r="D2582">
        <f>HYPERLINK("https://www.youtube.com/watch?v=4DwkGzgARh0&amp;t=217s", "Go to time")</f>
        <v/>
      </c>
    </row>
    <row r="2583">
      <c r="A2583">
        <f>HYPERLINK("https://www.youtube.com/watch?v=4DwkGzgARh0", "Video")</f>
        <v/>
      </c>
      <c r="B2583" t="inlineStr">
        <is>
          <t>3:40</t>
        </is>
      </c>
      <c r="C2583" t="inlineStr">
        <is>
          <t>League as the original director Zack</t>
        </is>
      </c>
      <c r="D2583">
        <f>HYPERLINK("https://www.youtube.com/watch?v=4DwkGzgARh0&amp;t=220s", "Go to time")</f>
        <v/>
      </c>
    </row>
    <row r="2584">
      <c r="A2584">
        <f>HYPERLINK("https://www.youtube.com/watch?v=rTmlOv7BCb0", "Video")</f>
        <v/>
      </c>
      <c r="B2584" t="inlineStr">
        <is>
          <t>1:08</t>
        </is>
      </c>
      <c r="C2584" t="inlineStr">
        <is>
          <t>coming from this direction do the growl</t>
        </is>
      </c>
      <c r="D2584">
        <f>HYPERLINK("https://www.youtube.com/watch?v=rTmlOv7BCb0&amp;t=68s", "Go to time")</f>
        <v/>
      </c>
    </row>
    <row r="2585">
      <c r="A2585">
        <f>HYPERLINK("https://www.youtube.com/watch?v=-qPQiFB8Zpg", "Video")</f>
        <v/>
      </c>
      <c r="B2585" t="inlineStr">
        <is>
          <t>3:15</t>
        </is>
      </c>
      <c r="C2585" t="inlineStr">
        <is>
          <t>direct correlation between how unhappy</t>
        </is>
      </c>
      <c r="D2585">
        <f>HYPERLINK("https://www.youtube.com/watch?v=-qPQiFB8Zpg&amp;t=195s", "Go to time")</f>
        <v/>
      </c>
    </row>
    <row r="2586">
      <c r="A2586">
        <f>HYPERLINK("https://www.youtube.com/watch?v=7s70hdhvQVk", "Video")</f>
        <v/>
      </c>
      <c r="B2586" t="inlineStr">
        <is>
          <t>4:07</t>
        </is>
      </c>
      <c r="C2586" t="inlineStr">
        <is>
          <t>Direction Dr Ron sounds great pat that's</t>
        </is>
      </c>
      <c r="D2586">
        <f>HYPERLINK("https://www.youtube.com/watch?v=7s70hdhvQVk&amp;t=247s", "Go to time")</f>
        <v/>
      </c>
    </row>
    <row r="2587">
      <c r="A2587">
        <f>HYPERLINK("https://www.youtube.com/watch?v=S1qXnwq2CSQ", "Video")</f>
        <v/>
      </c>
      <c r="B2587" t="inlineStr">
        <is>
          <t>12:56</t>
        </is>
      </c>
      <c r="C2587" t="inlineStr">
        <is>
          <t>own Direction with it but they're but</t>
        </is>
      </c>
      <c r="D2587">
        <f>HYPERLINK("https://www.youtube.com/watch?v=S1qXnwq2CSQ&amp;t=776s", "Go to time")</f>
        <v/>
      </c>
    </row>
    <row r="2588">
      <c r="A2588">
        <f>HYPERLINK("https://www.youtube.com/watch?v=S1qXnwq2CSQ", "Video")</f>
        <v/>
      </c>
      <c r="B2588" t="inlineStr">
        <is>
          <t>33:06</t>
        </is>
      </c>
      <c r="C2588" t="inlineStr">
        <is>
          <t>directly robbed but that's I'll be</t>
        </is>
      </c>
      <c r="D2588">
        <f>HYPERLINK("https://www.youtube.com/watch?v=S1qXnwq2CSQ&amp;t=1986s", "Go to time")</f>
        <v/>
      </c>
    </row>
    <row r="2589">
      <c r="A2589">
        <f>HYPERLINK("https://www.youtube.com/watch?v=9MHlEXHqA8A", "Video")</f>
        <v/>
      </c>
      <c r="B2589" t="inlineStr">
        <is>
          <t>0:16</t>
        </is>
      </c>
      <c r="C2589" t="inlineStr">
        <is>
          <t>all my time as directories</t>
        </is>
      </c>
      <c r="D2589">
        <f>HYPERLINK("https://www.youtube.com/watch?v=9MHlEXHqA8A&amp;t=16s", "Go to time")</f>
        <v/>
      </c>
    </row>
    <row r="2590">
      <c r="A2590">
        <f>HYPERLINK("https://www.youtube.com/watch?v=8M8iJoxE544", "Video")</f>
        <v/>
      </c>
      <c r="B2590" t="inlineStr">
        <is>
          <t>2:09</t>
        </is>
      </c>
      <c r="C2590" t="inlineStr">
        <is>
          <t>have even smiled in my direction I would</t>
        </is>
      </c>
      <c r="D2590">
        <f>HYPERLINK("https://www.youtube.com/watch?v=8M8iJoxE544&amp;t=129s", "Go to time")</f>
        <v/>
      </c>
    </row>
    <row r="2591">
      <c r="A2591">
        <f>HYPERLINK("https://www.youtube.com/watch?v=RGn-eDhbydA", "Video")</f>
        <v/>
      </c>
      <c r="B2591" t="inlineStr">
        <is>
          <t>0:07</t>
        </is>
      </c>
      <c r="C2591" t="inlineStr">
        <is>
          <t>director of sales shower curtain ring</t>
        </is>
      </c>
      <c r="D2591">
        <f>HYPERLINK("https://www.youtube.com/watch?v=RGn-eDhbydA&amp;t=7s", "Go to time")</f>
        <v/>
      </c>
    </row>
    <row r="2592">
      <c r="A2592">
        <f>HYPERLINK("https://www.youtube.com/watch?v=DrulyUCwDL8", "Video")</f>
        <v/>
      </c>
      <c r="B2592" t="inlineStr">
        <is>
          <t>3:09</t>
        </is>
      </c>
      <c r="C2592" t="inlineStr">
        <is>
          <t>um when I was speaking with the director</t>
        </is>
      </c>
      <c r="D2592">
        <f>HYPERLINK("https://www.youtube.com/watch?v=DrulyUCwDL8&amp;t=189s", "Go to time")</f>
        <v/>
      </c>
    </row>
    <row r="2593">
      <c r="A2593">
        <f>HYPERLINK("https://www.youtube.com/watch?v=DrulyUCwDL8", "Video")</f>
        <v/>
      </c>
      <c r="B2593" t="inlineStr">
        <is>
          <t>16:48</t>
        </is>
      </c>
      <c r="C2593" t="inlineStr">
        <is>
          <t>Moon the movie I directed because that</t>
        </is>
      </c>
      <c r="D2593">
        <f>HYPERLINK("https://www.youtube.com/watch?v=DrulyUCwDL8&amp;t=1008s", "Go to time")</f>
        <v/>
      </c>
    </row>
    <row r="2594">
      <c r="A2594">
        <f>HYPERLINK("https://www.youtube.com/watch?v=DrulyUCwDL8", "Video")</f>
        <v/>
      </c>
      <c r="B2594" t="inlineStr">
        <is>
          <t>18:08</t>
        </is>
      </c>
      <c r="C2594" t="inlineStr">
        <is>
          <t>actor director you produce things</t>
        </is>
      </c>
      <c r="D2594">
        <f>HYPERLINK("https://www.youtube.com/watch?v=DrulyUCwDL8&amp;t=1088s", "Go to time")</f>
        <v/>
      </c>
    </row>
    <row r="2595">
      <c r="A2595">
        <f>HYPERLINK("https://www.youtube.com/watch?v=DrulyUCwDL8", "Video")</f>
        <v/>
      </c>
      <c r="B2595" t="inlineStr">
        <is>
          <t>19:34</t>
        </is>
      </c>
      <c r="C2595" t="inlineStr">
        <is>
          <t>the the ne the directing not losing</t>
        </is>
      </c>
      <c r="D2595">
        <f>HYPERLINK("https://www.youtube.com/watch?v=DrulyUCwDL8&amp;t=1174s", "Go to time")</f>
        <v/>
      </c>
    </row>
    <row r="2596">
      <c r="A2596">
        <f>HYPERLINK("https://www.youtube.com/watch?v=Wtt6ZsbRWtQ", "Video")</f>
        <v/>
      </c>
      <c r="B2596" t="inlineStr">
        <is>
          <t>0:45</t>
        </is>
      </c>
      <c r="C2596" t="inlineStr">
        <is>
          <t>with the right director writer and</t>
        </is>
      </c>
      <c r="D2596">
        <f>HYPERLINK("https://www.youtube.com/watch?v=Wtt6ZsbRWtQ&amp;t=45s", "Go to time")</f>
        <v/>
      </c>
    </row>
    <row r="2597">
      <c r="A2597">
        <f>HYPERLINK("https://www.youtube.com/watch?v=Wtt6ZsbRWtQ", "Video")</f>
        <v/>
      </c>
      <c r="B2597" t="inlineStr">
        <is>
          <t>1:32</t>
        </is>
      </c>
      <c r="C2597" t="inlineStr">
        <is>
          <t>film was adapted produced and directed</t>
        </is>
      </c>
      <c r="D2597">
        <f>HYPERLINK("https://www.youtube.com/watch?v=Wtt6ZsbRWtQ&amp;t=92s", "Go to time")</f>
        <v/>
      </c>
    </row>
    <row r="2598">
      <c r="A2598">
        <f>HYPERLINK("https://www.youtube.com/watch?v=Wtt6ZsbRWtQ", "Video")</f>
        <v/>
      </c>
      <c r="B2598" t="inlineStr">
        <is>
          <t>3:10</t>
        </is>
      </c>
      <c r="C2598" t="inlineStr">
        <is>
          <t>including best picture best director and</t>
        </is>
      </c>
      <c r="D2598">
        <f>HYPERLINK("https://www.youtube.com/watch?v=Wtt6ZsbRWtQ&amp;t=190s", "Go to time")</f>
        <v/>
      </c>
    </row>
    <row r="2599">
      <c r="A2599">
        <f>HYPERLINK("https://www.youtube.com/watch?v=Wtt6ZsbRWtQ", "Video")</f>
        <v/>
      </c>
      <c r="B2599" t="inlineStr">
        <is>
          <t>3:54</t>
        </is>
      </c>
      <c r="C2599" t="inlineStr">
        <is>
          <t>name and was directed by david fincher</t>
        </is>
      </c>
      <c r="D2599">
        <f>HYPERLINK("https://www.youtube.com/watch?v=Wtt6ZsbRWtQ&amp;t=234s", "Go to time")</f>
        <v/>
      </c>
    </row>
    <row r="2600">
      <c r="A2600">
        <f>HYPERLINK("https://www.youtube.com/watch?v=Wtt6ZsbRWtQ", "Video")</f>
        <v/>
      </c>
      <c r="B2600" t="inlineStr">
        <is>
          <t>4:30</t>
        </is>
      </c>
      <c r="C2600" t="inlineStr">
        <is>
          <t>direct in part because of his enthusiasm</t>
        </is>
      </c>
      <c r="D2600">
        <f>HYPERLINK("https://www.youtube.com/watch?v=Wtt6ZsbRWtQ&amp;t=270s", "Go to time")</f>
        <v/>
      </c>
    </row>
    <row r="2601">
      <c r="A2601">
        <f>HYPERLINK("https://www.youtube.com/watch?v=Wtt6ZsbRWtQ", "Video")</f>
        <v/>
      </c>
      <c r="B2601" t="inlineStr">
        <is>
          <t>6:15</t>
        </is>
      </c>
      <c r="C2601" t="inlineStr">
        <is>
          <t>directed by francis ford coppola and</t>
        </is>
      </c>
      <c r="D2601">
        <f>HYPERLINK("https://www.youtube.com/watch?v=Wtt6ZsbRWtQ&amp;t=375s", "Go to time")</f>
        <v/>
      </c>
    </row>
    <row r="2602">
      <c r="A2602">
        <f>HYPERLINK("https://www.youtube.com/watch?v=Wtt6ZsbRWtQ", "Video")</f>
        <v/>
      </c>
      <c r="B2602" t="inlineStr">
        <is>
          <t>8:14</t>
        </is>
      </c>
      <c r="C2602" t="inlineStr">
        <is>
          <t>films were all directed by peter jackson</t>
        </is>
      </c>
      <c r="D2602">
        <f>HYPERLINK("https://www.youtube.com/watch?v=Wtt6ZsbRWtQ&amp;t=494s", "Go to time")</f>
        <v/>
      </c>
    </row>
    <row r="2603">
      <c r="A2603">
        <f>HYPERLINK("https://www.youtube.com/watch?v=Wtt6ZsbRWtQ", "Video")</f>
        <v/>
      </c>
      <c r="B2603" t="inlineStr">
        <is>
          <t>10:39</t>
        </is>
      </c>
      <c r="C2603" t="inlineStr">
        <is>
          <t>directed by aang lee and is based on</t>
        </is>
      </c>
      <c r="D2603">
        <f>HYPERLINK("https://www.youtube.com/watch?v=Wtt6ZsbRWtQ&amp;t=639s", "Go to time")</f>
        <v/>
      </c>
    </row>
    <row r="2604">
      <c r="A2604">
        <f>HYPERLINK("https://www.youtube.com/watch?v=Wtt6ZsbRWtQ", "Video")</f>
        <v/>
      </c>
      <c r="B2604" t="inlineStr">
        <is>
          <t>13:20</t>
        </is>
      </c>
      <c r="C2604" t="inlineStr">
        <is>
          <t>directed by danny boyle and is based on</t>
        </is>
      </c>
      <c r="D2604">
        <f>HYPERLINK("https://www.youtube.com/watch?v=Wtt6ZsbRWtQ&amp;t=800s", "Go to time")</f>
        <v/>
      </c>
    </row>
    <row r="2605">
      <c r="A2605">
        <f>HYPERLINK("https://www.youtube.com/watch?v=Wtt6ZsbRWtQ", "Video")</f>
        <v/>
      </c>
      <c r="B2605" t="inlineStr">
        <is>
          <t>15:42</t>
        </is>
      </c>
      <c r="C2605" t="inlineStr">
        <is>
          <t>schindler's list it was directed and</t>
        </is>
      </c>
      <c r="D2605">
        <f>HYPERLINK("https://www.youtube.com/watch?v=Wtt6ZsbRWtQ&amp;t=942s", "Go to time")</f>
        <v/>
      </c>
    </row>
    <row r="2606">
      <c r="A2606">
        <f>HYPERLINK("https://www.youtube.com/watch?v=Wtt6ZsbRWtQ", "Video")</f>
        <v/>
      </c>
      <c r="B2606" t="inlineStr">
        <is>
          <t>16:57</t>
        </is>
      </c>
      <c r="C2606" t="inlineStr">
        <is>
          <t>the director wasn't sure if he was ready</t>
        </is>
      </c>
      <c r="D2606">
        <f>HYPERLINK("https://www.youtube.com/watch?v=Wtt6ZsbRWtQ&amp;t=1017s", "Go to time")</f>
        <v/>
      </c>
    </row>
    <row r="2607">
      <c r="A2607">
        <f>HYPERLINK("https://www.youtube.com/watch?v=Wtt6ZsbRWtQ", "Video")</f>
        <v/>
      </c>
      <c r="B2607" t="inlineStr">
        <is>
          <t>17:01</t>
        </is>
      </c>
      <c r="C2607" t="inlineStr">
        <is>
          <t>passing it along to other directors</t>
        </is>
      </c>
      <c r="D2607">
        <f>HYPERLINK("https://www.youtube.com/watch?v=Wtt6ZsbRWtQ&amp;t=1021s", "Go to time")</f>
        <v/>
      </c>
    </row>
    <row r="2608">
      <c r="A2608">
        <f>HYPERLINK("https://www.youtube.com/watch?v=Wtt6ZsbRWtQ", "Video")</f>
        <v/>
      </c>
      <c r="B2608" t="inlineStr">
        <is>
          <t>17:29</t>
        </is>
      </c>
      <c r="C2608" t="inlineStr">
        <is>
          <t>best director best original score and</t>
        </is>
      </c>
      <c r="D2608">
        <f>HYPERLINK("https://www.youtube.com/watch?v=Wtt6ZsbRWtQ&amp;t=1049s", "Go to time")</f>
        <v/>
      </c>
    </row>
    <row r="2609">
      <c r="A2609">
        <f>HYPERLINK("https://www.youtube.com/watch?v=Wtt6ZsbRWtQ", "Video")</f>
        <v/>
      </c>
      <c r="B2609" t="inlineStr">
        <is>
          <t>18:01</t>
        </is>
      </c>
      <c r="C2609" t="inlineStr">
        <is>
          <t>directed by greta gerwig and her second</t>
        </is>
      </c>
      <c r="D2609">
        <f>HYPERLINK("https://www.youtube.com/watch?v=Wtt6ZsbRWtQ&amp;t=1081s", "Go to time")</f>
        <v/>
      </c>
    </row>
    <row r="2610">
      <c r="A2610">
        <f>HYPERLINK("https://www.youtube.com/watch?v=Wtt6ZsbRWtQ", "Video")</f>
        <v/>
      </c>
      <c r="B2610" t="inlineStr">
        <is>
          <t>18:03</t>
        </is>
      </c>
      <c r="C2610" t="inlineStr">
        <is>
          <t>solo directing effort after 2017's lady</t>
        </is>
      </c>
      <c r="D2610">
        <f>HYPERLINK("https://www.youtube.com/watch?v=Wtt6ZsbRWtQ&amp;t=1083s", "Go to time")</f>
        <v/>
      </c>
    </row>
    <row r="2611">
      <c r="A2611">
        <f>HYPERLINK("https://www.youtube.com/watch?v=Wtt6ZsbRWtQ", "Video")</f>
        <v/>
      </c>
      <c r="B2611" t="inlineStr">
        <is>
          <t>18:31</t>
        </is>
      </c>
      <c r="C2611" t="inlineStr">
        <is>
          <t>director and she urged her agent to get</t>
        </is>
      </c>
      <c r="D2611">
        <f>HYPERLINK("https://www.youtube.com/watch?v=Wtt6ZsbRWtQ&amp;t=1111s", "Go to time")</f>
        <v/>
      </c>
    </row>
    <row r="2612">
      <c r="A2612">
        <f>HYPERLINK("https://www.youtube.com/watch?v=Wtt6ZsbRWtQ", "Video")</f>
        <v/>
      </c>
      <c r="B2612" t="inlineStr">
        <is>
          <t>20:33</t>
        </is>
      </c>
      <c r="C2612" t="inlineStr">
        <is>
          <t>kill a mockingbird the film is directed</t>
        </is>
      </c>
      <c r="D2612">
        <f>HYPERLINK("https://www.youtube.com/watch?v=Wtt6ZsbRWtQ&amp;t=1233s", "Go to time")</f>
        <v/>
      </c>
    </row>
    <row r="2613">
      <c r="A2613">
        <f>HYPERLINK("https://www.youtube.com/watch?v=Wtt6ZsbRWtQ", "Video")</f>
        <v/>
      </c>
      <c r="B2613" t="inlineStr">
        <is>
          <t>21:20</t>
        </is>
      </c>
      <c r="C2613" t="inlineStr">
        <is>
          <t>director robert mulligan to say that he</t>
        </is>
      </c>
      <c r="D2613">
        <f>HYPERLINK("https://www.youtube.com/watch?v=Wtt6ZsbRWtQ&amp;t=1280s", "Go to time")</f>
        <v/>
      </c>
    </row>
    <row r="2614">
      <c r="A2614">
        <f>HYPERLINK("https://www.youtube.com/watch?v=Wtt6ZsbRWtQ", "Video")</f>
        <v/>
      </c>
      <c r="B2614" t="inlineStr">
        <is>
          <t>22:10</t>
        </is>
      </c>
      <c r="C2614" t="inlineStr">
        <is>
          <t>also won for best art direction and</t>
        </is>
      </c>
      <c r="D2614">
        <f>HYPERLINK("https://www.youtube.com/watch?v=Wtt6ZsbRWtQ&amp;t=1330s", "Go to time")</f>
        <v/>
      </c>
    </row>
    <row r="2615">
      <c r="A2615">
        <f>HYPERLINK("https://www.youtube.com/watch?v=Wtt6ZsbRWtQ", "Video")</f>
        <v/>
      </c>
      <c r="B2615" t="inlineStr">
        <is>
          <t>22:47</t>
        </is>
      </c>
      <c r="C2615" t="inlineStr">
        <is>
          <t>is directed by joel and ethan cohen and</t>
        </is>
      </c>
      <c r="D2615">
        <f>HYPERLINK("https://www.youtube.com/watch?v=Wtt6ZsbRWtQ&amp;t=1367s", "Go to time")</f>
        <v/>
      </c>
    </row>
    <row r="2616">
      <c r="A2616">
        <f>HYPERLINK("https://www.youtube.com/watch?v=Wtt6ZsbRWtQ", "Video")</f>
        <v/>
      </c>
      <c r="B2616" t="inlineStr">
        <is>
          <t>23:55</t>
        </is>
      </c>
      <c r="C2616" t="inlineStr">
        <is>
          <t>director and best adapted screenplay for</t>
        </is>
      </c>
      <c r="D2616">
        <f>HYPERLINK("https://www.youtube.com/watch?v=Wtt6ZsbRWtQ&amp;t=1435s", "Go to time")</f>
        <v/>
      </c>
    </row>
    <row r="2617">
      <c r="A2617">
        <f>HYPERLINK("https://www.youtube.com/watch?v=eAEhtOMuS7I", "Video")</f>
        <v/>
      </c>
      <c r="B2617" t="inlineStr">
        <is>
          <t>1:45</t>
        </is>
      </c>
      <c r="C2617" t="inlineStr">
        <is>
          <t>city it was directed by David Leach in</t>
        </is>
      </c>
      <c r="D2617">
        <f>HYPERLINK("https://www.youtube.com/watch?v=eAEhtOMuS7I&amp;t=105s", "Go to time")</f>
        <v/>
      </c>
    </row>
    <row r="2618">
      <c r="A2618">
        <f>HYPERLINK("https://www.youtube.com/watch?v=eAEhtOMuS7I", "Video")</f>
        <v/>
      </c>
      <c r="B2618" t="inlineStr">
        <is>
          <t>1:58</t>
        </is>
      </c>
      <c r="C2618" t="inlineStr">
        <is>
          <t>Wick films probably because director</t>
        </is>
      </c>
      <c r="D2618">
        <f>HYPERLINK("https://www.youtube.com/watch?v=eAEhtOMuS7I&amp;t=118s", "Go to time")</f>
        <v/>
      </c>
    </row>
    <row r="2619">
      <c r="A2619">
        <f>HYPERLINK("https://www.youtube.com/watch?v=eAEhtOMuS7I", "Video")</f>
        <v/>
      </c>
      <c r="B2619" t="inlineStr">
        <is>
          <t>4:30</t>
        </is>
      </c>
      <c r="C2619" t="inlineStr">
        <is>
          <t>comedy was written and directed by Paul</t>
        </is>
      </c>
      <c r="D2619">
        <f>HYPERLINK("https://www.youtube.com/watch?v=eAEhtOMuS7I&amp;t=270s", "Go to time")</f>
        <v/>
      </c>
    </row>
    <row r="2620">
      <c r="A2620">
        <f>HYPERLINK("https://www.youtube.com/watch?v=GxxuynByngk", "Video")</f>
        <v/>
      </c>
      <c r="B2620" t="inlineStr">
        <is>
          <t>7:15</t>
        </is>
      </c>
      <c r="C2620" t="inlineStr">
        <is>
          <t>writer director and so we shot that in</t>
        </is>
      </c>
      <c r="D2620">
        <f>HYPERLINK("https://www.youtube.com/watch?v=GxxuynByngk&amp;t=435s", "Go to time")</f>
        <v/>
      </c>
    </row>
    <row r="2621">
      <c r="A2621">
        <f>HYPERLINK("https://www.youtube.com/watch?v=GxxuynByngk", "Video")</f>
        <v/>
      </c>
      <c r="B2621" t="inlineStr">
        <is>
          <t>8:21</t>
        </is>
      </c>
      <c r="C2621" t="inlineStr">
        <is>
          <t>directed and that has been extraordinary</t>
        </is>
      </c>
      <c r="D2621">
        <f>HYPERLINK("https://www.youtube.com/watch?v=GxxuynByngk&amp;t=501s", "Go to time")</f>
        <v/>
      </c>
    </row>
    <row r="2622">
      <c r="A2622">
        <f>HYPERLINK("https://www.youtube.com/watch?v=GxxuynByngk", "Video")</f>
        <v/>
      </c>
      <c r="B2622" t="inlineStr">
        <is>
          <t>8:23</t>
        </is>
      </c>
      <c r="C2622" t="inlineStr">
        <is>
          <t>for me to watch him as a director so</t>
        </is>
      </c>
      <c r="D2622">
        <f>HYPERLINK("https://www.youtube.com/watch?v=GxxuynByngk&amp;t=503s", "Go to time")</f>
        <v/>
      </c>
    </row>
    <row r="2623">
      <c r="A2623">
        <f>HYPERLINK("https://www.youtube.com/watch?v=GxxuynByngk", "Video")</f>
        <v/>
      </c>
      <c r="B2623" t="inlineStr">
        <is>
          <t>15:33</t>
        </is>
      </c>
      <c r="C2623" t="inlineStr">
        <is>
          <t>and as a person and as a director and</t>
        </is>
      </c>
      <c r="D2623">
        <f>HYPERLINK("https://www.youtube.com/watch?v=GxxuynByngk&amp;t=933s", "Go to time")</f>
        <v/>
      </c>
    </row>
    <row r="2624">
      <c r="A2624">
        <f>HYPERLINK("https://www.youtube.com/watch?v=GxxuynByngk", "Video")</f>
        <v/>
      </c>
      <c r="B2624" t="inlineStr">
        <is>
          <t>15:39</t>
        </is>
      </c>
      <c r="C2624" t="inlineStr">
        <is>
          <t>shots I hadn't directed anything yet but</t>
        </is>
      </c>
      <c r="D2624">
        <f>HYPERLINK("https://www.youtube.com/watch?v=GxxuynByngk&amp;t=939s", "Go to time")</f>
        <v/>
      </c>
    </row>
    <row r="2625">
      <c r="A2625">
        <f>HYPERLINK("https://www.youtube.com/watch?v=GxxuynByngk", "Video")</f>
        <v/>
      </c>
      <c r="B2625" t="inlineStr">
        <is>
          <t>25:00</t>
        </is>
      </c>
      <c r="C2625" t="inlineStr">
        <is>
          <t>going to have to direct every longing</t>
        </is>
      </c>
      <c r="D2625">
        <f>HYPERLINK("https://www.youtube.com/watch?v=GxxuynByngk&amp;t=1500s", "Go to time")</f>
        <v/>
      </c>
    </row>
    <row r="2626">
      <c r="A2626">
        <f>HYPERLINK("https://www.youtube.com/watch?v=_StftzGTnPw", "Video")</f>
        <v/>
      </c>
      <c r="B2626" t="inlineStr">
        <is>
          <t>3:40</t>
        </is>
      </c>
      <c r="C2626" t="inlineStr">
        <is>
          <t>redirect with respect judge this case is</t>
        </is>
      </c>
      <c r="D2626">
        <f>HYPERLINK("https://www.youtube.com/watch?v=_StftzGTnPw&amp;t=220s", "Go to time")</f>
        <v/>
      </c>
    </row>
    <row r="2627">
      <c r="A2627">
        <f>HYPERLINK("https://www.youtube.com/watch?v=PjhxQXt663U", "Video")</f>
        <v/>
      </c>
      <c r="B2627" t="inlineStr">
        <is>
          <t>10:01</t>
        </is>
      </c>
      <c r="C2627" t="inlineStr">
        <is>
          <t>did a movie called stay directed by Mark</t>
        </is>
      </c>
      <c r="D2627">
        <f>HYPERLINK("https://www.youtube.com/watch?v=PjhxQXt663U&amp;t=601s", "Go to time")</f>
        <v/>
      </c>
    </row>
    <row r="2628">
      <c r="A2628">
        <f>HYPERLINK("https://www.youtube.com/watch?v=PjhxQXt663U", "Video")</f>
        <v/>
      </c>
      <c r="B2628" t="inlineStr">
        <is>
          <t>12:10</t>
        </is>
      </c>
      <c r="C2628" t="inlineStr">
        <is>
          <t>his first one directing it's going to</t>
        </is>
      </c>
      <c r="D2628">
        <f>HYPERLINK("https://www.youtube.com/watch?v=PjhxQXt663U&amp;t=730s", "Go to time")</f>
        <v/>
      </c>
    </row>
    <row r="2629">
      <c r="A2629">
        <f>HYPERLINK("https://www.youtube.com/watch?v=PjhxQXt663U", "Video")</f>
        <v/>
      </c>
      <c r="B2629" t="inlineStr">
        <is>
          <t>21:37</t>
        </is>
      </c>
      <c r="C2629" t="inlineStr">
        <is>
          <t>incredible writers and directors just</t>
        </is>
      </c>
      <c r="D2629">
        <f>HYPERLINK("https://www.youtube.com/watch?v=PjhxQXt663U&amp;t=1297s", "Go to time")</f>
        <v/>
      </c>
    </row>
    <row r="2630">
      <c r="A2630">
        <f>HYPERLINK("https://www.youtube.com/watch?v=PjhxQXt663U", "Video")</f>
        <v/>
      </c>
      <c r="B2630" t="inlineStr">
        <is>
          <t>24:49</t>
        </is>
      </c>
      <c r="C2630" t="inlineStr">
        <is>
          <t>right and so Khloe had never directed a</t>
        </is>
      </c>
      <c r="D2630">
        <f>HYPERLINK("https://www.youtube.com/watch?v=PjhxQXt663U&amp;t=1489s", "Go to time")</f>
        <v/>
      </c>
    </row>
    <row r="2631">
      <c r="A2631">
        <f>HYPERLINK("https://www.youtube.com/watch?v=PjhxQXt663U", "Video")</f>
        <v/>
      </c>
      <c r="B2631" t="inlineStr">
        <is>
          <t>25:21</t>
        </is>
      </c>
      <c r="C2631" t="inlineStr">
        <is>
          <t>films you know this Ryan's directed Star</t>
        </is>
      </c>
      <c r="D2631">
        <f>HYPERLINK("https://www.youtube.com/watch?v=PjhxQXt663U&amp;t=1521s", "Go to time")</f>
        <v/>
      </c>
    </row>
    <row r="2632">
      <c r="A2632">
        <f>HYPERLINK("https://www.youtube.com/watch?v=ZtFSP8UjHBQ", "Video")</f>
        <v/>
      </c>
      <c r="B2632" t="inlineStr">
        <is>
          <t>1:56</t>
        </is>
      </c>
      <c r="C2632" t="inlineStr">
        <is>
          <t>directed energy blasts at us our armor</t>
        </is>
      </c>
      <c r="D2632">
        <f>HYPERLINK("https://www.youtube.com/watch?v=ZtFSP8UjHBQ&amp;t=116s", "Go to time")</f>
        <v/>
      </c>
    </row>
    <row r="2633">
      <c r="A2633">
        <f>HYPERLINK("https://www.youtube.com/watch?v=JyzonDaMBRI", "Video")</f>
        <v/>
      </c>
      <c r="B2633" t="inlineStr">
        <is>
          <t>0:09</t>
        </is>
      </c>
      <c r="C2633" t="inlineStr">
        <is>
          <t>directly from the plantation right under</t>
        </is>
      </c>
      <c r="D2633">
        <f>HYPERLINK("https://www.youtube.com/watch?v=JyzonDaMBRI&amp;t=9s", "Go to time")</f>
        <v/>
      </c>
    </row>
    <row r="2634">
      <c r="A2634">
        <f>HYPERLINK("https://www.youtube.com/watch?v=485KJTKt6RE", "Video")</f>
        <v/>
      </c>
      <c r="B2634" t="inlineStr">
        <is>
          <t>0:38</t>
        </is>
      </c>
      <c r="C2634" t="inlineStr">
        <is>
          <t>the direction of the residence of the</t>
        </is>
      </c>
      <c r="D2634">
        <f>HYPERLINK("https://www.youtube.com/watch?v=485KJTKt6RE&amp;t=38s", "Go to time")</f>
        <v/>
      </c>
    </row>
    <row r="2635">
      <c r="A2635">
        <f>HYPERLINK("https://www.youtube.com/watch?v=NI2HHCKPplM", "Video")</f>
        <v/>
      </c>
      <c r="B2635" t="inlineStr">
        <is>
          <t>0:13</t>
        </is>
      </c>
      <c r="C2635" t="inlineStr">
        <is>
          <t>to walk directly into an ambush who's</t>
        </is>
      </c>
      <c r="D2635">
        <f>HYPERLINK("https://www.youtube.com/watch?v=NI2HHCKPplM&amp;t=13s", "Go to time")</f>
        <v/>
      </c>
    </row>
    <row r="2636">
      <c r="A2636">
        <f>HYPERLINK("https://www.youtube.com/watch?v=DsJSB1leAko", "Video")</f>
        <v/>
      </c>
      <c r="B2636" t="inlineStr">
        <is>
          <t>39:38</t>
        </is>
      </c>
      <c r="C2636" t="inlineStr">
        <is>
          <t>direction you there</t>
        </is>
      </c>
      <c r="D2636">
        <f>HYPERLINK("https://www.youtube.com/watch?v=DsJSB1leAko&amp;t=2378s", "Go to time")</f>
        <v/>
      </c>
    </row>
    <row r="2637">
      <c r="A2637">
        <f>HYPERLINK("https://www.youtube.com/watch?v=Zbd83LP2Yi8", "Video")</f>
        <v/>
      </c>
      <c r="B2637" t="inlineStr">
        <is>
          <t>0:20</t>
        </is>
      </c>
      <c r="C2637" t="inlineStr">
        <is>
          <t>directly behind the driver that's a</t>
        </is>
      </c>
      <c r="D2637">
        <f>HYPERLINK("https://www.youtube.com/watch?v=Zbd83LP2Yi8&amp;t=20s", "Go to time")</f>
        <v/>
      </c>
    </row>
    <row r="2638">
      <c r="A2638">
        <f>HYPERLINK("https://www.youtube.com/watch?v=00-P-YEXADw", "Video")</f>
        <v/>
      </c>
      <c r="B2638" t="inlineStr">
        <is>
          <t>18:57</t>
        </is>
      </c>
      <c r="C2638" t="inlineStr">
        <is>
          <t>a wonderful director she is and how</t>
        </is>
      </c>
      <c r="D2638">
        <f>HYPERLINK("https://www.youtube.com/watch?v=00-P-YEXADw&amp;t=1137s", "Go to time")</f>
        <v/>
      </c>
    </row>
    <row r="2639">
      <c r="A2639">
        <f>HYPERLINK("https://www.youtube.com/watch?v=00-P-YEXADw", "Video")</f>
        <v/>
      </c>
      <c r="B2639" t="inlineStr">
        <is>
          <t>25:32</t>
        </is>
      </c>
      <c r="C2639" t="inlineStr">
        <is>
          <t>the script good and is the director</t>
        </is>
      </c>
      <c r="D2639">
        <f>HYPERLINK("https://www.youtube.com/watch?v=00-P-YEXADw&amp;t=1532s", "Go to time")</f>
        <v/>
      </c>
    </row>
    <row r="2640">
      <c r="A2640">
        <f>HYPERLINK("https://www.youtube.com/watch?v=00-P-YEXADw", "Video")</f>
        <v/>
      </c>
      <c r="B2640" t="inlineStr">
        <is>
          <t>25:37</t>
        </is>
      </c>
      <c r="C2640" t="inlineStr">
        <is>
          <t>a director that you're like itching for</t>
        </is>
      </c>
      <c r="D2640">
        <f>HYPERLINK("https://www.youtube.com/watch?v=00-P-YEXADw&amp;t=1537s", "Go to time")</f>
        <v/>
      </c>
    </row>
    <row r="2641">
      <c r="A2641">
        <f>HYPERLINK("https://www.youtube.com/watch?v=Et0Dhmdpa9M", "Video")</f>
        <v/>
      </c>
      <c r="B2641" t="inlineStr">
        <is>
          <t>5:05</t>
        </is>
      </c>
      <c r="C2641" t="inlineStr">
        <is>
          <t>Direction exit pursued by Paddington</t>
        </is>
      </c>
      <c r="D2641">
        <f>HYPERLINK("https://www.youtube.com/watch?v=Et0Dhmdpa9M&amp;t=305s", "Go to time")</f>
        <v/>
      </c>
    </row>
    <row r="2642">
      <c r="A2642">
        <f>HYPERLINK("https://www.youtube.com/watch?v=2r-O7SdmI7s", "Video")</f>
        <v/>
      </c>
      <c r="B2642" t="inlineStr">
        <is>
          <t>1:24</t>
        </is>
      </c>
      <c r="C2642" t="inlineStr">
        <is>
          <t>friend in paris who's the director of</t>
        </is>
      </c>
      <c r="D2642">
        <f>HYPERLINK("https://www.youtube.com/watch?v=2r-O7SdmI7s&amp;t=84s", "Go to time")</f>
        <v/>
      </c>
    </row>
    <row r="2643">
      <c r="A2643">
        <f>HYPERLINK("https://www.youtube.com/watch?v=AAJf0X03SX4", "Video")</f>
        <v/>
      </c>
      <c r="B2643" t="inlineStr">
        <is>
          <t>1:28</t>
        </is>
      </c>
      <c r="C2643" t="inlineStr">
        <is>
          <t>movie comes from a thai film director</t>
        </is>
      </c>
      <c r="D2643">
        <f>HYPERLINK("https://www.youtube.com/watch?v=AAJf0X03SX4&amp;t=88s", "Go to time")</f>
        <v/>
      </c>
    </row>
    <row r="2644">
      <c r="A2644">
        <f>HYPERLINK("https://www.youtube.com/watch?v=AAJf0X03SX4", "Video")</f>
        <v/>
      </c>
      <c r="B2644" t="inlineStr">
        <is>
          <t>3:56</t>
        </is>
      </c>
      <c r="C2644" t="inlineStr">
        <is>
          <t>on a novel directed by erica vallette</t>
        </is>
      </c>
      <c r="D2644">
        <f>HYPERLINK("https://www.youtube.com/watch?v=AAJf0X03SX4&amp;t=236s", "Go to time")</f>
        <v/>
      </c>
    </row>
    <row r="2645">
      <c r="A2645">
        <f>HYPERLINK("https://www.youtube.com/watch?v=AAJf0X03SX4", "Video")</f>
        <v/>
      </c>
      <c r="B2645" t="inlineStr">
        <is>
          <t>4:53</t>
        </is>
      </c>
      <c r="C2645" t="inlineStr">
        <is>
          <t>to direct but chose to focus on hellboy</t>
        </is>
      </c>
      <c r="D2645">
        <f>HYPERLINK("https://www.youtube.com/watch?v=AAJf0X03SX4&amp;t=293s", "Go to time")</f>
        <v/>
      </c>
    </row>
    <row r="2646">
      <c r="A2646">
        <f>HYPERLINK("https://www.youtube.com/watch?v=AAJf0X03SX4", "Video")</f>
        <v/>
      </c>
      <c r="B2646" t="inlineStr">
        <is>
          <t>8:02</t>
        </is>
      </c>
      <c r="C2646" t="inlineStr">
        <is>
          <t>directed by e himself kevin connolly it</t>
        </is>
      </c>
      <c r="D2646">
        <f>HYPERLINK("https://www.youtube.com/watch?v=AAJf0X03SX4&amp;t=482s", "Go to time")</f>
        <v/>
      </c>
    </row>
    <row r="2647">
      <c r="A2647">
        <f>HYPERLINK("https://www.youtube.com/watch?v=AAJf0X03SX4", "Video")</f>
        <v/>
      </c>
      <c r="B2647" t="inlineStr">
        <is>
          <t>8:56</t>
        </is>
      </c>
      <c r="C2647" t="inlineStr">
        <is>
          <t>the ground with various directors like</t>
        </is>
      </c>
      <c r="D2647">
        <f>HYPERLINK("https://www.youtube.com/watch?v=AAJf0X03SX4&amp;t=536s", "Go to time")</f>
        <v/>
      </c>
    </row>
    <row r="2648">
      <c r="A2648">
        <f>HYPERLINK("https://www.youtube.com/watch?v=AAJf0X03SX4", "Video")</f>
        <v/>
      </c>
      <c r="B2648" t="inlineStr">
        <is>
          <t>10:12</t>
        </is>
      </c>
      <c r="C2648" t="inlineStr">
        <is>
          <t>directed by and stars oscar winner</t>
        </is>
      </c>
      <c r="D2648">
        <f>HYPERLINK("https://www.youtube.com/watch?v=AAJf0X03SX4&amp;t=612s", "Go to time")</f>
        <v/>
      </c>
    </row>
    <row r="2649">
      <c r="A2649">
        <f>HYPERLINK("https://www.youtube.com/watch?v=AAJf0X03SX4", "Video")</f>
        <v/>
      </c>
      <c r="B2649" t="inlineStr">
        <is>
          <t>13:20</t>
        </is>
      </c>
      <c r="C2649" t="inlineStr">
        <is>
          <t>this marked the final film for director</t>
        </is>
      </c>
      <c r="D2649">
        <f>HYPERLINK("https://www.youtube.com/watch?v=AAJf0X03SX4&amp;t=800s", "Go to time")</f>
        <v/>
      </c>
    </row>
    <row r="2650">
      <c r="A2650">
        <f>HYPERLINK("https://www.youtube.com/watch?v=AAJf0X03SX4", "Video")</f>
        <v/>
      </c>
      <c r="B2650" t="inlineStr">
        <is>
          <t>13:22</t>
        </is>
      </c>
      <c r="C2650" t="inlineStr">
        <is>
          <t>bob clark who directed the first film</t>
        </is>
      </c>
      <c r="D2650">
        <f>HYPERLINK("https://www.youtube.com/watch?v=AAJf0X03SX4&amp;t=802s", "Go to time")</f>
        <v/>
      </c>
    </row>
    <row r="2651">
      <c r="A2651">
        <f>HYPERLINK("https://www.youtube.com/watch?v=AAJf0X03SX4", "Video")</f>
        <v/>
      </c>
      <c r="B2651" t="inlineStr">
        <is>
          <t>14:39</t>
        </is>
      </c>
      <c r="C2651" t="inlineStr">
        <is>
          <t>and directed by joseph sergeant this</t>
        </is>
      </c>
      <c r="D2651">
        <f>HYPERLINK("https://www.youtube.com/watch?v=AAJf0X03SX4&amp;t=879s", "Go to time")</f>
        <v/>
      </c>
    </row>
    <row r="2652">
      <c r="A2652">
        <f>HYPERLINK("https://www.youtube.com/watch?v=AAJf0X03SX4", "Video")</f>
        <v/>
      </c>
      <c r="B2652" t="inlineStr">
        <is>
          <t>14:47</t>
        </is>
      </c>
      <c r="C2652" t="inlineStr">
        <is>
          <t>sequels although this one is a direct</t>
        </is>
      </c>
      <c r="D2652">
        <f>HYPERLINK("https://www.youtube.com/watch?v=AAJf0X03SX4&amp;t=887s", "Go to time")</f>
        <v/>
      </c>
    </row>
    <row r="2653">
      <c r="A2653">
        <f>HYPERLINK("https://www.youtube.com/watch?v=AAJf0X03SX4", "Video")</f>
        <v/>
      </c>
      <c r="B2653" t="inlineStr">
        <is>
          <t>17:48</t>
        </is>
      </c>
      <c r="C2653" t="inlineStr">
        <is>
          <t>with greek film director alexandros</t>
        </is>
      </c>
      <c r="D2653">
        <f>HYPERLINK("https://www.youtube.com/watch?v=AAJf0X03SX4&amp;t=1068s", "Go to time")</f>
        <v/>
      </c>
    </row>
    <row r="2654">
      <c r="A2654">
        <f>HYPERLINK("https://www.youtube.com/watch?v=AAJf0X03SX4", "Video")</f>
        <v/>
      </c>
      <c r="B2654" t="inlineStr">
        <is>
          <t>18:23</t>
        </is>
      </c>
      <c r="C2654" t="inlineStr">
        <is>
          <t>director and screenwriter intriguing</t>
        </is>
      </c>
      <c r="D2654">
        <f>HYPERLINK("https://www.youtube.com/watch?v=AAJf0X03SX4&amp;t=1103s", "Go to time")</f>
        <v/>
      </c>
    </row>
    <row r="2655">
      <c r="A2655">
        <f>HYPERLINK("https://www.youtube.com/watch?v=AAJf0X03SX4", "Video")</f>
        <v/>
      </c>
      <c r="B2655" t="inlineStr">
        <is>
          <t>22:51</t>
        </is>
      </c>
      <c r="C2655" t="inlineStr">
        <is>
          <t>this film is directed by andy chang</t>
        </is>
      </c>
      <c r="D2655">
        <f>HYPERLINK("https://www.youtube.com/watch?v=AAJf0X03SX4&amp;t=1371s", "Go to time")</f>
        <v/>
      </c>
    </row>
    <row r="2656">
      <c r="A2656">
        <f>HYPERLINK("https://www.youtube.com/watch?v=vXQlXYcAksI", "Video")</f>
        <v/>
      </c>
      <c r="B2656" t="inlineStr">
        <is>
          <t>1:30</t>
        </is>
      </c>
      <c r="C2656" t="inlineStr">
        <is>
          <t>final inca tests would carry dire</t>
        </is>
      </c>
      <c r="D2656">
        <f>HYPERLINK("https://www.youtube.com/watch?v=vXQlXYcAksI&amp;t=90s", "Go to time")</f>
        <v/>
      </c>
    </row>
    <row r="2657">
      <c r="A2657">
        <f>HYPERLINK("https://www.youtube.com/watch?v=-VnQ_KpOBm4", "Video")</f>
        <v/>
      </c>
      <c r="B2657" t="inlineStr">
        <is>
          <t>0:30</t>
        </is>
      </c>
      <c r="C2657" t="inlineStr">
        <is>
          <t>director of movies for longer than I</t>
        </is>
      </c>
      <c r="D2657">
        <f>HYPERLINK("https://www.youtube.com/watch?v=-VnQ_KpOBm4&amp;t=30s", "Go to time")</f>
        <v/>
      </c>
    </row>
    <row r="2658">
      <c r="A2658">
        <f>HYPERLINK("https://www.youtube.com/watch?v=-VnQ_KpOBm4", "Video")</f>
        <v/>
      </c>
      <c r="B2658" t="inlineStr">
        <is>
          <t>0:41</t>
        </is>
      </c>
      <c r="C2658" t="inlineStr">
        <is>
          <t>at all I wrote and directed all three of</t>
        </is>
      </c>
      <c r="D2658">
        <f>HYPERLINK("https://www.youtube.com/watch?v=-VnQ_KpOBm4&amp;t=41s", "Go to time")</f>
        <v/>
      </c>
    </row>
    <row r="2659">
      <c r="A2659">
        <f>HYPERLINK("https://www.youtube.com/watch?v=-VnQ_KpOBm4", "Video")</f>
        <v/>
      </c>
      <c r="B2659" t="inlineStr">
        <is>
          <t>0:50</t>
        </is>
      </c>
      <c r="C2659" t="inlineStr">
        <is>
          <t>it and directed it on the screen that is</t>
        </is>
      </c>
      <c r="D2659">
        <f>HYPERLINK("https://www.youtube.com/watch?v=-VnQ_KpOBm4&amp;t=50s", "Go to time")</f>
        <v/>
      </c>
    </row>
    <row r="2660">
      <c r="A2660">
        <f>HYPERLINK("https://www.youtube.com/watch?v=-VnQ_KpOBm4", "Video")</f>
        <v/>
      </c>
      <c r="B2660" t="inlineStr">
        <is>
          <t>0:57</t>
        </is>
      </c>
      <c r="C2660" t="inlineStr">
        <is>
          <t>Furies or whoever wrote and directed a</t>
        </is>
      </c>
      <c r="D2660">
        <f>HYPERLINK("https://www.youtube.com/watch?v=-VnQ_KpOBm4&amp;t=57s", "Go to time")</f>
        <v/>
      </c>
    </row>
    <row r="2661">
      <c r="A2661">
        <f>HYPERLINK("https://www.youtube.com/watch?v=ZwWo08Mf5nQ", "Video")</f>
        <v/>
      </c>
      <c r="B2661" t="inlineStr">
        <is>
          <t>0:20</t>
        </is>
      </c>
      <c r="C2661" t="inlineStr">
        <is>
          <t>just go in a different direction away</t>
        </is>
      </c>
      <c r="D2661">
        <f>HYPERLINK("https://www.youtube.com/watch?v=ZwWo08Mf5nQ&amp;t=20s", "Go to time")</f>
        <v/>
      </c>
    </row>
    <row r="2662">
      <c r="A2662">
        <f>HYPERLINK("https://www.youtube.com/watch?v=rxixH40LdC4", "Video")</f>
        <v/>
      </c>
      <c r="B2662" t="inlineStr">
        <is>
          <t>2:19</t>
        </is>
      </c>
      <c r="C2662" t="inlineStr">
        <is>
          <t>Huntley Naomi Harris and directed by</t>
        </is>
      </c>
      <c r="D2662">
        <f>HYPERLINK("https://www.youtube.com/watch?v=rxixH40LdC4&amp;t=139s", "Go to time")</f>
        <v/>
      </c>
    </row>
    <row r="2663">
      <c r="A2663">
        <f>HYPERLINK("https://www.youtube.com/watch?v=rxixH40LdC4", "Video")</f>
        <v/>
      </c>
      <c r="B2663" t="inlineStr">
        <is>
          <t>2:24</t>
        </is>
      </c>
      <c r="C2663" t="inlineStr">
        <is>
          <t>directed by Danny Boyle 28 Days Later is</t>
        </is>
      </c>
      <c r="D2663">
        <f>HYPERLINK("https://www.youtube.com/watch?v=rxixH40LdC4&amp;t=144s", "Go to time")</f>
        <v/>
      </c>
    </row>
    <row r="2664">
      <c r="A2664">
        <f>HYPERLINK("https://www.youtube.com/watch?v=rxixH40LdC4", "Video")</f>
        <v/>
      </c>
      <c r="B2664" t="inlineStr">
        <is>
          <t>4:00</t>
        </is>
      </c>
      <c r="C2664" t="inlineStr">
        <is>
          <t>Emma Stone and directed by Reuben</t>
        </is>
      </c>
      <c r="D2664">
        <f>HYPERLINK("https://www.youtube.com/watch?v=rxixH40LdC4&amp;t=240s", "Go to time")</f>
        <v/>
      </c>
    </row>
    <row r="2665">
      <c r="A2665">
        <f>HYPERLINK("https://www.youtube.com/watch?v=rxixH40LdC4", "Video")</f>
        <v/>
      </c>
      <c r="B2665" t="inlineStr">
        <is>
          <t>5:29</t>
        </is>
      </c>
      <c r="C2665" t="inlineStr">
        <is>
          <t>Isabelle Chris lemch and directed by</t>
        </is>
      </c>
      <c r="D2665">
        <f>HYPERLINK("https://www.youtube.com/watch?v=rxixH40LdC4&amp;t=329s", "Go to time")</f>
        <v/>
      </c>
    </row>
    <row r="2666">
      <c r="A2666">
        <f>HYPERLINK("https://www.youtube.com/watch?v=rxixH40LdC4", "Video")</f>
        <v/>
      </c>
      <c r="B2666" t="inlineStr">
        <is>
          <t>6:57</t>
        </is>
      </c>
      <c r="C2666" t="inlineStr">
        <is>
          <t>Jorge yamam Serrano and directed by Jean</t>
        </is>
      </c>
      <c r="D2666">
        <f>HYPERLINK("https://www.youtube.com/watch?v=rxixH40LdC4&amp;t=417s", "Go to time")</f>
        <v/>
      </c>
    </row>
    <row r="2667">
      <c r="A2667">
        <f>HYPERLINK("https://www.youtube.com/watch?v=rxixH40LdC4", "Video")</f>
        <v/>
      </c>
      <c r="B2667" t="inlineStr">
        <is>
          <t>8:49</t>
        </is>
      </c>
      <c r="C2667" t="inlineStr">
        <is>
          <t>Ashfield and directed by Edgar Wright</t>
        </is>
      </c>
      <c r="D2667">
        <f>HYPERLINK("https://www.youtube.com/watch?v=rxixH40LdC4&amp;t=529s", "Go to time")</f>
        <v/>
      </c>
    </row>
    <row r="2668">
      <c r="A2668">
        <f>HYPERLINK("https://www.youtube.com/watch?v=rxixH40LdC4", "Video")</f>
        <v/>
      </c>
      <c r="B2668" t="inlineStr">
        <is>
          <t>10:29</t>
        </is>
      </c>
      <c r="C2668" t="inlineStr">
        <is>
          <t>raver and directed by Sam Raimi critics</t>
        </is>
      </c>
      <c r="D2668">
        <f>HYPERLINK("https://www.youtube.com/watch?v=rxixH40LdC4&amp;t=629s", "Go to time")</f>
        <v/>
      </c>
    </row>
    <row r="2669">
      <c r="A2669">
        <f>HYPERLINK("https://www.youtube.com/watch?v=rxixH40LdC4", "Video")</f>
        <v/>
      </c>
      <c r="B2669" t="inlineStr">
        <is>
          <t>12:09</t>
        </is>
      </c>
      <c r="C2669" t="inlineStr">
        <is>
          <t>Lupe and directed by Guillermo del Toro</t>
        </is>
      </c>
      <c r="D2669">
        <f>HYPERLINK("https://www.youtube.com/watch?v=rxixH40LdC4&amp;t=729s", "Go to time")</f>
        <v/>
      </c>
    </row>
    <row r="2670">
      <c r="A2670">
        <f>HYPERLINK("https://www.youtube.com/watch?v=rxixH40LdC4", "Video")</f>
        <v/>
      </c>
      <c r="B2670" t="inlineStr">
        <is>
          <t>13:37</t>
        </is>
      </c>
      <c r="C2670" t="inlineStr">
        <is>
          <t>parquel and directed by bang Jun ho</t>
        </is>
      </c>
      <c r="D2670">
        <f>HYPERLINK("https://www.youtube.com/watch?v=rxixH40LdC4&amp;t=817s", "Go to time")</f>
        <v/>
      </c>
    </row>
    <row r="2671">
      <c r="A2671">
        <f>HYPERLINK("https://www.youtube.com/watch?v=rxixH40LdC4", "Video")</f>
        <v/>
      </c>
      <c r="B2671" t="inlineStr">
        <is>
          <t>15:18</t>
        </is>
      </c>
      <c r="C2671" t="inlineStr">
        <is>
          <t>Lopez Maribel Verdu and directed by</t>
        </is>
      </c>
      <c r="D2671">
        <f>HYPERLINK("https://www.youtube.com/watch?v=rxixH40LdC4&amp;t=918s", "Go to time")</f>
        <v/>
      </c>
    </row>
    <row r="2672">
      <c r="A2672">
        <f>HYPERLINK("https://www.youtube.com/watch?v=rxixH40LdC4", "Video")</f>
        <v/>
      </c>
      <c r="B2672" t="inlineStr">
        <is>
          <t>17:03</t>
        </is>
      </c>
      <c r="C2672" t="inlineStr">
        <is>
          <t>Mendoza Alex Reed and directed by Neil</t>
        </is>
      </c>
      <c r="D2672">
        <f>HYPERLINK("https://www.youtube.com/watch?v=rxixH40LdC4&amp;t=1023s", "Go to time")</f>
        <v/>
      </c>
    </row>
    <row r="2673">
      <c r="A2673">
        <f>HYPERLINK("https://www.youtube.com/watch?v=rxixH40LdC4", "Video")</f>
        <v/>
      </c>
      <c r="B2673" t="inlineStr">
        <is>
          <t>17:06</t>
        </is>
      </c>
      <c r="C2673" t="inlineStr">
        <is>
          <t>Marshall critics say deaf Direction and</t>
        </is>
      </c>
      <c r="D2673">
        <f>HYPERLINK("https://www.youtube.com/watch?v=rxixH40LdC4&amp;t=1026s", "Go to time")</f>
        <v/>
      </c>
    </row>
    <row r="2674">
      <c r="A2674">
        <f>HYPERLINK("https://www.youtube.com/watch?v=rxixH40LdC4", "Video")</f>
        <v/>
      </c>
      <c r="B2674" t="inlineStr">
        <is>
          <t>18:39</t>
        </is>
      </c>
      <c r="C2674" t="inlineStr">
        <is>
          <t>and directed by James Gunn critics say a</t>
        </is>
      </c>
      <c r="D2674">
        <f>HYPERLINK("https://www.youtube.com/watch?v=rxixH40LdC4&amp;t=1119s", "Go to time")</f>
        <v/>
      </c>
    </row>
    <row r="2675">
      <c r="A2675">
        <f>HYPERLINK("https://www.youtube.com/watch?v=rxixH40LdC4", "Video")</f>
        <v/>
      </c>
      <c r="B2675" t="inlineStr">
        <is>
          <t>20:23</t>
        </is>
      </c>
      <c r="C2675" t="inlineStr">
        <is>
          <t>and directed by Juan Antonio bayona</t>
        </is>
      </c>
      <c r="D2675">
        <f>HYPERLINK("https://www.youtube.com/watch?v=rxixH40LdC4&amp;t=1223s", "Go to time")</f>
        <v/>
      </c>
    </row>
    <row r="2676">
      <c r="A2676">
        <f>HYPERLINK("https://www.youtube.com/watch?v=rxixH40LdC4", "Video")</f>
        <v/>
      </c>
      <c r="B2676" t="inlineStr">
        <is>
          <t>21:54</t>
        </is>
      </c>
      <c r="C2676" t="inlineStr">
        <is>
          <t>Ragnar and directed by Thomas alfredson</t>
        </is>
      </c>
      <c r="D2676">
        <f>HYPERLINK("https://www.youtube.com/watch?v=rxixH40LdC4&amp;t=1314s", "Go to time")</f>
        <v/>
      </c>
    </row>
    <row r="2677">
      <c r="A2677">
        <f>HYPERLINK("https://www.youtube.com/watch?v=pxBsFVWQQVw", "Video")</f>
        <v/>
      </c>
      <c r="B2677" t="inlineStr">
        <is>
          <t>12:57</t>
        </is>
      </c>
      <c r="C2677" t="inlineStr">
        <is>
          <t>was directly related to how people felt</t>
        </is>
      </c>
      <c r="D2677">
        <f>HYPERLINK("https://www.youtube.com/watch?v=pxBsFVWQQVw&amp;t=777s", "Go to time")</f>
        <v/>
      </c>
    </row>
    <row r="2678">
      <c r="A2678">
        <f>HYPERLINK("https://www.youtube.com/watch?v=pxBsFVWQQVw", "Video")</f>
        <v/>
      </c>
      <c r="B2678" t="inlineStr">
        <is>
          <t>28:35</t>
        </is>
      </c>
      <c r="C2678" t="inlineStr">
        <is>
          <t>too because director Andrew Fleming he</t>
        </is>
      </c>
      <c r="D2678">
        <f>HYPERLINK("https://www.youtube.com/watch?v=pxBsFVWQQVw&amp;t=1715s", "Go to time")</f>
        <v/>
      </c>
    </row>
    <row r="2679">
      <c r="A2679">
        <f>HYPERLINK("https://www.youtube.com/watch?v=TQ0gZrxGyho", "Video")</f>
        <v/>
      </c>
      <c r="B2679" t="inlineStr">
        <is>
          <t>0:50</t>
        </is>
      </c>
      <c r="C2679" t="inlineStr">
        <is>
          <t>misdirection you wind up paying</t>
        </is>
      </c>
      <c r="D2679">
        <f>HYPERLINK("https://www.youtube.com/watch?v=TQ0gZrxGyho&amp;t=50s", "Go to time")</f>
        <v/>
      </c>
    </row>
    <row r="2680">
      <c r="A2680">
        <f>HYPERLINK("https://www.youtube.com/watch?v=63ZA328bi3k", "Video")</f>
        <v/>
      </c>
      <c r="B2680" t="inlineStr">
        <is>
          <t>30:04</t>
        </is>
      </c>
      <c r="C2680" t="inlineStr">
        <is>
          <t>even though it was written and directed</t>
        </is>
      </c>
      <c r="D2680">
        <f>HYPERLINK("https://www.youtube.com/watch?v=63ZA328bi3k&amp;t=1804s", "Go to time")</f>
        <v/>
      </c>
    </row>
    <row r="2681">
      <c r="A2681">
        <f>HYPERLINK("https://www.youtube.com/watch?v=1s-qZUCH3xY", "Video")</f>
        <v/>
      </c>
      <c r="B2681" t="inlineStr">
        <is>
          <t>0:57</t>
        </is>
      </c>
      <c r="C2681" t="inlineStr">
        <is>
          <t>gonna trap them inside though indirectly</t>
        </is>
      </c>
      <c r="D2681">
        <f>HYPERLINK("https://www.youtube.com/watch?v=1s-qZUCH3xY&amp;t=57s", "Go to time")</f>
        <v/>
      </c>
    </row>
    <row r="2682">
      <c r="A2682">
        <f>HYPERLINK("https://www.youtube.com/watch?v=rsrok5sw2yo", "Video")</f>
        <v/>
      </c>
      <c r="B2682" t="inlineStr">
        <is>
          <t>1:51</t>
        </is>
      </c>
      <c r="C2682" t="inlineStr">
        <is>
          <t>written produced and directed by John</t>
        </is>
      </c>
      <c r="D2682">
        <f>HYPERLINK("https://www.youtube.com/watch?v=rsrok5sw2yo&amp;t=111s", "Go to time")</f>
        <v/>
      </c>
    </row>
    <row r="2683">
      <c r="A2683">
        <f>HYPERLINK("https://www.youtube.com/watch?v=rsrok5sw2yo", "Video")</f>
        <v/>
      </c>
      <c r="B2683" t="inlineStr">
        <is>
          <t>1:55</t>
        </is>
      </c>
      <c r="C2683" t="inlineStr">
        <is>
          <t>directing Teen Angst films to that point</t>
        </is>
      </c>
      <c r="D2683">
        <f>HYPERLINK("https://www.youtube.com/watch?v=rsrok5sw2yo&amp;t=115s", "Go to time")</f>
        <v/>
      </c>
    </row>
    <row r="2684">
      <c r="A2684">
        <f>HYPERLINK("https://www.youtube.com/watch?v=rsrok5sw2yo", "Video")</f>
        <v/>
      </c>
      <c r="B2684" t="inlineStr">
        <is>
          <t>4:21</t>
        </is>
      </c>
      <c r="C2684" t="inlineStr">
        <is>
          <t>Sister Act Fame and directed by Barry</t>
        </is>
      </c>
      <c r="D2684">
        <f>HYPERLINK("https://www.youtube.com/watch?v=rsrok5sw2yo&amp;t=261s", "Go to time")</f>
        <v/>
      </c>
    </row>
    <row r="2685">
      <c r="A2685">
        <f>HYPERLINK("https://www.youtube.com/watch?v=rsrok5sw2yo", "Video")</f>
        <v/>
      </c>
      <c r="B2685" t="inlineStr">
        <is>
          <t>4:23</t>
        </is>
      </c>
      <c r="C2685" t="inlineStr">
        <is>
          <t>sonenfeld who also directed The Addams</t>
        </is>
      </c>
      <c r="D2685">
        <f>HYPERLINK("https://www.youtube.com/watch?v=rsrok5sw2yo&amp;t=263s", "Go to time")</f>
        <v/>
      </c>
    </row>
    <row r="2686">
      <c r="A2686">
        <f>HYPERLINK("https://www.youtube.com/watch?v=rsrok5sw2yo", "Video")</f>
        <v/>
      </c>
      <c r="B2686" t="inlineStr">
        <is>
          <t>6:28</t>
        </is>
      </c>
      <c r="C2686" t="inlineStr">
        <is>
          <t>directed by Judd Apatow in his first</t>
        </is>
      </c>
      <c r="D2686">
        <f>HYPERLINK("https://www.youtube.com/watch?v=rsrok5sw2yo&amp;t=388s", "Go to time")</f>
        <v/>
      </c>
    </row>
    <row r="2687">
      <c r="A2687">
        <f>HYPERLINK("https://www.youtube.com/watch?v=rsrok5sw2yo", "Video")</f>
        <v/>
      </c>
      <c r="B2687" t="inlineStr">
        <is>
          <t>8:35</t>
        </is>
      </c>
      <c r="C2687" t="inlineStr">
        <is>
          <t>directed this one and co-wrote it with</t>
        </is>
      </c>
      <c r="D2687">
        <f>HYPERLINK("https://www.youtube.com/watch?v=rsrok5sw2yo&amp;t=515s", "Go to time")</f>
        <v/>
      </c>
    </row>
    <row r="2688">
      <c r="A2688">
        <f>HYPERLINK("https://www.youtube.com/watch?v=rsrok5sw2yo", "Video")</f>
        <v/>
      </c>
      <c r="B2688" t="inlineStr">
        <is>
          <t>9:10</t>
        </is>
      </c>
      <c r="C2688" t="inlineStr">
        <is>
          <t>was also directed by Nora Ephron and</t>
        </is>
      </c>
      <c r="D2688">
        <f>HYPERLINK("https://www.youtube.com/watch?v=rsrok5sw2yo&amp;t=550s", "Go to time")</f>
        <v/>
      </c>
    </row>
    <row r="2689">
      <c r="A2689">
        <f>HYPERLINK("https://www.youtube.com/watch?v=rsrok5sw2yo", "Video")</f>
        <v/>
      </c>
      <c r="B2689" t="inlineStr">
        <is>
          <t>9:16</t>
        </is>
      </c>
      <c r="C2689" t="inlineStr">
        <is>
          <t>director that helps make this one of the</t>
        </is>
      </c>
      <c r="D2689">
        <f>HYPERLINK("https://www.youtube.com/watch?v=rsrok5sw2yo&amp;t=556s", "Go to time")</f>
        <v/>
      </c>
    </row>
    <row r="2690">
      <c r="A2690">
        <f>HYPERLINK("https://www.youtube.com/watch?v=rsrok5sw2yo", "Video")</f>
        <v/>
      </c>
      <c r="B2690" t="inlineStr">
        <is>
          <t>10:48</t>
        </is>
      </c>
      <c r="C2690" t="inlineStr">
        <is>
          <t>now this one was directed by Donald</t>
        </is>
      </c>
      <c r="D2690">
        <f>HYPERLINK("https://www.youtube.com/watch?v=rsrok5sw2yo&amp;t=648s", "Go to time")</f>
        <v/>
      </c>
    </row>
    <row r="2691">
      <c r="A2691">
        <f>HYPERLINK("https://www.youtube.com/watch?v=rsrok5sw2yo", "Video")</f>
        <v/>
      </c>
      <c r="B2691" t="inlineStr">
        <is>
          <t>13:18</t>
        </is>
      </c>
      <c r="C2691" t="inlineStr">
        <is>
          <t>written and directed by George Seaton</t>
        </is>
      </c>
      <c r="D2691">
        <f>HYPERLINK("https://www.youtube.com/watch?v=rsrok5sw2yo&amp;t=798s", "Go to time")</f>
        <v/>
      </c>
    </row>
    <row r="2692">
      <c r="A2692">
        <f>HYPERLINK("https://www.youtube.com/watch?v=rsrok5sw2yo", "Video")</f>
        <v/>
      </c>
      <c r="B2692" t="inlineStr">
        <is>
          <t>15:37</t>
        </is>
      </c>
      <c r="C2692" t="inlineStr">
        <is>
          <t>Woman directed by Martin breast of</t>
        </is>
      </c>
      <c r="D2692">
        <f>HYPERLINK("https://www.youtube.com/watch?v=rsrok5sw2yo&amp;t=937s", "Go to time")</f>
        <v/>
      </c>
    </row>
    <row r="2693">
      <c r="A2693">
        <f>HYPERLINK("https://www.youtube.com/watch?v=rsrok5sw2yo", "Video")</f>
        <v/>
      </c>
      <c r="B2693" t="inlineStr">
        <is>
          <t>19:14</t>
        </is>
      </c>
      <c r="C2693" t="inlineStr">
        <is>
          <t>April was written and directed by Peter</t>
        </is>
      </c>
      <c r="D2693">
        <f>HYPERLINK("https://www.youtube.com/watch?v=rsrok5sw2yo&amp;t=1154s", "Go to time")</f>
        <v/>
      </c>
    </row>
    <row r="2694">
      <c r="A2694">
        <f>HYPERLINK("https://www.youtube.com/watch?v=rsrok5sw2yo", "Video")</f>
        <v/>
      </c>
      <c r="B2694" t="inlineStr">
        <is>
          <t>19:16</t>
        </is>
      </c>
      <c r="C2694" t="inlineStr">
        <is>
          <t>Hedges marking his directorial debut</t>
        </is>
      </c>
      <c r="D2694">
        <f>HYPERLINK("https://www.youtube.com/watch?v=rsrok5sw2yo&amp;t=1156s", "Go to time")</f>
        <v/>
      </c>
    </row>
    <row r="2695">
      <c r="A2695">
        <f>HYPERLINK("https://www.youtube.com/watch?v=rsrok5sw2yo", "Video")</f>
        <v/>
      </c>
      <c r="B2695" t="inlineStr">
        <is>
          <t>19:51</t>
        </is>
      </c>
      <c r="C2695" t="inlineStr">
        <is>
          <t>family reunion but writer director Peter</t>
        </is>
      </c>
      <c r="D2695">
        <f>HYPERLINK("https://www.youtube.com/watch?v=rsrok5sw2yo&amp;t=1191s", "Go to time")</f>
        <v/>
      </c>
    </row>
    <row r="2696">
      <c r="A2696">
        <f>HYPERLINK("https://www.youtube.com/watch?v=rsrok5sw2yo", "Video")</f>
        <v/>
      </c>
      <c r="B2696" t="inlineStr">
        <is>
          <t>20:25</t>
        </is>
      </c>
      <c r="C2696" t="inlineStr">
        <is>
          <t>directed by John Lee Hancock and based</t>
        </is>
      </c>
      <c r="D2696">
        <f>HYPERLINK("https://www.youtube.com/watch?v=rsrok5sw2yo&amp;t=1225s", "Go to time")</f>
        <v/>
      </c>
    </row>
    <row r="2697">
      <c r="A2697">
        <f>HYPERLINK("https://www.youtube.com/watch?v=Hq8G6r3GyGw", "Video")</f>
        <v/>
      </c>
      <c r="B2697" t="inlineStr">
        <is>
          <t>0:46</t>
        </is>
      </c>
      <c r="C2697" t="inlineStr">
        <is>
          <t>drama was directed by Werner Herzog aka</t>
        </is>
      </c>
      <c r="D2697">
        <f>HYPERLINK("https://www.youtube.com/watch?v=Hq8G6r3GyGw&amp;t=46s", "Go to time")</f>
        <v/>
      </c>
    </row>
    <row r="2698">
      <c r="A2698">
        <f>HYPERLINK("https://www.youtube.com/watch?v=vpEzjIPGYoE", "Video")</f>
        <v/>
      </c>
      <c r="B2698" t="inlineStr">
        <is>
          <t>0:46</t>
        </is>
      </c>
      <c r="C2698" t="inlineStr">
        <is>
          <t>Appeal and new Hollywood directors</t>
        </is>
      </c>
      <c r="D2698">
        <f>HYPERLINK("https://www.youtube.com/watch?v=vpEzjIPGYoE&amp;t=46s", "Go to time")</f>
        <v/>
      </c>
    </row>
    <row r="2699">
      <c r="A2699">
        <f>HYPERLINK("https://www.youtube.com/watch?v=vpEzjIPGYoE", "Video")</f>
        <v/>
      </c>
      <c r="B2699" t="inlineStr">
        <is>
          <t>0:59</t>
        </is>
      </c>
      <c r="C2699" t="inlineStr">
        <is>
          <t>mixed in with the guts horror directors</t>
        </is>
      </c>
      <c r="D2699">
        <f>HYPERLINK("https://www.youtube.com/watch?v=vpEzjIPGYoE&amp;t=59s", "Go to time")</f>
        <v/>
      </c>
    </row>
    <row r="2700">
      <c r="A2700">
        <f>HYPERLINK("https://www.youtube.com/watch?v=vpEzjIPGYoE", "Video")</f>
        <v/>
      </c>
      <c r="B2700" t="inlineStr">
        <is>
          <t>2:31</t>
        </is>
      </c>
      <c r="C2700" t="inlineStr">
        <is>
          <t>directed by Dan O'Bannon critics say a</t>
        </is>
      </c>
      <c r="D2700">
        <f>HYPERLINK("https://www.youtube.com/watch?v=vpEzjIPGYoE&amp;t=151s", "Go to time")</f>
        <v/>
      </c>
    </row>
    <row r="2701">
      <c r="A2701">
        <f>HYPERLINK("https://www.youtube.com/watch?v=vpEzjIPGYoE", "Video")</f>
        <v/>
      </c>
      <c r="B2701" t="inlineStr">
        <is>
          <t>3:43</t>
        </is>
      </c>
      <c r="C2701" t="inlineStr">
        <is>
          <t>scarrett and directed by David</t>
        </is>
      </c>
      <c r="D2701">
        <f>HYPERLINK("https://www.youtube.com/watch?v=vpEzjIPGYoE&amp;t=223s", "Go to time")</f>
        <v/>
      </c>
    </row>
    <row r="2702">
      <c r="A2702">
        <f>HYPERLINK("https://www.youtube.com/watch?v=vpEzjIPGYoE", "Video")</f>
        <v/>
      </c>
      <c r="B2702" t="inlineStr">
        <is>
          <t>3:47</t>
        </is>
      </c>
      <c r="C2702" t="inlineStr">
        <is>
          <t>combines taught direction from David</t>
        </is>
      </c>
      <c r="D2702">
        <f>HYPERLINK("https://www.youtube.com/watch?v=vpEzjIPGYoE&amp;t=227s", "Go to time")</f>
        <v/>
      </c>
    </row>
    <row r="2703">
      <c r="A2703">
        <f>HYPERLINK("https://www.youtube.com/watch?v=vpEzjIPGYoE", "Video")</f>
        <v/>
      </c>
      <c r="B2703" t="inlineStr">
        <is>
          <t>5:36</t>
        </is>
      </c>
      <c r="C2703" t="inlineStr">
        <is>
          <t>and directed by Frank Oz critics say</t>
        </is>
      </c>
      <c r="D2703">
        <f>HYPERLINK("https://www.youtube.com/watch?v=vpEzjIPGYoE&amp;t=336s", "Go to time")</f>
        <v/>
      </c>
    </row>
    <row r="2704">
      <c r="A2704">
        <f>HYPERLINK("https://www.youtube.com/watch?v=vpEzjIPGYoE", "Video")</f>
        <v/>
      </c>
      <c r="B2704" t="inlineStr">
        <is>
          <t>7:26</t>
        </is>
      </c>
      <c r="C2704" t="inlineStr">
        <is>
          <t>Danny Lloyd and directed by Stanley</t>
        </is>
      </c>
      <c r="D2704">
        <f>HYPERLINK("https://www.youtube.com/watch?v=vpEzjIPGYoE&amp;t=446s", "Go to time")</f>
        <v/>
      </c>
    </row>
    <row r="2705">
      <c r="A2705">
        <f>HYPERLINK("https://www.youtube.com/watch?v=vpEzjIPGYoE", "Video")</f>
        <v/>
      </c>
      <c r="B2705" t="inlineStr">
        <is>
          <t>9:18</t>
        </is>
      </c>
      <c r="C2705" t="inlineStr">
        <is>
          <t>directed by Stuart Gordon critics say</t>
        </is>
      </c>
      <c r="D2705">
        <f>HYPERLINK("https://www.youtube.com/watch?v=vpEzjIPGYoE&amp;t=558s", "Go to time")</f>
        <v/>
      </c>
    </row>
    <row r="2706">
      <c r="A2706">
        <f>HYPERLINK("https://www.youtube.com/watch?v=vpEzjIPGYoE", "Video")</f>
        <v/>
      </c>
      <c r="B2706" t="inlineStr">
        <is>
          <t>11:21</t>
        </is>
      </c>
      <c r="C2706" t="inlineStr">
        <is>
          <t>directed by David Cronenberg critics say</t>
        </is>
      </c>
      <c r="D2706">
        <f>HYPERLINK("https://www.youtube.com/watch?v=vpEzjIPGYoE&amp;t=681s", "Go to time")</f>
        <v/>
      </c>
    </row>
    <row r="2707">
      <c r="A2707">
        <f>HYPERLINK("https://www.youtube.com/watch?v=vpEzjIPGYoE", "Video")</f>
        <v/>
      </c>
      <c r="B2707" t="inlineStr">
        <is>
          <t>13:30</t>
        </is>
      </c>
      <c r="C2707" t="inlineStr">
        <is>
          <t>Berry Dan Hicks and directed by Sam</t>
        </is>
      </c>
      <c r="D2707">
        <f>HYPERLINK("https://www.youtube.com/watch?v=vpEzjIPGYoE&amp;t=810s", "Go to time")</f>
        <v/>
      </c>
    </row>
    <row r="2708">
      <c r="A2708">
        <f>HYPERLINK("https://www.youtube.com/watch?v=vpEzjIPGYoE", "Video")</f>
        <v/>
      </c>
      <c r="B2708" t="inlineStr">
        <is>
          <t>15:12</t>
        </is>
      </c>
      <c r="C2708" t="inlineStr">
        <is>
          <t>and directed by Wes Craven critics say</t>
        </is>
      </c>
      <c r="D2708">
        <f>HYPERLINK("https://www.youtube.com/watch?v=vpEzjIPGYoE&amp;t=912s", "Go to time")</f>
        <v/>
      </c>
    </row>
    <row r="2709">
      <c r="A2709">
        <f>HYPERLINK("https://www.youtube.com/watch?v=vpEzjIPGYoE", "Video")</f>
        <v/>
      </c>
      <c r="B2709" t="inlineStr">
        <is>
          <t>17:01</t>
        </is>
      </c>
      <c r="C2709" t="inlineStr">
        <is>
          <t>and directed by Sam Rainey critics say</t>
        </is>
      </c>
      <c r="D2709">
        <f>HYPERLINK("https://www.youtube.com/watch?v=vpEzjIPGYoE&amp;t=1021s", "Go to time")</f>
        <v/>
      </c>
    </row>
    <row r="2710">
      <c r="A2710">
        <f>HYPERLINK("https://www.youtube.com/watch?v=vpEzjIPGYoE", "Video")</f>
        <v/>
      </c>
      <c r="B2710" t="inlineStr">
        <is>
          <t>18:50</t>
        </is>
      </c>
      <c r="C2710" t="inlineStr">
        <is>
          <t>and directed by John Carpenter critics</t>
        </is>
      </c>
      <c r="D2710">
        <f>HYPERLINK("https://www.youtube.com/watch?v=vpEzjIPGYoE&amp;t=1130s", "Go to time")</f>
        <v/>
      </c>
    </row>
    <row r="2711">
      <c r="A2711">
        <f>HYPERLINK("https://www.youtube.com/watch?v=vpEzjIPGYoE", "Video")</f>
        <v/>
      </c>
      <c r="B2711" t="inlineStr">
        <is>
          <t>20:50</t>
        </is>
      </c>
      <c r="C2711" t="inlineStr">
        <is>
          <t>Winona Ryder Alec Baldwin and directed</t>
        </is>
      </c>
      <c r="D2711">
        <f>HYPERLINK("https://www.youtube.com/watch?v=vpEzjIPGYoE&amp;t=1250s", "Go to time")</f>
        <v/>
      </c>
    </row>
    <row r="2712">
      <c r="A2712">
        <f>HYPERLINK("https://www.youtube.com/watch?v=vpEzjIPGYoE", "Video")</f>
        <v/>
      </c>
      <c r="B2712" t="inlineStr">
        <is>
          <t>22:34</t>
        </is>
      </c>
      <c r="C2712" t="inlineStr">
        <is>
          <t>and directed by Toby Hooper critics say</t>
        </is>
      </c>
      <c r="D2712">
        <f>HYPERLINK("https://www.youtube.com/watch?v=vpEzjIPGYoE&amp;t=1354s", "Go to time")</f>
        <v/>
      </c>
    </row>
    <row r="2713">
      <c r="A2713">
        <f>HYPERLINK("https://www.youtube.com/watch?v=vpEzjIPGYoE", "Video")</f>
        <v/>
      </c>
      <c r="B2713" t="inlineStr">
        <is>
          <t>23:56</t>
        </is>
      </c>
      <c r="C2713" t="inlineStr">
        <is>
          <t>and directed by James Cameron critics</t>
        </is>
      </c>
      <c r="D2713">
        <f>HYPERLINK("https://www.youtube.com/watch?v=vpEzjIPGYoE&amp;t=1436s", "Go to time")</f>
        <v/>
      </c>
    </row>
    <row r="2714">
      <c r="A2714">
        <f>HYPERLINK("https://www.youtube.com/watch?v=TwanI4rZj4A", "Video")</f>
        <v/>
      </c>
      <c r="B2714" t="inlineStr">
        <is>
          <t>4:53</t>
        </is>
      </c>
      <c r="C2714" t="inlineStr">
        <is>
          <t>the movie was directed by Tom zimy who</t>
        </is>
      </c>
      <c r="D2714">
        <f>HYPERLINK("https://www.youtube.com/watch?v=TwanI4rZj4A&amp;t=293s", "Go to time")</f>
        <v/>
      </c>
    </row>
    <row r="2715">
      <c r="A2715">
        <f>HYPERLINK("https://www.youtube.com/watch?v=TwanI4rZj4A", "Video")</f>
        <v/>
      </c>
      <c r="B2715" t="inlineStr">
        <is>
          <t>7:01</t>
        </is>
      </c>
      <c r="C2715" t="inlineStr">
        <is>
          <t>couple of directors were attached and</t>
        </is>
      </c>
      <c r="D2715">
        <f>HYPERLINK("https://www.youtube.com/watch?v=TwanI4rZj4A&amp;t=421s", "Go to time")</f>
        <v/>
      </c>
    </row>
    <row r="2716">
      <c r="A2716">
        <f>HYPERLINK("https://www.youtube.com/watch?v=TwanI4rZj4A", "Video")</f>
        <v/>
      </c>
      <c r="B2716" t="inlineStr">
        <is>
          <t>7:57</t>
        </is>
      </c>
      <c r="C2716" t="inlineStr">
        <is>
          <t>movie was directed and produced by none</t>
        </is>
      </c>
      <c r="D2716">
        <f>HYPERLINK("https://www.youtube.com/watch?v=TwanI4rZj4A&amp;t=477s", "Go to time")</f>
        <v/>
      </c>
    </row>
    <row r="2717">
      <c r="A2717">
        <f>HYPERLINK("https://www.youtube.com/watch?v=TwanI4rZj4A", "Video")</f>
        <v/>
      </c>
      <c r="B2717" t="inlineStr">
        <is>
          <t>9:21</t>
        </is>
      </c>
      <c r="C2717" t="inlineStr">
        <is>
          <t>Scorsese to direct the filming of it</t>
        </is>
      </c>
      <c r="D2717">
        <f>HYPERLINK("https://www.youtube.com/watch?v=TwanI4rZj4A&amp;t=561s", "Go to time")</f>
        <v/>
      </c>
    </row>
    <row r="2718">
      <c r="A2718">
        <f>HYPERLINK("https://www.youtube.com/watch?v=TwanI4rZj4A", "Video")</f>
        <v/>
      </c>
      <c r="B2718" t="inlineStr">
        <is>
          <t>10:44</t>
        </is>
      </c>
      <c r="C2718" t="inlineStr">
        <is>
          <t>produced and directed by Beyonce herself</t>
        </is>
      </c>
      <c r="D2718">
        <f>HYPERLINK("https://www.youtube.com/watch?v=TwanI4rZj4A&amp;t=644s", "Go to time")</f>
        <v/>
      </c>
    </row>
    <row r="2719">
      <c r="A2719">
        <f>HYPERLINK("https://www.youtube.com/watch?v=TwanI4rZj4A", "Video")</f>
        <v/>
      </c>
      <c r="B2719" t="inlineStr">
        <is>
          <t>13:00</t>
        </is>
      </c>
      <c r="C2719" t="inlineStr">
        <is>
          <t>the direction of Sydney Pollock and</t>
        </is>
      </c>
      <c r="D2719">
        <f>HYPERLINK("https://www.youtube.com/watch?v=TwanI4rZj4A&amp;t=780s", "Go to time")</f>
        <v/>
      </c>
    </row>
    <row r="2720">
      <c r="A2720">
        <f>HYPERLINK("https://www.youtube.com/watch?v=TwanI4rZj4A", "Video")</f>
        <v/>
      </c>
      <c r="B2720" t="inlineStr">
        <is>
          <t>14:31</t>
        </is>
      </c>
      <c r="C2720" t="inlineStr">
        <is>
          <t>ahead of its time director Jonathan Demi</t>
        </is>
      </c>
      <c r="D2720">
        <f>HYPERLINK("https://www.youtube.com/watch?v=TwanI4rZj4A&amp;t=871s", "Go to time")</f>
        <v/>
      </c>
    </row>
    <row r="2721">
      <c r="A2721">
        <f>HYPERLINK("https://www.youtube.com/watch?v=bztnFp1L9YU", "Video")</f>
        <v/>
      </c>
      <c r="B2721" t="inlineStr">
        <is>
          <t>0:07</t>
        </is>
      </c>
      <c r="C2721" t="inlineStr">
        <is>
          <t>directly across the street yeah that's</t>
        </is>
      </c>
      <c r="D2721">
        <f>HYPERLINK("https://www.youtube.com/watch?v=bztnFp1L9YU&amp;t=7s", "Go to time")</f>
        <v/>
      </c>
    </row>
    <row r="2722">
      <c r="A2722">
        <f>HYPERLINK("https://www.youtube.com/watch?v=uvXfY3bgXQA", "Video")</f>
        <v/>
      </c>
      <c r="B2722" t="inlineStr">
        <is>
          <t>37:34</t>
        </is>
      </c>
      <c r="C2722" t="inlineStr">
        <is>
          <t>some of these like these direct uh you</t>
        </is>
      </c>
      <c r="D2722">
        <f>HYPERLINK("https://www.youtube.com/watch?v=uvXfY3bgXQA&amp;t=2254s", "Go to time")</f>
        <v/>
      </c>
    </row>
    <row r="2723">
      <c r="A2723">
        <f>HYPERLINK("https://www.youtube.com/watch?v=uvXfY3bgXQA", "Video")</f>
        <v/>
      </c>
      <c r="B2723" t="inlineStr">
        <is>
          <t>40:49</t>
        </is>
      </c>
      <c r="C2723" t="inlineStr">
        <is>
          <t>right director and make just subtle</t>
        </is>
      </c>
      <c r="D2723">
        <f>HYPERLINK("https://www.youtube.com/watch?v=uvXfY3bgXQA&amp;t=2449s", "Go to time")</f>
        <v/>
      </c>
    </row>
    <row r="2724">
      <c r="A2724">
        <f>HYPERLINK("https://www.youtube.com/watch?v=uvXfY3bgXQA", "Video")</f>
        <v/>
      </c>
      <c r="B2724" t="inlineStr">
        <is>
          <t>45:28</t>
        </is>
      </c>
      <c r="C2724" t="inlineStr">
        <is>
          <t>involved they didn't like the direction</t>
        </is>
      </c>
      <c r="D2724">
        <f>HYPERLINK("https://www.youtube.com/watch?v=uvXfY3bgXQA&amp;t=2728s", "Go to time")</f>
        <v/>
      </c>
    </row>
    <row r="2725">
      <c r="A2725">
        <f>HYPERLINK("https://www.youtube.com/watch?v=BN0U7BLkVqg", "Video")</f>
        <v/>
      </c>
      <c r="B2725" t="inlineStr">
        <is>
          <t>0:09</t>
        </is>
      </c>
      <c r="C2725" t="inlineStr">
        <is>
          <t>whole new Direction Zack galanakis is</t>
        </is>
      </c>
      <c r="D2725">
        <f>HYPERLINK("https://www.youtube.com/watch?v=BN0U7BLkVqg&amp;t=9s", "Go to time")</f>
        <v/>
      </c>
    </row>
    <row r="2726">
      <c r="A2726">
        <f>HYPERLINK("https://www.youtube.com/watch?v=ThaQYs7zNP4", "Video")</f>
        <v/>
      </c>
      <c r="B2726" t="inlineStr">
        <is>
          <t>2:23</t>
        </is>
      </c>
      <c r="C2726" t="inlineStr">
        <is>
          <t>which directed most of the episodes and</t>
        </is>
      </c>
      <c r="D2726">
        <f>HYPERLINK("https://www.youtube.com/watch?v=ThaQYs7zNP4&amp;t=143s", "Go to time")</f>
        <v/>
      </c>
    </row>
    <row r="2727">
      <c r="A2727">
        <f>HYPERLINK("https://www.youtube.com/watch?v=QPYwb9szvdA", "Video")</f>
        <v/>
      </c>
      <c r="B2727" t="inlineStr">
        <is>
          <t>0:20</t>
        </is>
      </c>
      <c r="C2727" t="inlineStr">
        <is>
          <t>waiting I'm Noah Baines director of lkin</t>
        </is>
      </c>
      <c r="D2727">
        <f>HYPERLINK("https://www.youtube.com/watch?v=QPYwb9szvdA&amp;t=20s", "Go to time")</f>
        <v/>
      </c>
    </row>
    <row r="2728">
      <c r="A2728">
        <f>HYPERLINK("https://www.youtube.com/watch?v=b0D0XJEpATQ", "Video")</f>
        <v/>
      </c>
      <c r="B2728" t="inlineStr">
        <is>
          <t>0:08</t>
        </is>
      </c>
      <c r="C2728" t="inlineStr">
        <is>
          <t>the best will sit directly by my desk</t>
        </is>
      </c>
      <c r="D2728">
        <f>HYPERLINK("https://www.youtube.com/watch?v=b0D0XJEpATQ&amp;t=8s", "Go to time")</f>
        <v/>
      </c>
    </row>
    <row r="2729">
      <c r="A2729">
        <f>HYPERLINK("https://www.youtube.com/watch?v=rv-bb9iKZY0", "Video")</f>
        <v/>
      </c>
      <c r="B2729" t="inlineStr">
        <is>
          <t>2:09</t>
        </is>
      </c>
      <c r="C2729" t="inlineStr">
        <is>
          <t>and directed by David Fincher critics</t>
        </is>
      </c>
      <c r="D2729">
        <f>HYPERLINK("https://www.youtube.com/watch?v=rv-bb9iKZY0&amp;t=129s", "Go to time")</f>
        <v/>
      </c>
    </row>
    <row r="2730">
      <c r="A2730">
        <f>HYPERLINK("https://www.youtube.com/watch?v=rv-bb9iKZY0", "Video")</f>
        <v/>
      </c>
      <c r="B2730" t="inlineStr">
        <is>
          <t>3:49</t>
        </is>
      </c>
      <c r="C2730" t="inlineStr">
        <is>
          <t>Joe pontoliano and directed by</t>
        </is>
      </c>
      <c r="D2730">
        <f>HYPERLINK("https://www.youtube.com/watch?v=rv-bb9iKZY0&amp;t=229s", "Go to time")</f>
        <v/>
      </c>
    </row>
    <row r="2731">
      <c r="A2731">
        <f>HYPERLINK("https://www.youtube.com/watch?v=rv-bb9iKZY0", "Video")</f>
        <v/>
      </c>
      <c r="B2731" t="inlineStr">
        <is>
          <t>5:46</t>
        </is>
      </c>
      <c r="C2731" t="inlineStr">
        <is>
          <t>directed by Jonathan Demi critics say</t>
        </is>
      </c>
      <c r="D2731">
        <f>HYPERLINK("https://www.youtube.com/watch?v=rv-bb9iKZY0&amp;t=346s", "Go to time")</f>
        <v/>
      </c>
    </row>
    <row r="2732">
      <c r="A2732">
        <f>HYPERLINK("https://www.youtube.com/watch?v=rv-bb9iKZY0", "Video")</f>
        <v/>
      </c>
      <c r="B2732" t="inlineStr">
        <is>
          <t>5:49</t>
        </is>
      </c>
      <c r="C2732" t="inlineStr">
        <is>
          <t>director Jonathan Demi smart taught</t>
        </is>
      </c>
      <c r="D2732">
        <f>HYPERLINK("https://www.youtube.com/watch?v=rv-bb9iKZY0&amp;t=349s", "Go to time")</f>
        <v/>
      </c>
    </row>
    <row r="2733">
      <c r="A2733">
        <f>HYPERLINK("https://www.youtube.com/watch?v=rv-bb9iKZY0", "Video")</f>
        <v/>
      </c>
      <c r="B2733" t="inlineStr">
        <is>
          <t>7:44</t>
        </is>
      </c>
      <c r="C2733" t="inlineStr">
        <is>
          <t>goo and directed by bang Jun ho critics</t>
        </is>
      </c>
      <c r="D2733">
        <f>HYPERLINK("https://www.youtube.com/watch?v=rv-bb9iKZY0&amp;t=464s", "Go to time")</f>
        <v/>
      </c>
    </row>
    <row r="2734">
      <c r="A2734">
        <f>HYPERLINK("https://www.youtube.com/watch?v=rv-bb9iKZY0", "Video")</f>
        <v/>
      </c>
      <c r="B2734" t="inlineStr">
        <is>
          <t>9:29</t>
        </is>
      </c>
      <c r="C2734" t="inlineStr">
        <is>
          <t>directed by Howard Hawks critics say a</t>
        </is>
      </c>
      <c r="D2734">
        <f>HYPERLINK("https://www.youtube.com/watch?v=rv-bb9iKZY0&amp;t=569s", "Go to time")</f>
        <v/>
      </c>
    </row>
    <row r="2735">
      <c r="A2735">
        <f>HYPERLINK("https://www.youtube.com/watch?v=rv-bb9iKZY0", "Video")</f>
        <v/>
      </c>
      <c r="B2735" t="inlineStr">
        <is>
          <t>9:31</t>
        </is>
      </c>
      <c r="C2735" t="inlineStr">
        <is>
          <t>perfect match of screenplay director and</t>
        </is>
      </c>
      <c r="D2735">
        <f>HYPERLINK("https://www.youtube.com/watch?v=rv-bb9iKZY0&amp;t=571s", "Go to time")</f>
        <v/>
      </c>
    </row>
    <row r="2736">
      <c r="A2736">
        <f>HYPERLINK("https://www.youtube.com/watch?v=rv-bb9iKZY0", "Video")</f>
        <v/>
      </c>
      <c r="B2736" t="inlineStr">
        <is>
          <t>11:02</t>
        </is>
      </c>
      <c r="C2736" t="inlineStr">
        <is>
          <t>Kio Takashi shimura and directed by</t>
        </is>
      </c>
      <c r="D2736">
        <f>HYPERLINK("https://www.youtube.com/watch?v=rv-bb9iKZY0&amp;t=662s", "Go to time")</f>
        <v/>
      </c>
    </row>
    <row r="2737">
      <c r="A2737">
        <f>HYPERLINK("https://www.youtube.com/watch?v=rv-bb9iKZY0", "Video")</f>
        <v/>
      </c>
      <c r="B2737" t="inlineStr">
        <is>
          <t>11:08</t>
        </is>
      </c>
      <c r="C2737" t="inlineStr">
        <is>
          <t>legendary director Akira kurosawa's most</t>
        </is>
      </c>
      <c r="D2737">
        <f>HYPERLINK("https://www.youtube.com/watch?v=rv-bb9iKZY0&amp;t=668s", "Go to time")</f>
        <v/>
      </c>
    </row>
    <row r="2738">
      <c r="A2738">
        <f>HYPERLINK("https://www.youtube.com/watch?v=rv-bb9iKZY0", "Video")</f>
        <v/>
      </c>
      <c r="B2738" t="inlineStr">
        <is>
          <t>12:29</t>
        </is>
      </c>
      <c r="C2738" t="inlineStr">
        <is>
          <t>and directed by Alfred Hitchcock critics</t>
        </is>
      </c>
      <c r="D2738">
        <f>HYPERLINK("https://www.youtube.com/watch?v=rv-bb9iKZY0&amp;t=749s", "Go to time")</f>
        <v/>
      </c>
    </row>
    <row r="2739">
      <c r="A2739">
        <f>HYPERLINK("https://www.youtube.com/watch?v=rv-bb9iKZY0", "Video")</f>
        <v/>
      </c>
      <c r="B2739" t="inlineStr">
        <is>
          <t>14:14</t>
        </is>
      </c>
      <c r="C2739" t="inlineStr">
        <is>
          <t>Guy Pierce Kim Basinger and directed by</t>
        </is>
      </c>
      <c r="D2739">
        <f>HYPERLINK("https://www.youtube.com/watch?v=rv-bb9iKZY0&amp;t=854s", "Go to time")</f>
        <v/>
      </c>
    </row>
    <row r="2740">
      <c r="A2740">
        <f>HYPERLINK("https://www.youtube.com/watch?v=rv-bb9iKZY0", "Video")</f>
        <v/>
      </c>
      <c r="B2740" t="inlineStr">
        <is>
          <t>16:10</t>
        </is>
      </c>
      <c r="C2740" t="inlineStr">
        <is>
          <t>Dunaway John Houston and directed by</t>
        </is>
      </c>
      <c r="D2740">
        <f>HYPERLINK("https://www.youtube.com/watch?v=rv-bb9iKZY0&amp;t=970s", "Go to time")</f>
        <v/>
      </c>
    </row>
    <row r="2741">
      <c r="A2741">
        <f>HYPERLINK("https://www.youtube.com/watch?v=rv-bb9iKZY0", "Video")</f>
        <v/>
      </c>
      <c r="B2741" t="inlineStr">
        <is>
          <t>16:19</t>
        </is>
      </c>
      <c r="C2741" t="inlineStr">
        <is>
          <t>brilliant screenplay director Roman</t>
        </is>
      </c>
      <c r="D2741">
        <f>HYPERLINK("https://www.youtube.com/watch?v=rv-bb9iKZY0&amp;t=979s", "Go to time")</f>
        <v/>
      </c>
    </row>
    <row r="2742">
      <c r="A2742">
        <f>HYPERLINK("https://www.youtube.com/watch?v=rv-bb9iKZY0", "Video")</f>
        <v/>
      </c>
      <c r="B2742" t="inlineStr">
        <is>
          <t>18:16</t>
        </is>
      </c>
      <c r="C2742" t="inlineStr">
        <is>
          <t>Tim Robbins Kevin Bacon and directed by</t>
        </is>
      </c>
      <c r="D2742">
        <f>HYPERLINK("https://www.youtube.com/watch?v=rv-bb9iKZY0&amp;t=1096s", "Go to time")</f>
        <v/>
      </c>
    </row>
    <row r="2743">
      <c r="A2743">
        <f>HYPERLINK("https://www.youtube.com/watch?v=rv-bb9iKZY0", "Video")</f>
        <v/>
      </c>
      <c r="B2743" t="inlineStr">
        <is>
          <t>20:15</t>
        </is>
      </c>
      <c r="C2743" t="inlineStr">
        <is>
          <t>Bates and directed by Robert Altman</t>
        </is>
      </c>
      <c r="D2743">
        <f>HYPERLINK("https://www.youtube.com/watch?v=rv-bb9iKZY0&amp;t=1215s", "Go to time")</f>
        <v/>
      </c>
    </row>
    <row r="2744">
      <c r="A2744">
        <f>HYPERLINK("https://www.youtube.com/watch?v=rv-bb9iKZY0", "Video")</f>
        <v/>
      </c>
      <c r="B2744" t="inlineStr">
        <is>
          <t>20:25</t>
        </is>
      </c>
      <c r="C2744" t="inlineStr">
        <is>
          <t>director Altman's best good evening this</t>
        </is>
      </c>
      <c r="D2744">
        <f>HYPERLINK("https://www.youtube.com/watch?v=rv-bb9iKZY0&amp;t=1225s", "Go to time")</f>
        <v/>
      </c>
    </row>
    <row r="2745">
      <c r="A2745">
        <f>HYPERLINK("https://www.youtube.com/watch?v=rv-bb9iKZY0", "Video")</f>
        <v/>
      </c>
      <c r="B2745" t="inlineStr">
        <is>
          <t>22:10</t>
        </is>
      </c>
      <c r="C2745" t="inlineStr">
        <is>
          <t>rupaz Lena Andre and directed by Niels</t>
        </is>
      </c>
      <c r="D2745">
        <f>HYPERLINK("https://www.youtube.com/watch?v=rv-bb9iKZY0&amp;t=1330s", "Go to time")</f>
        <v/>
      </c>
    </row>
    <row r="2746">
      <c r="A2746">
        <f>HYPERLINK("https://www.youtube.com/watch?v=rv-bb9iKZY0", "Video")</f>
        <v/>
      </c>
      <c r="B2746" t="inlineStr">
        <is>
          <t>23:52</t>
        </is>
      </c>
      <c r="C2746" t="inlineStr">
        <is>
          <t>Andrews Clifton Webb and directed by</t>
        </is>
      </c>
      <c r="D2746">
        <f>HYPERLINK("https://www.youtube.com/watch?v=rv-bb9iKZY0&amp;t=1432s", "Go to time")</f>
        <v/>
      </c>
    </row>
    <row r="2747">
      <c r="A2747">
        <f>HYPERLINK("https://www.youtube.com/watch?v=Cl_pVXcZTzc", "Video")</f>
        <v/>
      </c>
      <c r="B2747" t="inlineStr">
        <is>
          <t>1:06</t>
        </is>
      </c>
      <c r="C2747" t="inlineStr">
        <is>
          <t>indirectly and that was important</t>
        </is>
      </c>
      <c r="D2747">
        <f>HYPERLINK("https://www.youtube.com/watch?v=Cl_pVXcZTzc&amp;t=66s", "Go to time")</f>
        <v/>
      </c>
    </row>
    <row r="2748">
      <c r="A2748">
        <f>HYPERLINK("https://www.youtube.com/watch?v=pYQLesrKif8", "Video")</f>
        <v/>
      </c>
      <c r="B2748" t="inlineStr">
        <is>
          <t>2:04</t>
        </is>
      </c>
      <c r="C2748" t="inlineStr">
        <is>
          <t>Garner Kevin Costner and directed by</t>
        </is>
      </c>
      <c r="D2748">
        <f>HYPERLINK("https://www.youtube.com/watch?v=pYQLesrKif8&amp;t=124s", "Go to time")</f>
        <v/>
      </c>
    </row>
    <row r="2749">
      <c r="A2749">
        <f>HYPERLINK("https://www.youtube.com/watch?v=pYQLesrKif8", "Video")</f>
        <v/>
      </c>
      <c r="B2749" t="inlineStr">
        <is>
          <t>3:36</t>
        </is>
      </c>
      <c r="C2749" t="inlineStr">
        <is>
          <t>Ellis Dan Aykroyd and directed by Tate</t>
        </is>
      </c>
      <c r="D2749">
        <f>HYPERLINK("https://www.youtube.com/watch?v=pYQLesrKif8&amp;t=216s", "Go to time")</f>
        <v/>
      </c>
    </row>
    <row r="2750">
      <c r="A2750">
        <f>HYPERLINK("https://www.youtube.com/watch?v=pYQLesrKif8", "Video")</f>
        <v/>
      </c>
      <c r="B2750" t="inlineStr">
        <is>
          <t>5:39</t>
        </is>
      </c>
      <c r="C2750" t="inlineStr">
        <is>
          <t>Nicole Bahari and directed by Brian</t>
        </is>
      </c>
      <c r="D2750">
        <f>HYPERLINK("https://www.youtube.com/watch?v=pYQLesrKif8&amp;t=339s", "Go to time")</f>
        <v/>
      </c>
    </row>
    <row r="2751">
      <c r="A2751">
        <f>HYPERLINK("https://www.youtube.com/watch?v=pYQLesrKif8", "Video")</f>
        <v/>
      </c>
      <c r="B2751" t="inlineStr">
        <is>
          <t>7:34</t>
        </is>
      </c>
      <c r="C2751" t="inlineStr">
        <is>
          <t>and directed by Reginald hudlin critics</t>
        </is>
      </c>
      <c r="D2751">
        <f>HYPERLINK("https://www.youtube.com/watch?v=pYQLesrKif8&amp;t=454s", "Go to time")</f>
        <v/>
      </c>
    </row>
    <row r="2752">
      <c r="A2752">
        <f>HYPERLINK("https://www.youtube.com/watch?v=pYQLesrKif8", "Video")</f>
        <v/>
      </c>
      <c r="B2752" t="inlineStr">
        <is>
          <t>9:22</t>
        </is>
      </c>
      <c r="C2752" t="inlineStr">
        <is>
          <t>Hemsworth and directed by Joe and</t>
        </is>
      </c>
      <c r="D2752">
        <f>HYPERLINK("https://www.youtube.com/watch?v=pYQLesrKif8&amp;t=562s", "Go to time")</f>
        <v/>
      </c>
    </row>
    <row r="2753">
      <c r="A2753">
        <f>HYPERLINK("https://www.youtube.com/watch?v=pYQLesrKif8", "Video")</f>
        <v/>
      </c>
      <c r="B2753" t="inlineStr">
        <is>
          <t>11:30</t>
        </is>
      </c>
      <c r="C2753" t="inlineStr">
        <is>
          <t>directed by Anthony and Joe Russo</t>
        </is>
      </c>
      <c r="D2753">
        <f>HYPERLINK("https://www.youtube.com/watch?v=pYQLesrKif8&amp;t=690s", "Go to time")</f>
        <v/>
      </c>
    </row>
    <row r="2754">
      <c r="A2754">
        <f>HYPERLINK("https://www.youtube.com/watch?v=pYQLesrKif8", "Video")</f>
        <v/>
      </c>
      <c r="B2754" t="inlineStr">
        <is>
          <t>13:26</t>
        </is>
      </c>
      <c r="C2754" t="inlineStr">
        <is>
          <t>directed by Spike Lee critics say Fierce</t>
        </is>
      </c>
      <c r="D2754">
        <f>HYPERLINK("https://www.youtube.com/watch?v=pYQLesrKif8&amp;t=806s", "Go to time")</f>
        <v/>
      </c>
    </row>
    <row r="2755">
      <c r="A2755">
        <f>HYPERLINK("https://www.youtube.com/watch?v=pYQLesrKif8", "Video")</f>
        <v/>
      </c>
      <c r="B2755" t="inlineStr">
        <is>
          <t>14:10</t>
        </is>
      </c>
      <c r="C2755" t="inlineStr">
        <is>
          <t>the direction a purpose</t>
        </is>
      </c>
      <c r="D2755">
        <f>HYPERLINK("https://www.youtube.com/watch?v=pYQLesrKif8&amp;t=850s", "Go to time")</f>
        <v/>
      </c>
    </row>
    <row r="2756">
      <c r="A2756">
        <f>HYPERLINK("https://www.youtube.com/watch?v=pYQLesrKif8", "Video")</f>
        <v/>
      </c>
      <c r="B2756" t="inlineStr">
        <is>
          <t>15:03</t>
        </is>
      </c>
      <c r="C2756" t="inlineStr">
        <is>
          <t>directed by Anthony and Joe Russo</t>
        </is>
      </c>
      <c r="D2756">
        <f>HYPERLINK("https://www.youtube.com/watch?v=pYQLesrKif8&amp;t=903s", "Go to time")</f>
        <v/>
      </c>
    </row>
    <row r="2757">
      <c r="A2757">
        <f>HYPERLINK("https://www.youtube.com/watch?v=pYQLesrKif8", "Video")</f>
        <v/>
      </c>
      <c r="B2757" t="inlineStr">
        <is>
          <t>17:25</t>
        </is>
      </c>
      <c r="C2757" t="inlineStr">
        <is>
          <t>Glenn Turman and directed by George C</t>
        </is>
      </c>
      <c r="D2757">
        <f>HYPERLINK("https://www.youtube.com/watch?v=pYQLesrKif8&amp;t=1045s", "Go to time")</f>
        <v/>
      </c>
    </row>
    <row r="2758">
      <c r="A2758">
        <f>HYPERLINK("https://www.youtube.com/watch?v=pYQLesrKif8", "Video")</f>
        <v/>
      </c>
      <c r="B2758" t="inlineStr">
        <is>
          <t>19:30</t>
        </is>
      </c>
      <c r="C2758" t="inlineStr">
        <is>
          <t>directed by Ryan coogler critics say</t>
        </is>
      </c>
      <c r="D2758">
        <f>HYPERLINK("https://www.youtube.com/watch?v=pYQLesrKif8&amp;t=1170s", "Go to time")</f>
        <v/>
      </c>
    </row>
    <row r="2759">
      <c r="A2759">
        <f>HYPERLINK("https://www.youtube.com/watch?v=XEvALMI82cI", "Video")</f>
        <v/>
      </c>
      <c r="B2759" t="inlineStr">
        <is>
          <t>0:02</t>
        </is>
      </c>
      <c r="C2759" t="inlineStr">
        <is>
          <t>told her we could fly oh my God direct</t>
        </is>
      </c>
      <c r="D2759">
        <f>HYPERLINK("https://www.youtube.com/watch?v=XEvALMI82cI&amp;t=2s", "Go to time")</f>
        <v/>
      </c>
    </row>
    <row r="2760">
      <c r="A2760">
        <f>HYPERLINK("https://www.youtube.com/watch?v=5TGJYbtfpm0", "Video")</f>
        <v/>
      </c>
      <c r="B2760" t="inlineStr">
        <is>
          <t>0:40</t>
        </is>
      </c>
      <c r="C2760" t="inlineStr">
        <is>
          <t>in the right direction only you give me</t>
        </is>
      </c>
      <c r="D2760">
        <f>HYPERLINK("https://www.youtube.com/watch?v=5TGJYbtfpm0&amp;t=40s", "Go to time")</f>
        <v/>
      </c>
    </row>
    <row r="2761">
      <c r="A2761">
        <f>HYPERLINK("https://www.youtube.com/watch?v=F4ciZtuuKI0", "Video")</f>
        <v/>
      </c>
      <c r="B2761" t="inlineStr">
        <is>
          <t>2:11</t>
        </is>
      </c>
      <c r="C2761" t="inlineStr">
        <is>
          <t>Ascending directed by the wowski yes</t>
        </is>
      </c>
      <c r="D2761">
        <f>HYPERLINK("https://www.youtube.com/watch?v=F4ciZtuuKI0&amp;t=131s", "Go to time")</f>
        <v/>
      </c>
    </row>
    <row r="2762">
      <c r="A2762">
        <f>HYPERLINK("https://www.youtube.com/watch?v=F4ciZtuuKI0", "Video")</f>
        <v/>
      </c>
      <c r="B2762" t="inlineStr">
        <is>
          <t>2:23</t>
        </is>
      </c>
      <c r="C2762" t="inlineStr">
        <is>
          <t>highest wowski directed film on the</t>
        </is>
      </c>
      <c r="D2762">
        <f>HYPERLINK("https://www.youtube.com/watch?v=F4ciZtuuKI0&amp;t=143s", "Go to time")</f>
        <v/>
      </c>
    </row>
    <row r="2763">
      <c r="A2763">
        <f>HYPERLINK("https://www.youtube.com/watch?v=F4ciZtuuKI0", "Video")</f>
        <v/>
      </c>
      <c r="B2763" t="inlineStr">
        <is>
          <t>10:35</t>
        </is>
      </c>
      <c r="C2763" t="inlineStr">
        <is>
          <t>when it comes to costume art Direction</t>
        </is>
      </c>
      <c r="D2763">
        <f>HYPERLINK("https://www.youtube.com/watch?v=F4ciZtuuKI0&amp;t=635s", "Go to time")</f>
        <v/>
      </c>
    </row>
    <row r="2764">
      <c r="A2764">
        <f>HYPERLINK("https://www.youtube.com/watch?v=F4ciZtuuKI0", "Video")</f>
        <v/>
      </c>
      <c r="B2764" t="inlineStr">
        <is>
          <t>26:56</t>
        </is>
      </c>
      <c r="C2764" t="inlineStr">
        <is>
          <t>the wowski have tried try to direct and</t>
        </is>
      </c>
      <c r="D2764">
        <f>HYPERLINK("https://www.youtube.com/watch?v=F4ciZtuuKI0&amp;t=1616s", "Go to time")</f>
        <v/>
      </c>
    </row>
    <row r="2765">
      <c r="A2765">
        <f>HYPERLINK("https://www.youtube.com/watch?v=F4ciZtuuKI0", "Video")</f>
        <v/>
      </c>
      <c r="B2765" t="inlineStr">
        <is>
          <t>27:57</t>
        </is>
      </c>
      <c r="C2765" t="inlineStr">
        <is>
          <t>really is the mark of a great director</t>
        </is>
      </c>
      <c r="D2765">
        <f>HYPERLINK("https://www.youtube.com/watch?v=F4ciZtuuKI0&amp;t=1677s", "Go to time")</f>
        <v/>
      </c>
    </row>
    <row r="2766">
      <c r="A2766">
        <f>HYPERLINK("https://www.youtube.com/watch?v=9oq360iiCmM", "Video")</f>
        <v/>
      </c>
      <c r="B2766" t="inlineStr">
        <is>
          <t>2:35</t>
        </is>
      </c>
      <c r="C2766" t="inlineStr">
        <is>
          <t>directly popularized karate in america</t>
        </is>
      </c>
      <c r="D2766">
        <f>HYPERLINK("https://www.youtube.com/watch?v=9oq360iiCmM&amp;t=155s", "Go to time")</f>
        <v/>
      </c>
    </row>
    <row r="2767">
      <c r="A2767">
        <f>HYPERLINK("https://www.youtube.com/watch?v=9oq360iiCmM", "Video")</f>
        <v/>
      </c>
      <c r="B2767" t="inlineStr">
        <is>
          <t>4:13</t>
        </is>
      </c>
      <c r="C2767" t="inlineStr">
        <is>
          <t>producer janet yang director wayne wang</t>
        </is>
      </c>
      <c r="D2767">
        <f>HYPERLINK("https://www.youtube.com/watch?v=9oq360iiCmM&amp;t=253s", "Go to time")</f>
        <v/>
      </c>
    </row>
    <row r="2768">
      <c r="A2768">
        <f>HYPERLINK("https://www.youtube.com/watch?v=9oq360iiCmM", "Video")</f>
        <v/>
      </c>
      <c r="B2768" t="inlineStr">
        <is>
          <t>8:16</t>
        </is>
      </c>
      <c r="C2768" t="inlineStr">
        <is>
          <t>franchise director justin lin got on the</t>
        </is>
      </c>
      <c r="D2768">
        <f>HYPERLINK("https://www.youtube.com/watch?v=9oq360iiCmM&amp;t=496s", "Go to time")</f>
        <v/>
      </c>
    </row>
    <row r="2769">
      <c r="A2769">
        <f>HYPERLINK("https://www.youtube.com/watch?v=9oq360iiCmM", "Video")</f>
        <v/>
      </c>
      <c r="B2769" t="inlineStr">
        <is>
          <t>21:23</t>
        </is>
      </c>
      <c r="C2769" t="inlineStr">
        <is>
          <t>auditions until director john m chu</t>
        </is>
      </c>
      <c r="D2769">
        <f>HYPERLINK("https://www.youtube.com/watch?v=9oq360iiCmM&amp;t=1283s", "Go to time")</f>
        <v/>
      </c>
    </row>
    <row r="2770">
      <c r="A2770">
        <f>HYPERLINK("https://www.youtube.com/watch?v=9oq360iiCmM", "Video")</f>
        <v/>
      </c>
      <c r="B2770" t="inlineStr">
        <is>
          <t>22:43</t>
        </is>
      </c>
      <c r="C2770" t="inlineStr">
        <is>
          <t>attend is based on the writer director's</t>
        </is>
      </c>
      <c r="D2770">
        <f>HYPERLINK("https://www.youtube.com/watch?v=9oq360iiCmM&amp;t=1363s", "Go to time")</f>
        <v/>
      </c>
    </row>
    <row r="2771">
      <c r="A2771">
        <f>HYPERLINK("https://www.youtube.com/watch?v=9oq360iiCmM", "Video")</f>
        <v/>
      </c>
      <c r="B2771" t="inlineStr">
        <is>
          <t>25:12</t>
        </is>
      </c>
      <c r="C2771" t="inlineStr">
        <is>
          <t>zhao minati director lee isaac chung's</t>
        </is>
      </c>
      <c r="D2771">
        <f>HYPERLINK("https://www.youtube.com/watch?v=9oq360iiCmM&amp;t=1512s", "Go to time")</f>
        <v/>
      </c>
    </row>
    <row r="2772">
      <c r="A2772">
        <f>HYPERLINK("https://www.youtube.com/watch?v=9oq360iiCmM", "Video")</f>
        <v/>
      </c>
      <c r="B2772" t="inlineStr">
        <is>
          <t>25:18</t>
        </is>
      </c>
      <c r="C2772" t="inlineStr">
        <is>
          <t>filmmakers for best director</t>
        </is>
      </c>
      <c r="D2772">
        <f>HYPERLINK("https://www.youtube.com/watch?v=9oq360iiCmM&amp;t=1518s", "Go to time")</f>
        <v/>
      </c>
    </row>
    <row r="2773">
      <c r="A2773">
        <f>HYPERLINK("https://www.youtube.com/watch?v=cvtHjFWTcaU", "Video")</f>
        <v/>
      </c>
      <c r="B2773" t="inlineStr">
        <is>
          <t>1:40</t>
        </is>
      </c>
      <c r="C2773" t="inlineStr">
        <is>
          <t>directions where do I go I'm on it I'm</t>
        </is>
      </c>
      <c r="D2773">
        <f>HYPERLINK("https://www.youtube.com/watch?v=cvtHjFWTcaU&amp;t=100s", "Go to time")</f>
        <v/>
      </c>
    </row>
    <row r="2774">
      <c r="A2774">
        <f>HYPERLINK("https://www.youtube.com/watch?v=kZIVwMJnCOo", "Video")</f>
        <v/>
      </c>
      <c r="B2774" t="inlineStr">
        <is>
          <t>1:30</t>
        </is>
      </c>
      <c r="C2774" t="inlineStr">
        <is>
          <t>directed by frank marshall this is a</t>
        </is>
      </c>
      <c r="D2774">
        <f>HYPERLINK("https://www.youtube.com/watch?v=kZIVwMJnCOo&amp;t=90s", "Go to time")</f>
        <v/>
      </c>
    </row>
    <row r="2775">
      <c r="A2775">
        <f>HYPERLINK("https://www.youtube.com/watch?v=kZIVwMJnCOo", "Video")</f>
        <v/>
      </c>
      <c r="B2775" t="inlineStr">
        <is>
          <t>3:45</t>
        </is>
      </c>
      <c r="C2775" t="inlineStr">
        <is>
          <t>was directed by david frankel of the</t>
        </is>
      </c>
      <c r="D2775">
        <f>HYPERLINK("https://www.youtube.com/watch?v=kZIVwMJnCOo&amp;t=225s", "Go to time")</f>
        <v/>
      </c>
    </row>
    <row r="2776">
      <c r="A2776">
        <f>HYPERLINK("https://www.youtube.com/watch?v=kZIVwMJnCOo", "Video")</f>
        <v/>
      </c>
      <c r="B2776" t="inlineStr">
        <is>
          <t>5:34</t>
        </is>
      </c>
      <c r="C2776" t="inlineStr">
        <is>
          <t>ever at the time a direct-to-video</t>
        </is>
      </c>
      <c r="D2776">
        <f>HYPERLINK("https://www.youtube.com/watch?v=kZIVwMJnCOo&amp;t=334s", "Go to time")</f>
        <v/>
      </c>
    </row>
    <row r="2777">
      <c r="A2777">
        <f>HYPERLINK("https://www.youtube.com/watch?v=kZIVwMJnCOo", "Video")</f>
        <v/>
      </c>
      <c r="B2777" t="inlineStr">
        <is>
          <t>7:59</t>
        </is>
      </c>
      <c r="C2777" t="inlineStr">
        <is>
          <t>in 2000 plus a direct-to-animated sequel</t>
        </is>
      </c>
      <c r="D2777">
        <f>HYPERLINK("https://www.youtube.com/watch?v=kZIVwMJnCOo&amp;t=479s", "Go to time")</f>
        <v/>
      </c>
    </row>
    <row r="2778">
      <c r="A2778">
        <f>HYPERLINK("https://www.youtube.com/watch?v=kZIVwMJnCOo", "Video")</f>
        <v/>
      </c>
      <c r="B2778" t="inlineStr">
        <is>
          <t>11:30</t>
        </is>
      </c>
      <c r="C2778" t="inlineStr">
        <is>
          <t>want a talking dog it was directed by</t>
        </is>
      </c>
      <c r="D2778">
        <f>HYPERLINK("https://www.youtube.com/watch?v=kZIVwMJnCOo&amp;t=690s", "Go to time")</f>
        <v/>
      </c>
    </row>
    <row r="2779">
      <c r="A2779">
        <f>HYPERLINK("https://www.youtube.com/watch?v=kZIVwMJnCOo", "Video")</f>
        <v/>
      </c>
      <c r="B2779" t="inlineStr">
        <is>
          <t>13:29</t>
        </is>
      </c>
      <c r="C2779" t="inlineStr">
        <is>
          <t>walt disney pictures and directed by</t>
        </is>
      </c>
      <c r="D2779">
        <f>HYPERLINK("https://www.youtube.com/watch?v=kZIVwMJnCOo&amp;t=809s", "Go to time")</f>
        <v/>
      </c>
    </row>
    <row r="2780">
      <c r="A2780">
        <f>HYPERLINK("https://www.youtube.com/watch?v=kZIVwMJnCOo", "Video")</f>
        <v/>
      </c>
      <c r="B2780" t="inlineStr">
        <is>
          <t>14:18</t>
        </is>
      </c>
      <c r="C2780" t="inlineStr">
        <is>
          <t>direct descendant of the real life togo</t>
        </is>
      </c>
      <c r="D2780">
        <f>HYPERLINK("https://www.youtube.com/watch?v=kZIVwMJnCOo&amp;t=858s", "Go to time")</f>
        <v/>
      </c>
    </row>
    <row r="2781">
      <c r="A2781">
        <f>HYPERLINK("https://www.youtube.com/watch?v=kZIVwMJnCOo", "Video")</f>
        <v/>
      </c>
      <c r="B2781" t="inlineStr">
        <is>
          <t>19:49</t>
        </is>
      </c>
      <c r="C2781" t="inlineStr">
        <is>
          <t>a direct-to-video sequel lady in the</t>
        </is>
      </c>
      <c r="D2781">
        <f>HYPERLINK("https://www.youtube.com/watch?v=kZIVwMJnCOo&amp;t=1189s", "Go to time")</f>
        <v/>
      </c>
    </row>
    <row r="2782">
      <c r="A2782">
        <f>HYPERLINK("https://www.youtube.com/watch?v=kZIVwMJnCOo", "Video")</f>
        <v/>
      </c>
      <c r="B2782" t="inlineStr">
        <is>
          <t>20:34</t>
        </is>
      </c>
      <c r="C2782" t="inlineStr">
        <is>
          <t>written produced and directed by wes</t>
        </is>
      </c>
      <c r="D2782">
        <f>HYPERLINK("https://www.youtube.com/watch?v=kZIVwMJnCOo&amp;t=1234s", "Go to time")</f>
        <v/>
      </c>
    </row>
    <row r="2783">
      <c r="A2783">
        <f>HYPERLINK("https://www.youtube.com/watch?v=_lXU3tA-Yys", "Video")</f>
        <v/>
      </c>
      <c r="B2783" t="inlineStr">
        <is>
          <t>1:55</t>
        </is>
      </c>
      <c r="C2783" t="inlineStr">
        <is>
          <t>and directed by christopher macquarie</t>
        </is>
      </c>
      <c r="D2783">
        <f>HYPERLINK("https://www.youtube.com/watch?v=_lXU3tA-Yys&amp;t=115s", "Go to time")</f>
        <v/>
      </c>
    </row>
    <row r="2784">
      <c r="A2784">
        <f>HYPERLINK("https://www.youtube.com/watch?v=_lXU3tA-Yys", "Video")</f>
        <v/>
      </c>
      <c r="B2784" t="inlineStr">
        <is>
          <t>3:38</t>
        </is>
      </c>
      <c r="C2784" t="inlineStr">
        <is>
          <t>actor and director were satisfied enough</t>
        </is>
      </c>
      <c r="D2784">
        <f>HYPERLINK("https://www.youtube.com/watch?v=_lXU3tA-Yys&amp;t=218s", "Go to time")</f>
        <v/>
      </c>
    </row>
    <row r="2785">
      <c r="A2785">
        <f>HYPERLINK("https://www.youtube.com/watch?v=_lXU3tA-Yys", "Video")</f>
        <v/>
      </c>
      <c r="B2785" t="inlineStr">
        <is>
          <t>6:28</t>
        </is>
      </c>
      <c r="C2785" t="inlineStr">
        <is>
          <t>jackie chan wrote directed starred and</t>
        </is>
      </c>
      <c r="D2785">
        <f>HYPERLINK("https://www.youtube.com/watch?v=_lXU3tA-Yys&amp;t=388s", "Go to time")</f>
        <v/>
      </c>
    </row>
    <row r="2786">
      <c r="A2786">
        <f>HYPERLINK("https://www.youtube.com/watch?v=_lXU3tA-Yys", "Video")</f>
        <v/>
      </c>
      <c r="B2786" t="inlineStr">
        <is>
          <t>9:36</t>
        </is>
      </c>
      <c r="C2786" t="inlineStr">
        <is>
          <t>off himself in fact director jean de</t>
        </is>
      </c>
      <c r="D2786">
        <f>HYPERLINK("https://www.youtube.com/watch?v=_lXU3tA-Yys&amp;t=576s", "Go to time")</f>
        <v/>
      </c>
    </row>
    <row r="2787">
      <c r="A2787">
        <f>HYPERLINK("https://www.youtube.com/watch?v=_lXU3tA-Yys", "Video")</f>
        <v/>
      </c>
      <c r="B2787" t="inlineStr">
        <is>
          <t>10:11</t>
        </is>
      </c>
      <c r="C2787" t="inlineStr">
        <is>
          <t>despite the director's wishes reeves</t>
        </is>
      </c>
      <c r="D2787">
        <f>HYPERLINK("https://www.youtube.com/watch?v=_lXU3tA-Yys&amp;t=611s", "Go to time")</f>
        <v/>
      </c>
    </row>
    <row r="2788">
      <c r="A2788">
        <f>HYPERLINK("https://www.youtube.com/watch?v=_lXU3tA-Yys", "Video")</f>
        <v/>
      </c>
      <c r="B2788" t="inlineStr">
        <is>
          <t>10:19</t>
        </is>
      </c>
      <c r="C2788" t="inlineStr">
        <is>
          <t>stunt himself the director reluctantly</t>
        </is>
      </c>
      <c r="D2788">
        <f>HYPERLINK("https://www.youtube.com/watch?v=_lXU3tA-Yys&amp;t=619s", "Go to time")</f>
        <v/>
      </c>
    </row>
    <row r="2789">
      <c r="A2789">
        <f>HYPERLINK("https://www.youtube.com/watch?v=_lXU3tA-Yys", "Video")</f>
        <v/>
      </c>
      <c r="B2789" t="inlineStr">
        <is>
          <t>11:33</t>
        </is>
      </c>
      <c r="C2789" t="inlineStr">
        <is>
          <t>director duo mark neville dean and brian</t>
        </is>
      </c>
      <c r="D2789">
        <f>HYPERLINK("https://www.youtube.com/watch?v=_lXU3tA-Yys&amp;t=693s", "Go to time")</f>
        <v/>
      </c>
    </row>
    <row r="2790">
      <c r="A2790">
        <f>HYPERLINK("https://www.youtube.com/watch?v=_lXU3tA-Yys", "Video")</f>
        <v/>
      </c>
      <c r="B2790" t="inlineStr">
        <is>
          <t>14:31</t>
        </is>
      </c>
      <c r="C2790" t="inlineStr">
        <is>
          <t>director philip noyce was horrified by</t>
        </is>
      </c>
      <c r="D2790">
        <f>HYPERLINK("https://www.youtube.com/watch?v=_lXU3tA-Yys&amp;t=871s", "Go to time")</f>
        <v/>
      </c>
    </row>
    <row r="2791">
      <c r="A2791">
        <f>HYPERLINK("https://www.youtube.com/watch?v=_lXU3tA-Yys", "Video")</f>
        <v/>
      </c>
      <c r="B2791" t="inlineStr">
        <is>
          <t>16:55</t>
        </is>
      </c>
      <c r="C2791" t="inlineStr">
        <is>
          <t>but director jeff tremaine had the</t>
        </is>
      </c>
      <c r="D2791">
        <f>HYPERLINK("https://www.youtube.com/watch?v=_lXU3tA-Yys&amp;t=1015s", "Go to time")</f>
        <v/>
      </c>
    </row>
    <row r="2792">
      <c r="A2792">
        <f>HYPERLINK("https://www.youtube.com/watch?v=_lXU3tA-Yys", "Video")</f>
        <v/>
      </c>
      <c r="B2792" t="inlineStr">
        <is>
          <t>18:30</t>
        </is>
      </c>
      <c r="C2792" t="inlineStr">
        <is>
          <t>director steven spielberg later admitted</t>
        </is>
      </c>
      <c r="D2792">
        <f>HYPERLINK("https://www.youtube.com/watch?v=_lXU3tA-Yys&amp;t=1110s", "Go to time")</f>
        <v/>
      </c>
    </row>
    <row r="2793">
      <c r="A2793">
        <f>HYPERLINK("https://www.youtube.com/watch?v=_lXU3tA-Yys", "Video")</f>
        <v/>
      </c>
      <c r="B2793" t="inlineStr">
        <is>
          <t>18:39</t>
        </is>
      </c>
      <c r="C2793" t="inlineStr">
        <is>
          <t>had to run directly towards the camera</t>
        </is>
      </c>
      <c r="D2793">
        <f>HYPERLINK("https://www.youtube.com/watch?v=_lXU3tA-Yys&amp;t=1119s", "Go to time")</f>
        <v/>
      </c>
    </row>
    <row r="2794">
      <c r="A2794">
        <f>HYPERLINK("https://www.youtube.com/watch?v=_lXU3tA-Yys", "Video")</f>
        <v/>
      </c>
      <c r="B2794" t="inlineStr">
        <is>
          <t>20:14</t>
        </is>
      </c>
      <c r="C2794" t="inlineStr">
        <is>
          <t>greatest actor directors in the history</t>
        </is>
      </c>
      <c r="D2794">
        <f>HYPERLINK("https://www.youtube.com/watch?v=_lXU3tA-Yys&amp;t=1214s", "Go to time")</f>
        <v/>
      </c>
    </row>
    <row r="2795">
      <c r="A2795">
        <f>HYPERLINK("https://www.youtube.com/watch?v=sBIrCvCzCiQ", "Video")</f>
        <v/>
      </c>
      <c r="B2795" t="inlineStr">
        <is>
          <t>3:55</t>
        </is>
      </c>
      <c r="C2795" t="inlineStr">
        <is>
          <t>is your directorial debut I'd love for</t>
        </is>
      </c>
      <c r="D2795">
        <f>HYPERLINK("https://www.youtube.com/watch?v=sBIrCvCzCiQ&amp;t=235s", "Go to time")</f>
        <v/>
      </c>
    </row>
    <row r="2796">
      <c r="A2796">
        <f>HYPERLINK("https://www.youtube.com/watch?v=sBIrCvCzCiQ", "Video")</f>
        <v/>
      </c>
      <c r="B2796" t="inlineStr">
        <is>
          <t>4:04</t>
        </is>
      </c>
      <c r="C2796" t="inlineStr">
        <is>
          <t>directing when I was on Superstore</t>
        </is>
      </c>
      <c r="D2796">
        <f>HYPERLINK("https://www.youtube.com/watch?v=sBIrCvCzCiQ&amp;t=244s", "Go to time")</f>
        <v/>
      </c>
    </row>
    <row r="2797">
      <c r="A2797">
        <f>HYPERLINK("https://www.youtube.com/watch?v=sBIrCvCzCiQ", "Video")</f>
        <v/>
      </c>
      <c r="B2797" t="inlineStr">
        <is>
          <t>4:14</t>
        </is>
      </c>
      <c r="C2797" t="inlineStr">
        <is>
          <t>directing and I did more episodic stuff</t>
        </is>
      </c>
      <c r="D2797">
        <f>HYPERLINK("https://www.youtube.com/watch?v=sBIrCvCzCiQ&amp;t=254s", "Go to time")</f>
        <v/>
      </c>
    </row>
    <row r="2798">
      <c r="A2798">
        <f>HYPERLINK("https://www.youtube.com/watch?v=sBIrCvCzCiQ", "Video")</f>
        <v/>
      </c>
      <c r="B2798" t="inlineStr">
        <is>
          <t>4:36</t>
        </is>
      </c>
      <c r="C2798" t="inlineStr">
        <is>
          <t>consider directing it and you know I I</t>
        </is>
      </c>
      <c r="D2798">
        <f>HYPERLINK("https://www.youtube.com/watch?v=sBIrCvCzCiQ&amp;t=276s", "Go to time")</f>
        <v/>
      </c>
    </row>
    <row r="2799">
      <c r="A2799">
        <f>HYPERLINK("https://www.youtube.com/watch?v=sBIrCvCzCiQ", "Video")</f>
        <v/>
      </c>
      <c r="B2799" t="inlineStr">
        <is>
          <t>4:42</t>
        </is>
      </c>
      <c r="C2799" t="inlineStr">
        <is>
          <t>me as a director that that was never the</t>
        </is>
      </c>
      <c r="D2799">
        <f>HYPERLINK("https://www.youtube.com/watch?v=sBIrCvCzCiQ&amp;t=282s", "Go to time")</f>
        <v/>
      </c>
    </row>
    <row r="2800">
      <c r="A2800">
        <f>HYPERLINK("https://www.youtube.com/watch?v=HsbyYVufJ6U", "Video")</f>
        <v/>
      </c>
      <c r="B2800" t="inlineStr">
        <is>
          <t>0:45</t>
        </is>
      </c>
      <c r="C2800" t="inlineStr">
        <is>
          <t>from theaters and all but kill director</t>
        </is>
      </c>
      <c r="D2800">
        <f>HYPERLINK("https://www.youtube.com/watch?v=HsbyYVufJ6U&amp;t=45s", "Go to time")</f>
        <v/>
      </c>
    </row>
    <row r="2801">
      <c r="A2801">
        <f>HYPERLINK("https://www.youtube.com/watch?v=HsbyYVufJ6U", "Video")</f>
        <v/>
      </c>
      <c r="B2801" t="inlineStr">
        <is>
          <t>2:32</t>
        </is>
      </c>
      <c r="C2801" t="inlineStr">
        <is>
          <t>rentaro Mikuni Keiko Kishi and directed</t>
        </is>
      </c>
      <c r="D2801">
        <f>HYPERLINK("https://www.youtube.com/watch?v=HsbyYVufJ6U&amp;t=152s", "Go to time")</f>
        <v/>
      </c>
    </row>
    <row r="2802">
      <c r="A2802">
        <f>HYPERLINK("https://www.youtube.com/watch?v=HsbyYVufJ6U", "Video")</f>
        <v/>
      </c>
      <c r="B2802" t="inlineStr">
        <is>
          <t>4:19</t>
        </is>
      </c>
      <c r="C2802" t="inlineStr">
        <is>
          <t>and directed by ingmar Bergman critics</t>
        </is>
      </c>
      <c r="D2802">
        <f>HYPERLINK("https://www.youtube.com/watch?v=HsbyYVufJ6U&amp;t=259s", "Go to time")</f>
        <v/>
      </c>
    </row>
    <row r="2803">
      <c r="A2803">
        <f>HYPERLINK("https://www.youtube.com/watch?v=HsbyYVufJ6U", "Video")</f>
        <v/>
      </c>
      <c r="B2803" t="inlineStr">
        <is>
          <t>6:00</t>
        </is>
      </c>
      <c r="C2803" t="inlineStr">
        <is>
          <t>Joan Crawford Victor buono and directed</t>
        </is>
      </c>
      <c r="D2803">
        <f>HYPERLINK("https://www.youtube.com/watch?v=HsbyYVufJ6U&amp;t=360s", "Go to time")</f>
        <v/>
      </c>
    </row>
    <row r="2804">
      <c r="A2804">
        <f>HYPERLINK("https://www.youtube.com/watch?v=HsbyYVufJ6U", "Video")</f>
        <v/>
      </c>
      <c r="B2804" t="inlineStr">
        <is>
          <t>7:45</t>
        </is>
      </c>
      <c r="C2804" t="inlineStr">
        <is>
          <t>Pleshette and directed by Alfred</t>
        </is>
      </c>
      <c r="D2804">
        <f>HYPERLINK("https://www.youtube.com/watch?v=HsbyYVufJ6U&amp;t=465s", "Go to time")</f>
        <v/>
      </c>
    </row>
    <row r="2805">
      <c r="A2805">
        <f>HYPERLINK("https://www.youtube.com/watch?v=HsbyYVufJ6U", "Video")</f>
        <v/>
      </c>
      <c r="B2805" t="inlineStr">
        <is>
          <t>9:09</t>
        </is>
      </c>
      <c r="C2805" t="inlineStr">
        <is>
          <t>Stevens Pamela Franklin and directed by</t>
        </is>
      </c>
      <c r="D2805">
        <f>HYPERLINK("https://www.youtube.com/watch?v=HsbyYVufJ6U&amp;t=549s", "Go to time")</f>
        <v/>
      </c>
    </row>
    <row r="2806">
      <c r="A2806">
        <f>HYPERLINK("https://www.youtube.com/watch?v=HsbyYVufJ6U", "Video")</f>
        <v/>
      </c>
      <c r="B2806" t="inlineStr">
        <is>
          <t>10:55</t>
        </is>
      </c>
      <c r="C2806" t="inlineStr">
        <is>
          <t>Moira Shearer Anna Massey and directed</t>
        </is>
      </c>
      <c r="D2806">
        <f>HYPERLINK("https://www.youtube.com/watch?v=HsbyYVufJ6U&amp;t=655s", "Go to time")</f>
        <v/>
      </c>
    </row>
    <row r="2807">
      <c r="A2807">
        <f>HYPERLINK("https://www.youtube.com/watch?v=HsbyYVufJ6U", "Video")</f>
        <v/>
      </c>
      <c r="B2807" t="inlineStr">
        <is>
          <t>12:22</t>
        </is>
      </c>
      <c r="C2807" t="inlineStr">
        <is>
          <t>Cobb and directed by George franju</t>
        </is>
      </c>
      <c r="D2807">
        <f>HYPERLINK("https://www.youtube.com/watch?v=HsbyYVufJ6U&amp;t=742s", "Go to time")</f>
        <v/>
      </c>
    </row>
    <row r="2808">
      <c r="A2808">
        <f>HYPERLINK("https://www.youtube.com/watch?v=HsbyYVufJ6U", "Video")</f>
        <v/>
      </c>
      <c r="B2808" t="inlineStr">
        <is>
          <t>14:02</t>
        </is>
      </c>
      <c r="C2808" t="inlineStr">
        <is>
          <t>cassavetz Ruth Gordon and directed by</t>
        </is>
      </c>
      <c r="D2808">
        <f>HYPERLINK("https://www.youtube.com/watch?v=HsbyYVufJ6U&amp;t=842s", "Go to time")</f>
        <v/>
      </c>
    </row>
    <row r="2809">
      <c r="A2809">
        <f>HYPERLINK("https://www.youtube.com/watch?v=HsbyYVufJ6U", "Video")</f>
        <v/>
      </c>
      <c r="B2809" t="inlineStr">
        <is>
          <t>15:38</t>
        </is>
      </c>
      <c r="C2809" t="inlineStr">
        <is>
          <t>Judith O'Day Carl Hardman and directed</t>
        </is>
      </c>
      <c r="D2809">
        <f>HYPERLINK("https://www.youtube.com/watch?v=HsbyYVufJ6U&amp;t=938s", "Go to time")</f>
        <v/>
      </c>
    </row>
    <row r="2810">
      <c r="A2810">
        <f>HYPERLINK("https://www.youtube.com/watch?v=HsbyYVufJ6U", "Video")</f>
        <v/>
      </c>
      <c r="B2810" t="inlineStr">
        <is>
          <t>17:23</t>
        </is>
      </c>
      <c r="C2810" t="inlineStr">
        <is>
          <t>Michael Gwynn and directed by wolf rilla</t>
        </is>
      </c>
      <c r="D2810">
        <f>HYPERLINK("https://www.youtube.com/watch?v=HsbyYVufJ6U&amp;t=1043s", "Go to time")</f>
        <v/>
      </c>
    </row>
    <row r="2811">
      <c r="A2811">
        <f>HYPERLINK("https://www.youtube.com/watch?v=HsbyYVufJ6U", "Video")</f>
        <v/>
      </c>
      <c r="B2811" t="inlineStr">
        <is>
          <t>19:24</t>
        </is>
      </c>
      <c r="C2811" t="inlineStr">
        <is>
          <t>and directed by Terence Fisher Nyla</t>
        </is>
      </c>
      <c r="D2811">
        <f>HYPERLINK("https://www.youtube.com/watch?v=HsbyYVufJ6U&amp;t=1164s", "Go to time")</f>
        <v/>
      </c>
    </row>
    <row r="2812">
      <c r="A2812">
        <f>HYPERLINK("https://www.youtube.com/watch?v=HsbyYVufJ6U", "Video")</f>
        <v/>
      </c>
      <c r="B2812" t="inlineStr">
        <is>
          <t>20:46</t>
        </is>
      </c>
      <c r="C2812" t="inlineStr">
        <is>
          <t>and directed by Michael Reeves variety</t>
        </is>
      </c>
      <c r="D2812">
        <f>HYPERLINK("https://www.youtube.com/watch?v=HsbyYVufJ6U&amp;t=1246s", "Go to time")</f>
        <v/>
      </c>
    </row>
    <row r="2813">
      <c r="A2813">
        <f>HYPERLINK("https://www.youtube.com/watch?v=HsbyYVufJ6U", "Video")</f>
        <v/>
      </c>
      <c r="B2813" t="inlineStr">
        <is>
          <t>22:38</t>
        </is>
      </c>
      <c r="C2813" t="inlineStr">
        <is>
          <t>directed by Alfred Hitchcock critics say</t>
        </is>
      </c>
      <c r="D2813">
        <f>HYPERLINK("https://www.youtube.com/watch?v=HsbyYVufJ6U&amp;t=1358s", "Go to time")</f>
        <v/>
      </c>
    </row>
    <row r="2814">
      <c r="A2814">
        <f>HYPERLINK("https://www.youtube.com/watch?v=X9LjpLQfy6U", "Video")</f>
        <v/>
      </c>
      <c r="B2814" t="inlineStr">
        <is>
          <t>0:31</t>
        </is>
      </c>
      <c r="C2814" t="inlineStr">
        <is>
          <t>you went out on that bridge in direct</t>
        </is>
      </c>
      <c r="D2814">
        <f>HYPERLINK("https://www.youtube.com/watch?v=X9LjpLQfy6U&amp;t=31s", "Go to time")</f>
        <v/>
      </c>
    </row>
    <row r="2815">
      <c r="A2815">
        <f>HYPERLINK("https://www.youtube.com/watch?v=TtKSjRy7kuU", "Video")</f>
        <v/>
      </c>
      <c r="B2815" t="inlineStr">
        <is>
          <t>2:38</t>
        </is>
      </c>
      <c r="C2815" t="inlineStr">
        <is>
          <t>direction of the</t>
        </is>
      </c>
      <c r="D2815">
        <f>HYPERLINK("https://www.youtube.com/watch?v=TtKSjRy7kuU&amp;t=158s", "Go to time")</f>
        <v/>
      </c>
    </row>
    <row r="2816">
      <c r="A2816">
        <f>HYPERLINK("https://www.youtube.com/watch?v=tQPOJ5aEdjA", "Video")</f>
        <v/>
      </c>
      <c r="B2816" t="inlineStr">
        <is>
          <t>10:03</t>
        </is>
      </c>
      <c r="C2816" t="inlineStr">
        <is>
          <t>directorial debut for episode 6 of</t>
        </is>
      </c>
      <c r="D2816">
        <f>HYPERLINK("https://www.youtube.com/watch?v=tQPOJ5aEdjA&amp;t=603s", "Go to time")</f>
        <v/>
      </c>
    </row>
    <row r="2817">
      <c r="A2817">
        <f>HYPERLINK("https://www.youtube.com/watch?v=9B8HkAuHf5Q", "Video")</f>
        <v/>
      </c>
      <c r="B2817" t="inlineStr">
        <is>
          <t>1:28</t>
        </is>
      </c>
      <c r="C2817" t="inlineStr">
        <is>
          <t>slasher black christmas directed by bob</t>
        </is>
      </c>
      <c r="D2817">
        <f>HYPERLINK("https://www.youtube.com/watch?v=9B8HkAuHf5Q&amp;t=88s", "Go to time")</f>
        <v/>
      </c>
    </row>
    <row r="2818">
      <c r="A2818">
        <f>HYPERLINK("https://www.youtube.com/watch?v=9B8HkAuHf5Q", "Video")</f>
        <v/>
      </c>
      <c r="B2818" t="inlineStr">
        <is>
          <t>1:30</t>
        </is>
      </c>
      <c r="C2818" t="inlineStr">
        <is>
          <t>clark who later went on to direct a</t>
        </is>
      </c>
      <c r="D2818">
        <f>HYPERLINK("https://www.youtube.com/watch?v=9B8HkAuHf5Q&amp;t=90s", "Go to time")</f>
        <v/>
      </c>
    </row>
    <row r="2819">
      <c r="A2819">
        <f>HYPERLINK("https://www.youtube.com/watch?v=9B8HkAuHf5Q", "Video")</f>
        <v/>
      </c>
      <c r="B2819" t="inlineStr">
        <is>
          <t>5:07</t>
        </is>
      </c>
      <c r="C2819" t="inlineStr">
        <is>
          <t>trick-or-treat director michael doherty</t>
        </is>
      </c>
      <c r="D2819">
        <f>HYPERLINK("https://www.youtube.com/watch?v=9B8HkAuHf5Q&amp;t=307s", "Go to time")</f>
        <v/>
      </c>
    </row>
    <row r="2820">
      <c r="A2820">
        <f>HYPERLINK("https://www.youtube.com/watch?v=9B8HkAuHf5Q", "Video")</f>
        <v/>
      </c>
      <c r="B2820" t="inlineStr">
        <is>
          <t>7:49</t>
        </is>
      </c>
      <c r="C2820" t="inlineStr">
        <is>
          <t>industry critics lauded director joe</t>
        </is>
      </c>
      <c r="D2820">
        <f>HYPERLINK("https://www.youtube.com/watch?v=9B8HkAuHf5Q&amp;t=469s", "Go to time")</f>
        <v/>
      </c>
    </row>
    <row r="2821">
      <c r="A2821">
        <f>HYPERLINK("https://www.youtube.com/watch?v=9B8HkAuHf5Q", "Video")</f>
        <v/>
      </c>
      <c r="B2821" t="inlineStr">
        <is>
          <t>9:23</t>
        </is>
      </c>
      <c r="C2821" t="inlineStr">
        <is>
          <t>children finnish director jalmari</t>
        </is>
      </c>
      <c r="D2821">
        <f>HYPERLINK("https://www.youtube.com/watch?v=9B8HkAuHf5Q&amp;t=563s", "Go to time")</f>
        <v/>
      </c>
    </row>
    <row r="2822">
      <c r="A2822">
        <f>HYPERLINK("https://www.youtube.com/watch?v=9B8HkAuHf5Q", "Video")</f>
        <v/>
      </c>
      <c r="B2822" t="inlineStr">
        <is>
          <t>11:04</t>
        </is>
      </c>
      <c r="C2822" t="inlineStr">
        <is>
          <t>slash a comedy written and directed by</t>
        </is>
      </c>
      <c r="D2822">
        <f>HYPERLINK("https://www.youtube.com/watch?v=9B8HkAuHf5Q&amp;t=664s", "Go to time")</f>
        <v/>
      </c>
    </row>
    <row r="2823">
      <c r="A2823">
        <f>HYPERLINK("https://www.youtube.com/watch?v=9B8HkAuHf5Q", "Video")</f>
        <v/>
      </c>
      <c r="B2823" t="inlineStr">
        <is>
          <t>13:18</t>
        </is>
      </c>
      <c r="C2823" t="inlineStr">
        <is>
          <t>oxenbold however director and co-writer</t>
        </is>
      </c>
      <c r="D2823">
        <f>HYPERLINK("https://www.youtube.com/watch?v=9B8HkAuHf5Q&amp;t=798s", "Go to time")</f>
        <v/>
      </c>
    </row>
    <row r="2824">
      <c r="A2824">
        <f>HYPERLINK("https://www.youtube.com/watch?v=9B8HkAuHf5Q", "Video")</f>
        <v/>
      </c>
      <c r="B2824" t="inlineStr">
        <is>
          <t>14:22</t>
        </is>
      </c>
      <c r="C2824" t="inlineStr">
        <is>
          <t>direct-to-video comedy slasher set in</t>
        </is>
      </c>
      <c r="D2824">
        <f>HYPERLINK("https://www.youtube.com/watch?v=9B8HkAuHf5Q&amp;t=862s", "Go to time")</f>
        <v/>
      </c>
    </row>
    <row r="2825">
      <c r="A2825">
        <f>HYPERLINK("https://www.youtube.com/watch?v=9B8HkAuHf5Q", "Video")</f>
        <v/>
      </c>
      <c r="B2825" t="inlineStr">
        <is>
          <t>15:14</t>
        </is>
      </c>
      <c r="C2825" t="inlineStr">
        <is>
          <t>director michael cooney claiming that</t>
        </is>
      </c>
      <c r="D2825">
        <f>HYPERLINK("https://www.youtube.com/watch?v=9B8HkAuHf5Q&amp;t=914s", "Go to time")</f>
        <v/>
      </c>
    </row>
    <row r="2826">
      <c r="A2826">
        <f>HYPERLINK("https://www.youtube.com/watch?v=9B8HkAuHf5Q", "Video")</f>
        <v/>
      </c>
      <c r="B2826" t="inlineStr">
        <is>
          <t>16:09</t>
        </is>
      </c>
      <c r="C2826" t="inlineStr">
        <is>
          <t>the children directed by tom shankland</t>
        </is>
      </c>
      <c r="D2826">
        <f>HYPERLINK("https://www.youtube.com/watch?v=9B8HkAuHf5Q&amp;t=969s", "Go to time")</f>
        <v/>
      </c>
    </row>
    <row r="2827">
      <c r="A2827">
        <f>HYPERLINK("https://www.youtube.com/watch?v=9B8HkAuHf5Q", "Video")</f>
        <v/>
      </c>
      <c r="B2827" t="inlineStr">
        <is>
          <t>18:14</t>
        </is>
      </c>
      <c r="C2827" t="inlineStr">
        <is>
          <t>night was directed by charles celia jr</t>
        </is>
      </c>
      <c r="D2827">
        <f>HYPERLINK("https://www.youtube.com/watch?v=9B8HkAuHf5Q&amp;t=1094s", "Go to time")</f>
        <v/>
      </c>
    </row>
    <row r="2828">
      <c r="A2828">
        <f>HYPERLINK("https://www.youtube.com/watch?v=9B8HkAuHf5Q", "Video")</f>
        <v/>
      </c>
      <c r="B2828" t="inlineStr">
        <is>
          <t>20:22</t>
        </is>
      </c>
      <c r="C2828" t="inlineStr">
        <is>
          <t>lodge directed and written by filmmaking</t>
        </is>
      </c>
      <c r="D2828">
        <f>HYPERLINK("https://www.youtube.com/watch?v=9B8HkAuHf5Q&amp;t=1222s", "Go to time")</f>
        <v/>
      </c>
    </row>
    <row r="2829">
      <c r="A2829">
        <f>HYPERLINK("https://www.youtube.com/watch?v=Eej8yh8O-uU", "Video")</f>
        <v/>
      </c>
      <c r="B2829" t="inlineStr">
        <is>
          <t>0:48</t>
        </is>
      </c>
      <c r="C2829" t="inlineStr">
        <is>
          <t>directed co-written and produced by</t>
        </is>
      </c>
      <c r="D2829">
        <f>HYPERLINK("https://www.youtube.com/watch?v=Eej8yh8O-uU&amp;t=48s", "Go to time")</f>
        <v/>
      </c>
    </row>
    <row r="2830">
      <c r="A2830">
        <f>HYPERLINK("https://www.youtube.com/watch?v=Eej8yh8O-uU", "Video")</f>
        <v/>
      </c>
      <c r="B2830" t="inlineStr">
        <is>
          <t>3:25</t>
        </is>
      </c>
      <c r="C2830" t="inlineStr">
        <is>
          <t>directed by you guessed it Christopher</t>
        </is>
      </c>
      <c r="D2830">
        <f>HYPERLINK("https://www.youtube.com/watch?v=Eej8yh8O-uU&amp;t=205s", "Go to time")</f>
        <v/>
      </c>
    </row>
    <row r="2831">
      <c r="A2831">
        <f>HYPERLINK("https://www.youtube.com/watch?v=Eej8yh8O-uU", "Video")</f>
        <v/>
      </c>
      <c r="B2831" t="inlineStr">
        <is>
          <t>4:57</t>
        </is>
      </c>
      <c r="C2831" t="inlineStr">
        <is>
          <t>now this one was written and directed by</t>
        </is>
      </c>
      <c r="D2831">
        <f>HYPERLINK("https://www.youtube.com/watch?v=Eej8yh8O-uU&amp;t=297s", "Go to time")</f>
        <v/>
      </c>
    </row>
    <row r="2832">
      <c r="A2832">
        <f>HYPERLINK("https://www.youtube.com/watch?v=Eej8yh8O-uU", "Video")</f>
        <v/>
      </c>
      <c r="B2832" t="inlineStr">
        <is>
          <t>8:17</t>
        </is>
      </c>
      <c r="C2832" t="inlineStr">
        <is>
          <t>film for director Christopher Nolan and</t>
        </is>
      </c>
      <c r="D2832">
        <f>HYPERLINK("https://www.youtube.com/watch?v=Eej8yh8O-uU&amp;t=497s", "Go to time")</f>
        <v/>
      </c>
    </row>
    <row r="2833">
      <c r="A2833">
        <f>HYPERLINK("https://www.youtube.com/watch?v=Eej8yh8O-uU", "Video")</f>
        <v/>
      </c>
      <c r="B2833" t="inlineStr">
        <is>
          <t>9:11</t>
        </is>
      </c>
      <c r="C2833" t="inlineStr">
        <is>
          <t>this 2017 film was written directed and</t>
        </is>
      </c>
      <c r="D2833">
        <f>HYPERLINK("https://www.youtube.com/watch?v=Eej8yh8O-uU&amp;t=551s", "Go to time")</f>
        <v/>
      </c>
    </row>
    <row r="2834">
      <c r="A2834">
        <f>HYPERLINK("https://www.youtube.com/watch?v=Eej8yh8O-uU", "Video")</f>
        <v/>
      </c>
      <c r="B2834" t="inlineStr">
        <is>
          <t>10:16</t>
        </is>
      </c>
      <c r="C2834" t="inlineStr">
        <is>
          <t>best director and taking home three</t>
        </is>
      </c>
      <c r="D2834">
        <f>HYPERLINK("https://www.youtube.com/watch?v=Eej8yh8O-uU&amp;t=616s", "Go to time")</f>
        <v/>
      </c>
    </row>
    <row r="2835">
      <c r="A2835">
        <f>HYPERLINK("https://www.youtube.com/watch?v=Eej8yh8O-uU", "Video")</f>
        <v/>
      </c>
      <c r="B2835" t="inlineStr">
        <is>
          <t>10:34</t>
        </is>
      </c>
      <c r="C2835" t="inlineStr">
        <is>
          <t>and directed by Nolan and based on the</t>
        </is>
      </c>
      <c r="D2835">
        <f>HYPERLINK("https://www.youtube.com/watch?v=Eej8yh8O-uU&amp;t=634s", "Go to time")</f>
        <v/>
      </c>
    </row>
    <row r="2836">
      <c r="A2836">
        <f>HYPERLINK("https://www.youtube.com/watch?v=Eej8yh8O-uU", "Video")</f>
        <v/>
      </c>
      <c r="B2836" t="inlineStr">
        <is>
          <t>13:29</t>
        </is>
      </c>
      <c r="C2836" t="inlineStr">
        <is>
          <t>directed by the trifecta that is</t>
        </is>
      </c>
      <c r="D2836">
        <f>HYPERLINK("https://www.youtube.com/watch?v=Eej8yh8O-uU&amp;t=809s", "Go to time")</f>
        <v/>
      </c>
    </row>
    <row r="2837">
      <c r="A2837">
        <f>HYPERLINK("https://www.youtube.com/watch?v=Eej8yh8O-uU", "Video")</f>
        <v/>
      </c>
      <c r="B2837" t="inlineStr">
        <is>
          <t>14:42</t>
        </is>
      </c>
      <c r="C2837" t="inlineStr">
        <is>
          <t>became one of the first directors to</t>
        </is>
      </c>
      <c r="D2837">
        <f>HYPERLINK("https://www.youtube.com/watch?v=Eej8yh8O-uU&amp;t=882s", "Go to time")</f>
        <v/>
      </c>
    </row>
    <row r="2838">
      <c r="A2838">
        <f>HYPERLINK("https://www.youtube.com/watch?v=gaBwVKvi02M", "Video")</f>
        <v/>
      </c>
      <c r="B2838" t="inlineStr">
        <is>
          <t>0:14</t>
        </is>
      </c>
      <c r="C2838" t="inlineStr">
        <is>
          <t>17,000 cleared direct to Albuquerque via</t>
        </is>
      </c>
      <c r="D2838">
        <f>HYPERLINK("https://www.youtube.com/watch?v=gaBwVKvi02M&amp;t=14s", "Go to time")</f>
        <v/>
      </c>
    </row>
    <row r="2839">
      <c r="A2839">
        <f>HYPERLINK("https://www.youtube.com/watch?v=gaBwVKvi02M", "Video")</f>
        <v/>
      </c>
      <c r="B2839" t="inlineStr">
        <is>
          <t>0:27</t>
        </is>
      </c>
      <c r="C2839" t="inlineStr">
        <is>
          <t>again lifeguard 46 clear direct</t>
        </is>
      </c>
      <c r="D2839">
        <f>HYPERLINK("https://www.youtube.com/watch?v=gaBwVKvi02M&amp;t=27s", "Go to time")</f>
        <v/>
      </c>
    </row>
    <row r="2840">
      <c r="A2840">
        <f>HYPERLINK("https://www.youtube.com/watch?v=2rOtDC_OAsc", "Video")</f>
        <v/>
      </c>
      <c r="B2840" t="inlineStr">
        <is>
          <t>12:37</t>
        </is>
      </c>
      <c r="C2840" t="inlineStr">
        <is>
          <t>knew that you directed that you know it</t>
        </is>
      </c>
      <c r="D2840">
        <f>HYPERLINK("https://www.youtube.com/watch?v=2rOtDC_OAsc&amp;t=757s", "Go to time")</f>
        <v/>
      </c>
    </row>
    <row r="2841">
      <c r="A2841">
        <f>HYPERLINK("https://www.youtube.com/watch?v=2rOtDC_OAsc", "Video")</f>
        <v/>
      </c>
      <c r="B2841" t="inlineStr">
        <is>
          <t>13:09</t>
        </is>
      </c>
      <c r="C2841" t="inlineStr">
        <is>
          <t>directors to watch and all of that I</t>
        </is>
      </c>
      <c r="D2841">
        <f>HYPERLINK("https://www.youtube.com/watch?v=2rOtDC_OAsc&amp;t=789s", "Go to time")</f>
        <v/>
      </c>
    </row>
    <row r="2842">
      <c r="A2842">
        <f>HYPERLINK("https://www.youtube.com/watch?v=2rOtDC_OAsc", "Video")</f>
        <v/>
      </c>
      <c r="B2842" t="inlineStr">
        <is>
          <t>13:29</t>
        </is>
      </c>
      <c r="C2842" t="inlineStr">
        <is>
          <t>that do you I know that you had directed</t>
        </is>
      </c>
      <c r="D2842">
        <f>HYPERLINK("https://www.youtube.com/watch?v=2rOtDC_OAsc&amp;t=809s", "Go to time")</f>
        <v/>
      </c>
    </row>
    <row r="2843">
      <c r="A2843">
        <f>HYPERLINK("https://www.youtube.com/watch?v=2rOtDC_OAsc", "Video")</f>
        <v/>
      </c>
      <c r="B2843" t="inlineStr">
        <is>
          <t>13:34</t>
        </is>
      </c>
      <c r="C2843" t="inlineStr">
        <is>
          <t>get back in the director's chair is that</t>
        </is>
      </c>
      <c r="D2843">
        <f>HYPERLINK("https://www.youtube.com/watch?v=2rOtDC_OAsc&amp;t=814s", "Go to time")</f>
        <v/>
      </c>
    </row>
    <row r="2844">
      <c r="A2844">
        <f>HYPERLINK("https://www.youtube.com/watch?v=2rOtDC_OAsc", "Video")</f>
        <v/>
      </c>
      <c r="B2844" t="inlineStr">
        <is>
          <t>13:40</t>
        </is>
      </c>
      <c r="C2844" t="inlineStr">
        <is>
          <t>IMDb lies yeah no I did direct a few</t>
        </is>
      </c>
      <c r="D2844">
        <f>HYPERLINK("https://www.youtube.com/watch?v=2rOtDC_OAsc&amp;t=820s", "Go to time")</f>
        <v/>
      </c>
    </row>
    <row r="2845">
      <c r="A2845">
        <f>HYPERLINK("https://www.youtube.com/watch?v=2rOtDC_OAsc", "Video")</f>
        <v/>
      </c>
      <c r="B2845" t="inlineStr">
        <is>
          <t>20:25</t>
        </is>
      </c>
      <c r="C2845" t="inlineStr">
        <is>
          <t>filmmakers directors and collaborators</t>
        </is>
      </c>
      <c r="D2845">
        <f>HYPERLINK("https://www.youtube.com/watch?v=2rOtDC_OAsc&amp;t=1225s", "Go to time")</f>
        <v/>
      </c>
    </row>
    <row r="2846">
      <c r="A2846">
        <f>HYPERLINK("https://www.youtube.com/watch?v=2rOtDC_OAsc", "Video")</f>
        <v/>
      </c>
      <c r="B2846" t="inlineStr">
        <is>
          <t>20:33</t>
        </is>
      </c>
      <c r="C2846" t="inlineStr">
        <is>
          <t>you've gotten from a director or advice</t>
        </is>
      </c>
      <c r="D2846">
        <f>HYPERLINK("https://www.youtube.com/watch?v=2rOtDC_OAsc&amp;t=1233s", "Go to time")</f>
        <v/>
      </c>
    </row>
    <row r="2847">
      <c r="A2847">
        <f>HYPERLINK("https://www.youtube.com/watch?v=2rOtDC_OAsc", "Video")</f>
        <v/>
      </c>
      <c r="B2847" t="inlineStr">
        <is>
          <t>20:53</t>
        </is>
      </c>
      <c r="C2847" t="inlineStr">
        <is>
          <t>BR Luchi was one of the best directors</t>
        </is>
      </c>
      <c r="D2847">
        <f>HYPERLINK("https://www.youtube.com/watch?v=2rOtDC_OAsc&amp;t=1253s", "Go to time")</f>
        <v/>
      </c>
    </row>
    <row r="2848">
      <c r="A2848">
        <f>HYPERLINK("https://www.youtube.com/watch?v=2rOtDC_OAsc", "Video")</f>
        <v/>
      </c>
      <c r="B2848" t="inlineStr">
        <is>
          <t>21:08</t>
        </is>
      </c>
      <c r="C2848" t="inlineStr">
        <is>
          <t>it's just a lot of some of the directors</t>
        </is>
      </c>
      <c r="D2848">
        <f>HYPERLINK("https://www.youtube.com/watch?v=2rOtDC_OAsc&amp;t=1268s", "Go to time")</f>
        <v/>
      </c>
    </row>
    <row r="2849">
      <c r="A2849">
        <f>HYPERLINK("https://www.youtube.com/watch?v=2rOtDC_OAsc", "Video")</f>
        <v/>
      </c>
      <c r="B2849" t="inlineStr">
        <is>
          <t>24:38</t>
        </is>
      </c>
      <c r="C2849" t="inlineStr">
        <is>
          <t>directors who who could help an actor</t>
        </is>
      </c>
      <c r="D2849">
        <f>HYPERLINK("https://www.youtube.com/watch?v=2rOtDC_OAsc&amp;t=1478s", "Go to time")</f>
        <v/>
      </c>
    </row>
    <row r="2850">
      <c r="A2850">
        <f>HYPERLINK("https://www.youtube.com/watch?v=FVb3t-8D8Lk", "Video")</f>
        <v/>
      </c>
      <c r="B2850" t="inlineStr">
        <is>
          <t>0:18</t>
        </is>
      </c>
      <c r="C2850" t="inlineStr">
        <is>
          <t>director kind of the best scene to the</t>
        </is>
      </c>
      <c r="D2850">
        <f>HYPERLINK("https://www.youtube.com/watch?v=FVb3t-8D8Lk&amp;t=18s", "Go to time")</f>
        <v/>
      </c>
    </row>
    <row r="2851">
      <c r="A2851">
        <f>HYPERLINK("https://www.youtube.com/watch?v=FVb3t-8D8Lk", "Video")</f>
        <v/>
      </c>
      <c r="B2851" t="inlineStr">
        <is>
          <t>0:19</t>
        </is>
      </c>
      <c r="C2851" t="inlineStr">
        <is>
          <t>director yeah okay I like that question</t>
        </is>
      </c>
      <c r="D2851">
        <f>HYPERLINK("https://www.youtube.com/watch?v=FVb3t-8D8Lk&amp;t=19s", "Go to time")</f>
        <v/>
      </c>
    </row>
    <row r="2852">
      <c r="A2852">
        <f>HYPERLINK("https://www.youtube.com/watch?v=FVb3t-8D8Lk", "Video")</f>
        <v/>
      </c>
      <c r="B2852" t="inlineStr">
        <is>
          <t>1:09</t>
        </is>
      </c>
      <c r="C2852" t="inlineStr">
        <is>
          <t>like your like favorite scene to direct</t>
        </is>
      </c>
      <c r="D2852">
        <f>HYPERLINK("https://www.youtube.com/watch?v=FVb3t-8D8Lk&amp;t=69s", "Go to time")</f>
        <v/>
      </c>
    </row>
    <row r="2853">
      <c r="A2853">
        <f>HYPERLINK("https://www.youtube.com/watch?v=FVb3t-8D8Lk", "Video")</f>
        <v/>
      </c>
      <c r="B2853" t="inlineStr">
        <is>
          <t>1:12</t>
        </is>
      </c>
      <c r="C2853" t="inlineStr">
        <is>
          <t>like as like a director you know what's</t>
        </is>
      </c>
      <c r="D2853">
        <f>HYPERLINK("https://www.youtube.com/watch?v=FVb3t-8D8Lk&amp;t=72s", "Go to time")</f>
        <v/>
      </c>
    </row>
    <row r="2854">
      <c r="A2854">
        <f>HYPERLINK("https://www.youtube.com/watch?v=FVb3t-8D8Lk", "Video")</f>
        <v/>
      </c>
      <c r="B2854" t="inlineStr">
        <is>
          <t>1:17</t>
        </is>
      </c>
      <c r="C2854" t="inlineStr">
        <is>
          <t>being a director but like I think I'm</t>
        </is>
      </c>
      <c r="D2854">
        <f>HYPERLINK("https://www.youtube.com/watch?v=FVb3t-8D8Lk&amp;t=77s", "Go to time")</f>
        <v/>
      </c>
    </row>
    <row r="2855">
      <c r="A2855">
        <f>HYPERLINK("https://www.youtube.com/watch?v=FVb3t-8D8Lk", "Video")</f>
        <v/>
      </c>
      <c r="B2855" t="inlineStr">
        <is>
          <t>1:25</t>
        </is>
      </c>
      <c r="C2855" t="inlineStr">
        <is>
          <t>time making the movie but as a director</t>
        </is>
      </c>
      <c r="D2855">
        <f>HYPERLINK("https://www.youtube.com/watch?v=FVb3t-8D8Lk&amp;t=85s", "Go to time")</f>
        <v/>
      </c>
    </row>
    <row r="2856">
      <c r="A2856">
        <f>HYPERLINK("https://www.youtube.com/watch?v=FVb3t-8D8Lk", "Video")</f>
        <v/>
      </c>
      <c r="B2856" t="inlineStr">
        <is>
          <t>6:30</t>
        </is>
      </c>
      <c r="C2856" t="inlineStr">
        <is>
          <t>not about directing or just about the</t>
        </is>
      </c>
      <c r="D2856">
        <f>HYPERLINK("https://www.youtube.com/watch?v=FVb3t-8D8Lk&amp;t=390s", "Go to time")</f>
        <v/>
      </c>
    </row>
    <row r="2857">
      <c r="A2857">
        <f>HYPERLINK("https://www.youtube.com/watch?v=FVb3t-8D8Lk", "Video")</f>
        <v/>
      </c>
      <c r="B2857" t="inlineStr">
        <is>
          <t>13:02</t>
        </is>
      </c>
      <c r="C2857" t="inlineStr">
        <is>
          <t>films it's a good tool as a director to</t>
        </is>
      </c>
      <c r="D2857">
        <f>HYPERLINK("https://www.youtube.com/watch?v=FVb3t-8D8Lk&amp;t=782s", "Go to time")</f>
        <v/>
      </c>
    </row>
    <row r="2858">
      <c r="A2858">
        <f>HYPERLINK("https://www.youtube.com/watch?v=FVb3t-8D8Lk", "Video")</f>
        <v/>
      </c>
      <c r="B2858" t="inlineStr">
        <is>
          <t>13:08</t>
        </is>
      </c>
      <c r="C2858" t="inlineStr">
        <is>
          <t>you're directing you know exactly what</t>
        </is>
      </c>
      <c r="D2858">
        <f>HYPERLINK("https://www.youtube.com/watch?v=FVb3t-8D8Lk&amp;t=788s", "Go to time")</f>
        <v/>
      </c>
    </row>
    <row r="2859">
      <c r="A2859">
        <f>HYPERLINK("https://www.youtube.com/watch?v=FVb3t-8D8Lk", "Video")</f>
        <v/>
      </c>
      <c r="B2859" t="inlineStr">
        <is>
          <t>13:55</t>
        </is>
      </c>
      <c r="C2859" t="inlineStr">
        <is>
          <t>I I sort of aware of certain directors</t>
        </is>
      </c>
      <c r="D2859">
        <f>HYPERLINK("https://www.youtube.com/watch?v=FVb3t-8D8Lk&amp;t=835s", "Go to time")</f>
        <v/>
      </c>
    </row>
    <row r="2860">
      <c r="A2860">
        <f>HYPERLINK("https://www.youtube.com/watch?v=DEyk4umEfmw", "Video")</f>
        <v/>
      </c>
      <c r="B2860" t="inlineStr">
        <is>
          <t>2:19</t>
        </is>
      </c>
      <c r="C2860" t="inlineStr">
        <is>
          <t>energy the matter directly but the bomb</t>
        </is>
      </c>
      <c r="D2860">
        <f>HYPERLINK("https://www.youtube.com/watch?v=DEyk4umEfmw&amp;t=139s", "Go to time")</f>
        <v/>
      </c>
    </row>
    <row r="2861">
      <c r="A2861">
        <f>HYPERLINK("https://www.youtube.com/watch?v=1CtSkQ88PfA", "Video")</f>
        <v/>
      </c>
      <c r="B2861" t="inlineStr">
        <is>
          <t>1:17</t>
        </is>
      </c>
      <c r="C2861" t="inlineStr">
        <is>
          <t>direction</t>
        </is>
      </c>
      <c r="D2861">
        <f>HYPERLINK("https://www.youtube.com/watch?v=1CtSkQ88PfA&amp;t=77s", "Go to time")</f>
        <v/>
      </c>
    </row>
    <row r="2862">
      <c r="A2862">
        <f>HYPERLINK("https://www.youtube.com/watch?v=HRTCrjp1ScY", "Video")</f>
        <v/>
      </c>
      <c r="B2862" t="inlineStr">
        <is>
          <t>38:39</t>
        </is>
      </c>
      <c r="C2862" t="inlineStr">
        <is>
          <t>director talked about it like this was</t>
        </is>
      </c>
      <c r="D2862">
        <f>HYPERLINK("https://www.youtube.com/watch?v=HRTCrjp1ScY&amp;t=2319s", "Go to time")</f>
        <v/>
      </c>
    </row>
    <row r="2863">
      <c r="A2863">
        <f>HYPERLINK("https://www.youtube.com/watch?v=HRTCrjp1ScY", "Video")</f>
        <v/>
      </c>
      <c r="B2863" t="inlineStr">
        <is>
          <t>43:47</t>
        </is>
      </c>
      <c r="C2863" t="inlineStr">
        <is>
          <t>thinking about what direction you're</t>
        </is>
      </c>
      <c r="D2863">
        <f>HYPERLINK("https://www.youtube.com/watch?v=HRTCrjp1ScY&amp;t=2627s", "Go to time")</f>
        <v/>
      </c>
    </row>
    <row r="2864">
      <c r="A2864">
        <f>HYPERLINK("https://www.youtube.com/watch?v=HRTCrjp1ScY", "Video")</f>
        <v/>
      </c>
      <c r="B2864" t="inlineStr">
        <is>
          <t>57:45</t>
        </is>
      </c>
      <c r="C2864" t="inlineStr">
        <is>
          <t>like directors that I know that I'm a</t>
        </is>
      </c>
      <c r="D2864">
        <f>HYPERLINK("https://www.youtube.com/watch?v=HRTCrjp1ScY&amp;t=3465s", "Go to time")</f>
        <v/>
      </c>
    </row>
    <row r="2865">
      <c r="A2865">
        <f>HYPERLINK("https://www.youtube.com/watch?v=HRTCrjp1ScY", "Video")</f>
        <v/>
      </c>
      <c r="B2865" t="inlineStr">
        <is>
          <t>61:04</t>
        </is>
      </c>
      <c r="C2865" t="inlineStr">
        <is>
          <t>his director's bag but he actually did</t>
        </is>
      </c>
      <c r="D2865">
        <f>HYPERLINK("https://www.youtube.com/watch?v=HRTCrjp1ScY&amp;t=3664s", "Go to time")</f>
        <v/>
      </c>
    </row>
    <row r="2866">
      <c r="A2866">
        <f>HYPERLINK("https://www.youtube.com/watch?v=HRTCrjp1ScY", "Video")</f>
        <v/>
      </c>
      <c r="B2866" t="inlineStr">
        <is>
          <t>62:47</t>
        </is>
      </c>
      <c r="C2866" t="inlineStr">
        <is>
          <t>picture Best Director whatever like like</t>
        </is>
      </c>
      <c r="D2866">
        <f>HYPERLINK("https://www.youtube.com/watch?v=HRTCrjp1ScY&amp;t=3767s", "Go to time")</f>
        <v/>
      </c>
    </row>
    <row r="2867">
      <c r="A2867">
        <f>HYPERLINK("https://www.youtube.com/watch?v=HRTCrjp1ScY", "Video")</f>
        <v/>
      </c>
      <c r="B2867" t="inlineStr">
        <is>
          <t>62:55</t>
        </is>
      </c>
      <c r="C2867" t="inlineStr">
        <is>
          <t>directed and I was like I was kind of</t>
        </is>
      </c>
      <c r="D2867">
        <f>HYPERLINK("https://www.youtube.com/watch?v=HRTCrjp1ScY&amp;t=3775s", "Go to time")</f>
        <v/>
      </c>
    </row>
    <row r="2868">
      <c r="A2868">
        <f>HYPERLINK("https://www.youtube.com/watch?v=HRTCrjp1ScY", "Video")</f>
        <v/>
      </c>
      <c r="B2868" t="inlineStr">
        <is>
          <t>63:09</t>
        </is>
      </c>
      <c r="C2868" t="inlineStr">
        <is>
          <t>won Direction it did won Direction yeah</t>
        </is>
      </c>
      <c r="D2868">
        <f>HYPERLINK("https://www.youtube.com/watch?v=HRTCrjp1ScY&amp;t=3789s", "Go to time")</f>
        <v/>
      </c>
    </row>
    <row r="2869">
      <c r="A2869">
        <f>HYPERLINK("https://www.youtube.com/watch?v=-1G40QxfP04", "Video")</f>
        <v/>
      </c>
      <c r="B2869" t="inlineStr">
        <is>
          <t>1:01</t>
        </is>
      </c>
      <c r="C2869" t="inlineStr">
        <is>
          <t>him I think you want to wow the director</t>
        </is>
      </c>
      <c r="D2869">
        <f>HYPERLINK("https://www.youtube.com/watch?v=-1G40QxfP04&amp;t=61s", "Go to time")</f>
        <v/>
      </c>
    </row>
    <row r="2870">
      <c r="A2870">
        <f>HYPERLINK("https://www.youtube.com/watch?v=d_r092bmrCs", "Video")</f>
        <v/>
      </c>
      <c r="B2870" t="inlineStr">
        <is>
          <t>1:16</t>
        </is>
      </c>
      <c r="C2870" t="inlineStr">
        <is>
          <t>I'm talking about the indirect violence</t>
        </is>
      </c>
      <c r="D2870">
        <f>HYPERLINK("https://www.youtube.com/watch?v=d_r092bmrCs&amp;t=76s", "Go to time")</f>
        <v/>
      </c>
    </row>
    <row r="2871">
      <c r="A2871">
        <f>HYPERLINK("https://www.youtube.com/watch?v=CC48HudGqVk", "Video")</f>
        <v/>
      </c>
      <c r="B2871" t="inlineStr">
        <is>
          <t>0:46</t>
        </is>
      </c>
      <c r="C2871" t="inlineStr">
        <is>
          <t>a writer director actor Jack of all</t>
        </is>
      </c>
      <c r="D2871">
        <f>HYPERLINK("https://www.youtube.com/watch?v=CC48HudGqVk&amp;t=46s", "Go to time")</f>
        <v/>
      </c>
    </row>
    <row r="2872">
      <c r="A2872">
        <f>HYPERLINK("https://www.youtube.com/watch?v=CC48HudGqVk", "Video")</f>
        <v/>
      </c>
      <c r="B2872" t="inlineStr">
        <is>
          <t>3:38</t>
        </is>
      </c>
      <c r="C2872" t="inlineStr">
        <is>
          <t>direction now do we get things turned</t>
        </is>
      </c>
      <c r="D2872">
        <f>HYPERLINK("https://www.youtube.com/watch?v=CC48HudGqVk&amp;t=218s", "Go to time")</f>
        <v/>
      </c>
    </row>
    <row r="2873">
      <c r="A2873">
        <f>HYPERLINK("https://www.youtube.com/watch?v=CC48HudGqVk", "Video")</f>
        <v/>
      </c>
      <c r="B2873" t="inlineStr">
        <is>
          <t>20:21</t>
        </is>
      </c>
      <c r="C2873" t="inlineStr">
        <is>
          <t>giant ship in One Direction Another but</t>
        </is>
      </c>
      <c r="D2873">
        <f>HYPERLINK("https://www.youtube.com/watch?v=CC48HudGqVk&amp;t=1221s", "Go to time")</f>
        <v/>
      </c>
    </row>
    <row r="2874">
      <c r="A2874">
        <f>HYPERLINK("https://www.youtube.com/watch?v=CC48HudGqVk", "Video")</f>
        <v/>
      </c>
      <c r="B2874" t="inlineStr">
        <is>
          <t>25:31</t>
        </is>
      </c>
      <c r="C2874" t="inlineStr">
        <is>
          <t>coach he's amazing director vo has done</t>
        </is>
      </c>
      <c r="D2874">
        <f>HYPERLINK("https://www.youtube.com/watch?v=CC48HudGqVk&amp;t=1531s", "Go to time")</f>
        <v/>
      </c>
    </row>
    <row r="2875">
      <c r="A2875">
        <f>HYPERLINK("https://www.youtube.com/watch?v=CC48HudGqVk", "Video")</f>
        <v/>
      </c>
      <c r="B2875" t="inlineStr">
        <is>
          <t>30:43</t>
        </is>
      </c>
      <c r="C2875" t="inlineStr">
        <is>
          <t>just again you look at who directed the</t>
        </is>
      </c>
      <c r="D2875">
        <f>HYPERLINK("https://www.youtube.com/watch?v=CC48HudGqVk&amp;t=1843s", "Go to time")</f>
        <v/>
      </c>
    </row>
    <row r="2876">
      <c r="A2876">
        <f>HYPERLINK("https://www.youtube.com/watch?v=CC48HudGqVk", "Video")</f>
        <v/>
      </c>
      <c r="B2876" t="inlineStr">
        <is>
          <t>34:30</t>
        </is>
      </c>
      <c r="C2876" t="inlineStr">
        <is>
          <t>again Travis Knight directed it yeah and</t>
        </is>
      </c>
      <c r="D2876">
        <f>HYPERLINK("https://www.youtube.com/watch?v=CC48HudGqVk&amp;t=2070s", "Go to time")</f>
        <v/>
      </c>
    </row>
    <row r="2877">
      <c r="A2877">
        <f>HYPERLINK("https://www.youtube.com/watch?v=CC48HudGqVk", "Video")</f>
        <v/>
      </c>
      <c r="B2877" t="inlineStr">
        <is>
          <t>36:08</t>
        </is>
      </c>
      <c r="C2877" t="inlineStr">
        <is>
          <t>that but for now it's also directed by</t>
        </is>
      </c>
      <c r="D2877">
        <f>HYPERLINK("https://www.youtube.com/watch?v=CC48HudGqVk&amp;t=2168s", "Go to time")</f>
        <v/>
      </c>
    </row>
    <row r="2878">
      <c r="A2878">
        <f>HYPERLINK("https://www.youtube.com/watch?v=CC48HudGqVk", "Video")</f>
        <v/>
      </c>
      <c r="B2878" t="inlineStr">
        <is>
          <t>36:16</t>
        </is>
      </c>
      <c r="C2878" t="inlineStr">
        <is>
          <t>he showed directing Creed too because</t>
        </is>
      </c>
      <c r="D2878">
        <f>HYPERLINK("https://www.youtube.com/watch?v=CC48HudGqVk&amp;t=2176s", "Go to time")</f>
        <v/>
      </c>
    </row>
    <row r="2879">
      <c r="A2879">
        <f>HYPERLINK("https://www.youtube.com/watch?v=CC48HudGqVk", "Video")</f>
        <v/>
      </c>
      <c r="B2879" t="inlineStr">
        <is>
          <t>46:22</t>
        </is>
      </c>
      <c r="C2879" t="inlineStr">
        <is>
          <t>for directors as well so</t>
        </is>
      </c>
      <c r="D2879">
        <f>HYPERLINK("https://www.youtube.com/watch?v=CC48HudGqVk&amp;t=2782s", "Go to time")</f>
        <v/>
      </c>
    </row>
    <row r="2880">
      <c r="A2880">
        <f>HYPERLINK("https://www.youtube.com/watch?v=MufYFkZKEvI", "Video")</f>
        <v/>
      </c>
      <c r="B2880" t="inlineStr">
        <is>
          <t>1:51</t>
        </is>
      </c>
      <c r="C2880" t="inlineStr">
        <is>
          <t>film was directed by nanashka khan who</t>
        </is>
      </c>
      <c r="D2880">
        <f>HYPERLINK("https://www.youtube.com/watch?v=MufYFkZKEvI&amp;t=111s", "Go to time")</f>
        <v/>
      </c>
    </row>
    <row r="2881">
      <c r="A2881">
        <f>HYPERLINK("https://www.youtube.com/watch?v=MufYFkZKEvI", "Video")</f>
        <v/>
      </c>
      <c r="B2881" t="inlineStr">
        <is>
          <t>4:07</t>
        </is>
      </c>
      <c r="C2881" t="inlineStr">
        <is>
          <t>searching directed by anish shiganti and</t>
        </is>
      </c>
      <c r="D2881">
        <f>HYPERLINK("https://www.youtube.com/watch?v=MufYFkZKEvI&amp;t=247s", "Go to time")</f>
        <v/>
      </c>
    </row>
    <row r="2882">
      <c r="A2882">
        <f>HYPERLINK("https://www.youtube.com/watch?v=MufYFkZKEvI", "Video")</f>
        <v/>
      </c>
      <c r="B2882" t="inlineStr">
        <is>
          <t>5:24</t>
        </is>
      </c>
      <c r="C2882" t="inlineStr">
        <is>
          <t>director anisha shaganti's iphone which</t>
        </is>
      </c>
      <c r="D2882">
        <f>HYPERLINK("https://www.youtube.com/watch?v=MufYFkZKEvI&amp;t=324s", "Go to time")</f>
        <v/>
      </c>
    </row>
    <row r="2883">
      <c r="A2883">
        <f>HYPERLINK("https://www.youtube.com/watch?v=MufYFkZKEvI", "Video")</f>
        <v/>
      </c>
      <c r="B2883" t="inlineStr">
        <is>
          <t>7:05</t>
        </is>
      </c>
      <c r="C2883" t="inlineStr">
        <is>
          <t>the namesake this drama was directed by</t>
        </is>
      </c>
      <c r="D2883">
        <f>HYPERLINK("https://www.youtube.com/watch?v=MufYFkZKEvI&amp;t=425s", "Go to time")</f>
        <v/>
      </c>
    </row>
    <row r="2884">
      <c r="A2884">
        <f>HYPERLINK("https://www.youtube.com/watch?v=MufYFkZKEvI", "Video")</f>
        <v/>
      </c>
      <c r="B2884" t="inlineStr">
        <is>
          <t>9:23</t>
        </is>
      </c>
      <c r="C2884" t="inlineStr">
        <is>
          <t>the netflix film directed by susan</t>
        </is>
      </c>
      <c r="D2884">
        <f>HYPERLINK("https://www.youtube.com/watch?v=MufYFkZKEvI&amp;t=563s", "Go to time")</f>
        <v/>
      </c>
    </row>
    <row r="2885">
      <c r="A2885">
        <f>HYPERLINK("https://www.youtube.com/watch?v=MufYFkZKEvI", "Video")</f>
        <v/>
      </c>
      <c r="B2885" t="inlineStr">
        <is>
          <t>11:43</t>
        </is>
      </c>
      <c r="C2885" t="inlineStr">
        <is>
          <t>meet the patels this film was directed</t>
        </is>
      </c>
      <c r="D2885">
        <f>HYPERLINK("https://www.youtube.com/watch?v=MufYFkZKEvI&amp;t=703s", "Go to time")</f>
        <v/>
      </c>
    </row>
    <row r="2886">
      <c r="A2886">
        <f>HYPERLINK("https://www.youtube.com/watch?v=MufYFkZKEvI", "Video")</f>
        <v/>
      </c>
      <c r="B2886" t="inlineStr">
        <is>
          <t>14:02</t>
        </is>
      </c>
      <c r="C2886" t="inlineStr">
        <is>
          <t>filipino-american film director diane</t>
        </is>
      </c>
      <c r="D2886">
        <f>HYPERLINK("https://www.youtube.com/watch?v=MufYFkZKEvI&amp;t=842s", "Go to time")</f>
        <v/>
      </c>
    </row>
    <row r="2887">
      <c r="A2887">
        <f>HYPERLINK("https://www.youtube.com/watch?v=MufYFkZKEvI", "Video")</f>
        <v/>
      </c>
      <c r="B2887" t="inlineStr">
        <is>
          <t>14:45</t>
        </is>
      </c>
      <c r="C2887" t="inlineStr">
        <is>
          <t>recognition for august directing and the</t>
        </is>
      </c>
      <c r="D2887">
        <f>HYPERLINK("https://www.youtube.com/watch?v=MufYFkZKEvI&amp;t=885s", "Go to time")</f>
        <v/>
      </c>
    </row>
    <row r="2888">
      <c r="A2888">
        <f>HYPERLINK("https://www.youtube.com/watch?v=MufYFkZKEvI", "Video")</f>
        <v/>
      </c>
      <c r="B2888" t="inlineStr">
        <is>
          <t>16:24</t>
        </is>
      </c>
      <c r="C2888" t="inlineStr">
        <is>
          <t>written and directed by alice wu in her</t>
        </is>
      </c>
      <c r="D2888">
        <f>HYPERLINK("https://www.youtube.com/watch?v=MufYFkZKEvI&amp;t=984s", "Go to time")</f>
        <v/>
      </c>
    </row>
    <row r="2889">
      <c r="A2889">
        <f>HYPERLINK("https://www.youtube.com/watch?v=MufYFkZKEvI", "Video")</f>
        <v/>
      </c>
      <c r="B2889" t="inlineStr">
        <is>
          <t>17:19</t>
        </is>
      </c>
      <c r="C2889" t="inlineStr">
        <is>
          <t>involvement both as writer and director</t>
        </is>
      </c>
      <c r="D2889">
        <f>HYPERLINK("https://www.youtube.com/watch?v=MufYFkZKEvI&amp;t=1039s", "Go to time")</f>
        <v/>
      </c>
    </row>
    <row r="2890">
      <c r="A2890">
        <f>HYPERLINK("https://www.youtube.com/watch?v=MufYFkZKEvI", "Video")</f>
        <v/>
      </c>
      <c r="B2890" t="inlineStr">
        <is>
          <t>19:06</t>
        </is>
      </c>
      <c r="C2890" t="inlineStr">
        <is>
          <t>directed and edited by koganata in his</t>
        </is>
      </c>
      <c r="D2890">
        <f>HYPERLINK("https://www.youtube.com/watch?v=MufYFkZKEvI&amp;t=1146s", "Go to time")</f>
        <v/>
      </c>
    </row>
    <row r="2891">
      <c r="A2891">
        <f>HYPERLINK("https://www.youtube.com/watch?v=MufYFkZKEvI", "Video")</f>
        <v/>
      </c>
      <c r="B2891" t="inlineStr">
        <is>
          <t>19:09</t>
        </is>
      </c>
      <c r="C2891" t="inlineStr">
        <is>
          <t>feature film directorial debut after</t>
        </is>
      </c>
      <c r="D2891">
        <f>HYPERLINK("https://www.youtube.com/watch?v=MufYFkZKEvI&amp;t=1149s", "Go to time")</f>
        <v/>
      </c>
    </row>
    <row r="2892">
      <c r="A2892">
        <f>HYPERLINK("https://www.youtube.com/watch?v=MufYFkZKEvI", "Video")</f>
        <v/>
      </c>
      <c r="B2892" t="inlineStr">
        <is>
          <t>19:15</t>
        </is>
      </c>
      <c r="C2892" t="inlineStr">
        <is>
          <t>to write and direct the colin farrell</t>
        </is>
      </c>
      <c r="D2892">
        <f>HYPERLINK("https://www.youtube.com/watch?v=MufYFkZKEvI&amp;t=1155s", "Go to time")</f>
        <v/>
      </c>
    </row>
    <row r="2893">
      <c r="A2893">
        <f>HYPERLINK("https://www.youtube.com/watch?v=MufYFkZKEvI", "Video")</f>
        <v/>
      </c>
      <c r="B2893" t="inlineStr">
        <is>
          <t>19:17</t>
        </is>
      </c>
      <c r="C2893" t="inlineStr">
        <is>
          <t>film after yang and direct the apple tv</t>
        </is>
      </c>
      <c r="D2893">
        <f>HYPERLINK("https://www.youtube.com/watch?v=MufYFkZKEvI&amp;t=1157s", "Go to time")</f>
        <v/>
      </c>
    </row>
    <row r="2894">
      <c r="A2894">
        <f>HYPERLINK("https://www.youtube.com/watch?v=MufYFkZKEvI", "Video")</f>
        <v/>
      </c>
      <c r="B2894" t="inlineStr">
        <is>
          <t>21:03</t>
        </is>
      </c>
      <c r="C2894" t="inlineStr">
        <is>
          <t>feature for director andrew ahn after</t>
        </is>
      </c>
      <c r="D2894">
        <f>HYPERLINK("https://www.youtube.com/watch?v=MufYFkZKEvI&amp;t=1263s", "Go to time")</f>
        <v/>
      </c>
    </row>
    <row r="2895">
      <c r="A2895">
        <f>HYPERLINK("https://www.youtube.com/watch?v=MufYFkZKEvI", "Video")</f>
        <v/>
      </c>
      <c r="B2895" t="inlineStr">
        <is>
          <t>23:22</t>
        </is>
      </c>
      <c r="C2895" t="inlineStr">
        <is>
          <t>directed by justin shawn a long time</t>
        </is>
      </c>
      <c r="D2895">
        <f>HYPERLINK("https://www.youtube.com/watch?v=MufYFkZKEvI&amp;t=1402s", "Go to time")</f>
        <v/>
      </c>
    </row>
    <row r="2896">
      <c r="A2896">
        <f>HYPERLINK("https://www.youtube.com/watch?v=MufYFkZKEvI", "Video")</f>
        <v/>
      </c>
      <c r="B2896" t="inlineStr">
        <is>
          <t>23:27</t>
        </is>
      </c>
      <c r="C2896" t="inlineStr">
        <is>
          <t>second feature-length film as a director</t>
        </is>
      </c>
      <c r="D2896">
        <f>HYPERLINK("https://www.youtube.com/watch?v=MufYFkZKEvI&amp;t=1407s", "Go to time")</f>
        <v/>
      </c>
    </row>
    <row r="2897">
      <c r="A2897">
        <f>HYPERLINK("https://www.youtube.com/watch?v=MufYFkZKEvI", "Video")</f>
        <v/>
      </c>
      <c r="B2897" t="inlineStr">
        <is>
          <t>25:07</t>
        </is>
      </c>
      <c r="C2897" t="inlineStr">
        <is>
          <t>writer director actor justin shawn is a</t>
        </is>
      </c>
      <c r="D2897">
        <f>HYPERLINK("https://www.youtube.com/watch?v=MufYFkZKEvI&amp;t=1507s", "Go to time")</f>
        <v/>
      </c>
    </row>
    <row r="2898">
      <c r="A2898">
        <f>HYPERLINK("https://www.youtube.com/watch?v=HB68-c8GAiA", "Video")</f>
        <v/>
      </c>
      <c r="B2898" t="inlineStr">
        <is>
          <t>0:15</t>
        </is>
      </c>
      <c r="C2898" t="inlineStr">
        <is>
          <t>how god directed right you know i</t>
        </is>
      </c>
      <c r="D2898">
        <f>HYPERLINK("https://www.youtube.com/watch?v=HB68-c8GAiA&amp;t=15s", "Go to time")</f>
        <v/>
      </c>
    </row>
    <row r="2899">
      <c r="A2899">
        <f>HYPERLINK("https://www.youtube.com/watch?v=dqhiaRi4wAY", "Video")</f>
        <v/>
      </c>
      <c r="B2899" t="inlineStr">
        <is>
          <t>0:05</t>
        </is>
      </c>
      <c r="C2899" t="inlineStr">
        <is>
          <t>and kiko is over there in the direction</t>
        </is>
      </c>
      <c r="D2899">
        <f>HYPERLINK("https://www.youtube.com/watch?v=dqhiaRi4wAY&amp;t=5s", "Go to time")</f>
        <v/>
      </c>
    </row>
    <row r="2900">
      <c r="A2900">
        <f>HYPERLINK("https://www.youtube.com/watch?v=OCnKMpuivlw", "Video")</f>
        <v/>
      </c>
      <c r="B2900" t="inlineStr">
        <is>
          <t>5:53</t>
        </is>
      </c>
      <c r="C2900" t="inlineStr">
        <is>
          <t>director wil Gluck and sure enough she</t>
        </is>
      </c>
      <c r="D2900">
        <f>HYPERLINK("https://www.youtube.com/watch?v=OCnKMpuivlw&amp;t=353s", "Go to time")</f>
        <v/>
      </c>
    </row>
    <row r="2901">
      <c r="A2901">
        <f>HYPERLINK("https://www.youtube.com/watch?v=OCnKMpuivlw", "Video")</f>
        <v/>
      </c>
      <c r="B2901" t="inlineStr">
        <is>
          <t>7:40</t>
        </is>
      </c>
      <c r="C2901" t="inlineStr">
        <is>
          <t>go number five Zombie Land directed by</t>
        </is>
      </c>
      <c r="D2901">
        <f>HYPERLINK("https://www.youtube.com/watch?v=OCnKMpuivlw&amp;t=460s", "Go to time")</f>
        <v/>
      </c>
    </row>
    <row r="2902">
      <c r="A2902">
        <f>HYPERLINK("https://www.youtube.com/watch?v=OCnKMpuivlw", "Video")</f>
        <v/>
      </c>
      <c r="B2902" t="inlineStr">
        <is>
          <t>8:54</t>
        </is>
      </c>
      <c r="C2902" t="inlineStr">
        <is>
          <t>musical dramedy was written and directed</t>
        </is>
      </c>
      <c r="D2902">
        <f>HYPERLINK("https://www.youtube.com/watch?v=OCnKMpuivlw&amp;t=534s", "Go to time")</f>
        <v/>
      </c>
    </row>
    <row r="2903">
      <c r="A2903">
        <f>HYPERLINK("https://www.youtube.com/watch?v=OCnKMpuivlw", "Video")</f>
        <v/>
      </c>
      <c r="B2903" t="inlineStr">
        <is>
          <t>9:17</t>
        </is>
      </c>
      <c r="C2903" t="inlineStr">
        <is>
          <t>and actually first met director chazelle</t>
        </is>
      </c>
      <c r="D2903">
        <f>HYPERLINK("https://www.youtube.com/watch?v=OCnKMpuivlw&amp;t=557s", "Go to time")</f>
        <v/>
      </c>
    </row>
    <row r="2904">
      <c r="A2904">
        <f>HYPERLINK("https://www.youtube.com/watch?v=OCnKMpuivlw", "Video")</f>
        <v/>
      </c>
      <c r="B2904" t="inlineStr">
        <is>
          <t>10:09</t>
        </is>
      </c>
      <c r="C2904" t="inlineStr">
        <is>
          <t>including best director for 32-year-old</t>
        </is>
      </c>
      <c r="D2904">
        <f>HYPERLINK("https://www.youtube.com/watch?v=OCnKMpuivlw&amp;t=609s", "Go to time")</f>
        <v/>
      </c>
    </row>
    <row r="2905">
      <c r="A2905">
        <f>HYPERLINK("https://www.youtube.com/watch?v=OCnKMpuivlw", "Video")</f>
        <v/>
      </c>
      <c r="B2905" t="inlineStr">
        <is>
          <t>11:06</t>
        </is>
      </c>
      <c r="C2905" t="inlineStr">
        <is>
          <t>picture director original screenplay and</t>
        </is>
      </c>
      <c r="D2905">
        <f>HYPERLINK("https://www.youtube.com/watch?v=OCnKMpuivlw&amp;t=666s", "Go to time")</f>
        <v/>
      </c>
    </row>
    <row r="2906">
      <c r="A2906">
        <f>HYPERLINK("https://www.youtube.com/watch?v=OCnKMpuivlw", "Video")</f>
        <v/>
      </c>
      <c r="B2906" t="inlineStr">
        <is>
          <t>12:17</t>
        </is>
      </c>
      <c r="C2906" t="inlineStr">
        <is>
          <t>now the favorite was directed by yoro</t>
        </is>
      </c>
      <c r="D2906">
        <f>HYPERLINK("https://www.youtube.com/watch?v=OCnKMpuivlw&amp;t=737s", "Go to time")</f>
        <v/>
      </c>
    </row>
    <row r="2907">
      <c r="A2907">
        <f>HYPERLINK("https://www.youtube.com/watch?v=OCnKMpuivlw", "Video")</f>
        <v/>
      </c>
      <c r="B2907" t="inlineStr">
        <is>
          <t>12:50</t>
        </is>
      </c>
      <c r="C2907" t="inlineStr">
        <is>
          <t>directed by the former and stars the</t>
        </is>
      </c>
      <c r="D2907">
        <f>HYPERLINK("https://www.youtube.com/watch?v=OCnKMpuivlw&amp;t=770s", "Go to time")</f>
        <v/>
      </c>
    </row>
    <row r="2908">
      <c r="A2908">
        <f>HYPERLINK("https://www.youtube.com/watch?v=OCnKMpuivlw", "Video")</f>
        <v/>
      </c>
      <c r="B2908" t="inlineStr">
        <is>
          <t>13:54</t>
        </is>
      </c>
      <c r="C2908" t="inlineStr">
        <is>
          <t>Tor to force for the director and actor</t>
        </is>
      </c>
      <c r="D2908">
        <f>HYPERLINK("https://www.youtube.com/watch?v=OCnKMpuivlw&amp;t=834s", "Go to time")</f>
        <v/>
      </c>
    </row>
    <row r="2909">
      <c r="A2909">
        <f>HYPERLINK("https://www.youtube.com/watch?v=OZwvdep1ULs", "Video")</f>
        <v/>
      </c>
      <c r="B2909" t="inlineStr">
        <is>
          <t>2:44</t>
        </is>
      </c>
      <c r="C2909" t="inlineStr">
        <is>
          <t>directional assistance we have no radar</t>
        </is>
      </c>
      <c r="D2909">
        <f>HYPERLINK("https://www.youtube.com/watch?v=OZwvdep1ULs&amp;t=164s", "Go to time")</f>
        <v/>
      </c>
    </row>
    <row r="2910">
      <c r="A2910">
        <f>HYPERLINK("https://www.youtube.com/watch?v=dUUltoiKV8o", "Video")</f>
        <v/>
      </c>
      <c r="B2910" t="inlineStr">
        <is>
          <t>0:01</t>
        </is>
      </c>
      <c r="C2910" t="inlineStr">
        <is>
          <t>director Ron carile and that's our</t>
        </is>
      </c>
      <c r="D2910">
        <f>HYPERLINK("https://www.youtube.com/watch?v=dUUltoiKV8o&amp;t=1s", "Go to time")</f>
        <v/>
      </c>
    </row>
    <row r="2911">
      <c r="A2911">
        <f>HYPERLINK("https://www.youtube.com/watch?v=bvl-DxX9N8g", "Video")</f>
        <v/>
      </c>
      <c r="B2911" t="inlineStr">
        <is>
          <t>0:07</t>
        </is>
      </c>
      <c r="C2911" t="inlineStr">
        <is>
          <t>talking in the wrong direction</t>
        </is>
      </c>
      <c r="D2911">
        <f>HYPERLINK("https://www.youtube.com/watch?v=bvl-DxX9N8g&amp;t=7s", "Go to time")</f>
        <v/>
      </c>
    </row>
    <row r="2912">
      <c r="A2912">
        <f>HYPERLINK("https://www.youtube.com/watch?v=rF1jTADlCYY", "Video")</f>
        <v/>
      </c>
      <c r="B2912" t="inlineStr">
        <is>
          <t>1:47</t>
        </is>
      </c>
      <c r="C2912" t="inlineStr">
        <is>
          <t>way this is the direct</t>
        </is>
      </c>
      <c r="D2912">
        <f>HYPERLINK("https://www.youtube.com/watch?v=rF1jTADlCYY&amp;t=107s", "Go to time")</f>
        <v/>
      </c>
    </row>
    <row r="2913">
      <c r="A2913">
        <f>HYPERLINK("https://www.youtube.com/watch?v=MI39c6kPav4", "Video")</f>
        <v/>
      </c>
      <c r="B2913" t="inlineStr">
        <is>
          <t>1:17</t>
        </is>
      </c>
      <c r="C2913" t="inlineStr">
        <is>
          <t>I'll meet the brothers indirect kill the</t>
        </is>
      </c>
      <c r="D2913">
        <f>HYPERLINK("https://www.youtube.com/watch?v=MI39c6kPav4&amp;t=77s", "Go to time")</f>
        <v/>
      </c>
    </row>
    <row r="2914">
      <c r="A2914">
        <f>HYPERLINK("https://www.youtube.com/watch?v=H-eL9ZQeecY", "Video")</f>
        <v/>
      </c>
      <c r="B2914" t="inlineStr">
        <is>
          <t>1:38</t>
        </is>
      </c>
      <c r="C2914" t="inlineStr">
        <is>
          <t>i'm cherylin wayne the media director</t>
        </is>
      </c>
      <c r="D2914">
        <f>HYPERLINK("https://www.youtube.com/watch?v=H-eL9ZQeecY&amp;t=98s", "Go to time")</f>
        <v/>
      </c>
    </row>
    <row r="2915">
      <c r="A2915">
        <f>HYPERLINK("https://www.youtube.com/watch?v=H-eL9ZQeecY", "Video")</f>
        <v/>
      </c>
      <c r="B2915" t="inlineStr">
        <is>
          <t>1:54</t>
        </is>
      </c>
      <c r="C2915" t="inlineStr">
        <is>
          <t>spots basner's the new creative director</t>
        </is>
      </c>
      <c r="D2915">
        <f>HYPERLINK("https://www.youtube.com/watch?v=H-eL9ZQeecY&amp;t=114s", "Go to time")</f>
        <v/>
      </c>
    </row>
    <row r="2916">
      <c r="A2916">
        <f>HYPERLINK("https://www.youtube.com/watch?v=-iWG2IYRIAI", "Video")</f>
        <v/>
      </c>
      <c r="B2916" t="inlineStr">
        <is>
          <t>2:58</t>
        </is>
      </c>
      <c r="C2916" t="inlineStr">
        <is>
          <t>interesting directors on this too it is</t>
        </is>
      </c>
      <c r="D2916">
        <f>HYPERLINK("https://www.youtube.com/watch?v=-iWG2IYRIAI&amp;t=178s", "Go to time")</f>
        <v/>
      </c>
    </row>
    <row r="2917">
      <c r="A2917">
        <f>HYPERLINK("https://www.youtube.com/watch?v=-iWG2IYRIAI", "Video")</f>
        <v/>
      </c>
      <c r="B2917" t="inlineStr">
        <is>
          <t>3:04</t>
        </is>
      </c>
      <c r="C2917" t="inlineStr">
        <is>
          <t>Rob Cohen directed starring obviously</t>
        </is>
      </c>
      <c r="D2917">
        <f>HYPERLINK("https://www.youtube.com/watch?v=-iWG2IYRIAI&amp;t=184s", "Go to time")</f>
        <v/>
      </c>
    </row>
    <row r="2918">
      <c r="A2918">
        <f>HYPERLINK("https://www.youtube.com/watch?v=-iWG2IYRIAI", "Video")</f>
        <v/>
      </c>
      <c r="B2918" t="inlineStr">
        <is>
          <t>5:18</t>
        </is>
      </c>
      <c r="C2918" t="inlineStr">
        <is>
          <t>director coming off dragon and then you</t>
        </is>
      </c>
      <c r="D2918">
        <f>HYPERLINK("https://www.youtube.com/watch?v=-iWG2IYRIAI&amp;t=318s", "Go to time")</f>
        <v/>
      </c>
    </row>
    <row r="2919">
      <c r="A2919">
        <f>HYPERLINK("https://www.youtube.com/watch?v=-iWG2IYRIAI", "Video")</f>
        <v/>
      </c>
      <c r="B2919" t="inlineStr">
        <is>
          <t>14:33</t>
        </is>
      </c>
      <c r="C2919" t="inlineStr">
        <is>
          <t>said you had some really good direct I</t>
        </is>
      </c>
      <c r="D2919">
        <f>HYPERLINK("https://www.youtube.com/watch?v=-iWG2IYRIAI&amp;t=873s", "Go to time")</f>
        <v/>
      </c>
    </row>
    <row r="2920">
      <c r="A2920">
        <f>HYPERLINK("https://www.youtube.com/watch?v=-iWG2IYRIAI", "Video")</f>
        <v/>
      </c>
      <c r="B2920" t="inlineStr">
        <is>
          <t>14:38</t>
        </is>
      </c>
      <c r="C2920" t="inlineStr">
        <is>
          <t>you have some good directors who were</t>
        </is>
      </c>
      <c r="D2920">
        <f>HYPERLINK("https://www.youtube.com/watch?v=-iWG2IYRIAI&amp;t=878s", "Go to time")</f>
        <v/>
      </c>
    </row>
    <row r="2921">
      <c r="A2921">
        <f>HYPERLINK("https://www.youtube.com/watch?v=-iWG2IYRIAI", "Video")</f>
        <v/>
      </c>
      <c r="B2921" t="inlineStr">
        <is>
          <t>28:35</t>
        </is>
      </c>
      <c r="C2921" t="inlineStr">
        <is>
          <t>directed by Karen kasama and like I was</t>
        </is>
      </c>
      <c r="D2921">
        <f>HYPERLINK("https://www.youtube.com/watch?v=-iWG2IYRIAI&amp;t=1715s", "Go to time")</f>
        <v/>
      </c>
    </row>
    <row r="2922">
      <c r="A2922">
        <f>HYPERLINK("https://www.youtube.com/watch?v=-iWG2IYRIAI", "Video")</f>
        <v/>
      </c>
      <c r="B2922" t="inlineStr">
        <is>
          <t>34:50</t>
        </is>
      </c>
      <c r="C2922" t="inlineStr">
        <is>
          <t>not the direction he wanted film career</t>
        </is>
      </c>
      <c r="D2922">
        <f>HYPERLINK("https://www.youtube.com/watch?v=-iWG2IYRIAI&amp;t=2090s", "Go to time")</f>
        <v/>
      </c>
    </row>
    <row r="2923">
      <c r="A2923">
        <f>HYPERLINK("https://www.youtube.com/watch?v=-iWG2IYRIAI", "Video")</f>
        <v/>
      </c>
      <c r="B2923" t="inlineStr">
        <is>
          <t>41:45</t>
        </is>
      </c>
      <c r="C2923" t="inlineStr">
        <is>
          <t>casting director on it you can find</t>
        </is>
      </c>
      <c r="D2923">
        <f>HYPERLINK("https://www.youtube.com/watch?v=-iWG2IYRIAI&amp;t=2505s", "Go to time")</f>
        <v/>
      </c>
    </row>
    <row r="2924">
      <c r="A2924">
        <f>HYPERLINK("https://www.youtube.com/watch?v=AMEEKZQNbdU", "Video")</f>
        <v/>
      </c>
      <c r="B2924" t="inlineStr">
        <is>
          <t>0:47</t>
        </is>
      </c>
      <c r="C2924" t="inlineStr">
        <is>
          <t>Rachel directing it yeah you know it was</t>
        </is>
      </c>
      <c r="D2924">
        <f>HYPERLINK("https://www.youtube.com/watch?v=AMEEKZQNbdU&amp;t=47s", "Go to time")</f>
        <v/>
      </c>
    </row>
    <row r="2925">
      <c r="A2925">
        <f>HYPERLINK("https://www.youtube.com/watch?v=AMEEKZQNbdU", "Video")</f>
        <v/>
      </c>
      <c r="B2925" t="inlineStr">
        <is>
          <t>1:18</t>
        </is>
      </c>
      <c r="C2925" t="inlineStr">
        <is>
          <t>was like but I can't direct it you know</t>
        </is>
      </c>
      <c r="D2925">
        <f>HYPERLINK("https://www.youtube.com/watch?v=AMEEKZQNbdU&amp;t=78s", "Go to time")</f>
        <v/>
      </c>
    </row>
    <row r="2926">
      <c r="A2926">
        <f>HYPERLINK("https://www.youtube.com/watch?v=AMEEKZQNbdU", "Video")</f>
        <v/>
      </c>
      <c r="B2926" t="inlineStr">
        <is>
          <t>1:21</t>
        </is>
      </c>
      <c r="C2926" t="inlineStr">
        <is>
          <t>to direct this but I would love to be</t>
        </is>
      </c>
      <c r="D2926">
        <f>HYPERLINK("https://www.youtube.com/watch?v=AMEEKZQNbdU&amp;t=81s", "Go to time")</f>
        <v/>
      </c>
    </row>
    <row r="2927">
      <c r="A2927">
        <f>HYPERLINK("https://www.youtube.com/watch?v=AMEEKZQNbdU", "Video")</f>
        <v/>
      </c>
      <c r="B2927" t="inlineStr">
        <is>
          <t>1:32</t>
        </is>
      </c>
      <c r="C2927" t="inlineStr">
        <is>
          <t>for yourself as Barry jains director was</t>
        </is>
      </c>
      <c r="D2927">
        <f>HYPERLINK("https://www.youtube.com/watch?v=AMEEKZQNbdU&amp;t=92s", "Go to time")</f>
        <v/>
      </c>
    </row>
    <row r="2928">
      <c r="A2928">
        <f>HYPERLINK("https://www.youtube.com/watch?v=AMEEKZQNbdU", "Video")</f>
        <v/>
      </c>
      <c r="B2928" t="inlineStr">
        <is>
          <t>1:51</t>
        </is>
      </c>
      <c r="C2928" t="inlineStr">
        <is>
          <t>going to end up directing I take a lot</t>
        </is>
      </c>
      <c r="D2928">
        <f>HYPERLINK("https://www.youtube.com/watch?v=AMEEKZQNbdU&amp;t=111s", "Go to time")</f>
        <v/>
      </c>
    </row>
    <row r="2929">
      <c r="A2929">
        <f>HYPERLINK("https://www.youtube.com/watch?v=AMEEKZQNbdU", "Video")</f>
        <v/>
      </c>
      <c r="B2929" t="inlineStr">
        <is>
          <t>2:57</t>
        </is>
      </c>
      <c r="C2929" t="inlineStr">
        <is>
          <t>knew she wanted to direct but having you</t>
        </is>
      </c>
      <c r="D2929">
        <f>HYPERLINK("https://www.youtube.com/watch?v=AMEEKZQNbdU&amp;t=177s", "Go to time")</f>
        <v/>
      </c>
    </row>
    <row r="2930">
      <c r="A2930">
        <f>HYPERLINK("https://www.youtube.com/watch?v=MOYpJHGBr98", "Video")</f>
        <v/>
      </c>
      <c r="B2930" t="inlineStr">
        <is>
          <t>2:38</t>
        </is>
      </c>
      <c r="C2930" t="inlineStr">
        <is>
          <t>it actually wasn't easy for director</t>
        </is>
      </c>
      <c r="D2930">
        <f>HYPERLINK("https://www.youtube.com/watch?v=MOYpJHGBr98&amp;t=158s", "Go to time")</f>
        <v/>
      </c>
    </row>
    <row r="2931">
      <c r="A2931">
        <f>HYPERLINK("https://www.youtube.com/watch?v=MOYpJHGBr98", "Video")</f>
        <v/>
      </c>
      <c r="B2931" t="inlineStr">
        <is>
          <t>5:10</t>
        </is>
      </c>
      <c r="C2931" t="inlineStr">
        <is>
          <t>Juno was directed by Jason breitman son</t>
        </is>
      </c>
      <c r="D2931">
        <f>HYPERLINK("https://www.youtube.com/watch?v=MOYpJHGBr98&amp;t=310s", "Go to time")</f>
        <v/>
      </c>
    </row>
    <row r="2932">
      <c r="A2932">
        <f>HYPERLINK("https://www.youtube.com/watch?v=MOYpJHGBr98", "Video")</f>
        <v/>
      </c>
      <c r="B2932" t="inlineStr">
        <is>
          <t>5:36</t>
        </is>
      </c>
      <c r="C2932" t="inlineStr">
        <is>
          <t>director and best actress for Paige who</t>
        </is>
      </c>
      <c r="D2932">
        <f>HYPERLINK("https://www.youtube.com/watch?v=MOYpJHGBr98&amp;t=336s", "Go to time")</f>
        <v/>
      </c>
    </row>
    <row r="2933">
      <c r="A2933">
        <f>HYPERLINK("https://www.youtube.com/watch?v=MOYpJHGBr98", "Video")</f>
        <v/>
      </c>
      <c r="B2933" t="inlineStr">
        <is>
          <t>6:30</t>
        </is>
      </c>
      <c r="C2933" t="inlineStr">
        <is>
          <t>the film was written and directed by</t>
        </is>
      </c>
      <c r="D2933">
        <f>HYPERLINK("https://www.youtube.com/watch?v=MOYpJHGBr98&amp;t=390s", "Go to time")</f>
        <v/>
      </c>
    </row>
    <row r="2934">
      <c r="A2934">
        <f>HYPERLINK("https://www.youtube.com/watch?v=MOYpJHGBr98", "Video")</f>
        <v/>
      </c>
      <c r="B2934" t="inlineStr">
        <is>
          <t>6:31</t>
        </is>
      </c>
      <c r="C2934" t="inlineStr">
        <is>
          <t>Kelly Freeman Craig in her directorial</t>
        </is>
      </c>
      <c r="D2934">
        <f>HYPERLINK("https://www.youtube.com/watch?v=MOYpJHGBr98&amp;t=391s", "Go to time")</f>
        <v/>
      </c>
    </row>
    <row r="2935">
      <c r="A2935">
        <f>HYPERLINK("https://www.youtube.com/watch?v=MOYpJHGBr98", "Video")</f>
        <v/>
      </c>
      <c r="B2935" t="inlineStr">
        <is>
          <t>7:06</t>
        </is>
      </c>
      <c r="C2935" t="inlineStr">
        <is>
          <t>space Western thing director George</t>
        </is>
      </c>
      <c r="D2935">
        <f>HYPERLINK("https://www.youtube.com/watch?v=MOYpJHGBr98&amp;t=426s", "Go to time")</f>
        <v/>
      </c>
    </row>
    <row r="2936">
      <c r="A2936">
        <f>HYPERLINK("https://www.youtube.com/watch?v=MOYpJHGBr98", "Video")</f>
        <v/>
      </c>
      <c r="B2936" t="inlineStr">
        <is>
          <t>9:23</t>
        </is>
      </c>
      <c r="C2936" t="inlineStr">
        <is>
          <t>this actually marked the directorial</t>
        </is>
      </c>
      <c r="D2936">
        <f>HYPERLINK("https://www.youtube.com/watch?v=MOYpJHGBr98&amp;t=563s", "Go to time")</f>
        <v/>
      </c>
    </row>
    <row r="2937">
      <c r="A2937">
        <f>HYPERLINK("https://www.youtube.com/watch?v=MOYpJHGBr98", "Video")</f>
        <v/>
      </c>
      <c r="B2937" t="inlineStr">
        <is>
          <t>9:40</t>
        </is>
      </c>
      <c r="C2937" t="inlineStr">
        <is>
          <t>for writer director John Waters</t>
        </is>
      </c>
      <c r="D2937">
        <f>HYPERLINK("https://www.youtube.com/watch?v=MOYpJHGBr98&amp;t=580s", "Go to time")</f>
        <v/>
      </c>
    </row>
    <row r="2938">
      <c r="A2938">
        <f>HYPERLINK("https://www.youtube.com/watch?v=MOYpJHGBr98", "Video")</f>
        <v/>
      </c>
      <c r="B2938" t="inlineStr">
        <is>
          <t>10:48</t>
        </is>
      </c>
      <c r="C2938" t="inlineStr">
        <is>
          <t>rom-com was written and directed by</t>
        </is>
      </c>
      <c r="D2938">
        <f>HYPERLINK("https://www.youtube.com/watch?v=MOYpJHGBr98&amp;t=648s", "Go to time")</f>
        <v/>
      </c>
    </row>
    <row r="2939">
      <c r="A2939">
        <f>HYPERLINK("https://www.youtube.com/watch?v=MOYpJHGBr98", "Video")</f>
        <v/>
      </c>
      <c r="B2939" t="inlineStr">
        <is>
          <t>10:50</t>
        </is>
      </c>
      <c r="C2939" t="inlineStr">
        <is>
          <t>Cameron Crowe in its feature directorial</t>
        </is>
      </c>
      <c r="D2939">
        <f>HYPERLINK("https://www.youtube.com/watch?v=MOYpJHGBr98&amp;t=650s", "Go to time")</f>
        <v/>
      </c>
    </row>
    <row r="2940">
      <c r="A2940">
        <f>HYPERLINK("https://www.youtube.com/watch?v=MOYpJHGBr98", "Video")</f>
        <v/>
      </c>
      <c r="B2940" t="inlineStr">
        <is>
          <t>12:48</t>
        </is>
      </c>
      <c r="C2940" t="inlineStr">
        <is>
          <t>the movie was written and directed by</t>
        </is>
      </c>
      <c r="D2940">
        <f>HYPERLINK("https://www.youtube.com/watch?v=MOYpJHGBr98&amp;t=768s", "Go to time")</f>
        <v/>
      </c>
    </row>
    <row r="2941">
      <c r="A2941">
        <f>HYPERLINK("https://www.youtube.com/watch?v=MOYpJHGBr98", "Video")</f>
        <v/>
      </c>
      <c r="B2941" t="inlineStr">
        <is>
          <t>12:51</t>
        </is>
      </c>
      <c r="C2941" t="inlineStr">
        <is>
          <t>the gretiger wig in her solo directorial</t>
        </is>
      </c>
      <c r="D2941">
        <f>HYPERLINK("https://www.youtube.com/watch?v=MOYpJHGBr98&amp;t=771s", "Go to time")</f>
        <v/>
      </c>
    </row>
    <row r="2942">
      <c r="A2942">
        <f>HYPERLINK("https://www.youtube.com/watch?v=MOYpJHGBr98", "Video")</f>
        <v/>
      </c>
      <c r="B2942" t="inlineStr">
        <is>
          <t>12:57</t>
        </is>
      </c>
      <c r="C2942" t="inlineStr">
        <is>
          <t>for Best Picture directing and</t>
        </is>
      </c>
      <c r="D2942">
        <f>HYPERLINK("https://www.youtube.com/watch?v=MOYpJHGBr98&amp;t=777s", "Go to time")</f>
        <v/>
      </c>
    </row>
    <row r="2943">
      <c r="A2943">
        <f>HYPERLINK("https://www.youtube.com/watch?v=MOYpJHGBr98", "Video")</f>
        <v/>
      </c>
      <c r="B2943" t="inlineStr">
        <is>
          <t>14:19</t>
        </is>
      </c>
      <c r="C2943" t="inlineStr">
        <is>
          <t>the film was directed and co-written by</t>
        </is>
      </c>
      <c r="D2943">
        <f>HYPERLINK("https://www.youtube.com/watch?v=MOYpJHGBr98&amp;t=859s", "Go to time")</f>
        <v/>
      </c>
    </row>
    <row r="2944">
      <c r="A2944">
        <f>HYPERLINK("https://www.youtube.com/watch?v=MOYpJHGBr98", "Video")</f>
        <v/>
      </c>
      <c r="B2944" t="inlineStr">
        <is>
          <t>14:55</t>
        </is>
      </c>
      <c r="C2944" t="inlineStr">
        <is>
          <t>including best picture and Best Director</t>
        </is>
      </c>
      <c r="D2944">
        <f>HYPERLINK("https://www.youtube.com/watch?v=MOYpJHGBr98&amp;t=895s", "Go to time")</f>
        <v/>
      </c>
    </row>
    <row r="2945">
      <c r="A2945">
        <f>HYPERLINK("https://www.youtube.com/watch?v=im261Dsx_vc", "Video")</f>
        <v/>
      </c>
      <c r="B2945" t="inlineStr">
        <is>
          <t>2:44</t>
        </is>
      </c>
      <c r="C2945" t="inlineStr">
        <is>
          <t>who at the time only had one director</t>
        </is>
      </c>
      <c r="D2945">
        <f>HYPERLINK("https://www.youtube.com/watch?v=im261Dsx_vc&amp;t=164s", "Go to time")</f>
        <v/>
      </c>
    </row>
    <row r="2946">
      <c r="A2946">
        <f>HYPERLINK("https://www.youtube.com/watch?v=im261Dsx_vc", "Video")</f>
        <v/>
      </c>
      <c r="B2946" t="inlineStr">
        <is>
          <t>3:09</t>
        </is>
      </c>
      <c r="C2946" t="inlineStr">
        <is>
          <t>course most of the director's colleagues</t>
        </is>
      </c>
      <c r="D2946">
        <f>HYPERLINK("https://www.youtube.com/watch?v=im261Dsx_vc&amp;t=189s", "Go to time")</f>
        <v/>
      </c>
    </row>
    <row r="2947">
      <c r="A2947">
        <f>HYPERLINK("https://www.youtube.com/watch?v=im261Dsx_vc", "Video")</f>
        <v/>
      </c>
      <c r="B2947" t="inlineStr">
        <is>
          <t>3:34</t>
        </is>
      </c>
      <c r="C2947" t="inlineStr">
        <is>
          <t>director the la times called the film a</t>
        </is>
      </c>
      <c r="D2947">
        <f>HYPERLINK("https://www.youtube.com/watch?v=im261Dsx_vc&amp;t=214s", "Go to time")</f>
        <v/>
      </c>
    </row>
    <row r="2948">
      <c r="A2948">
        <f>HYPERLINK("https://www.youtube.com/watch?v=im261Dsx_vc", "Video")</f>
        <v/>
      </c>
      <c r="B2948" t="inlineStr">
        <is>
          <t>5:18</t>
        </is>
      </c>
      <c r="C2948" t="inlineStr">
        <is>
          <t>by director john lasseter lassner</t>
        </is>
      </c>
      <c r="D2948">
        <f>HYPERLINK("https://www.youtube.com/watch?v=im261Dsx_vc&amp;t=318s", "Go to time")</f>
        <v/>
      </c>
    </row>
    <row r="2949">
      <c r="A2949">
        <f>HYPERLINK("https://www.youtube.com/watch?v=im261Dsx_vc", "Video")</f>
        <v/>
      </c>
      <c r="B2949" t="inlineStr">
        <is>
          <t>9:32</t>
        </is>
      </c>
      <c r="C2949" t="inlineStr">
        <is>
          <t>and directed seven samurai released in</t>
        </is>
      </c>
      <c r="D2949">
        <f>HYPERLINK("https://www.youtube.com/watch?v=im261Dsx_vc&amp;t=572s", "Go to time")</f>
        <v/>
      </c>
    </row>
    <row r="2950">
      <c r="A2950">
        <f>HYPERLINK("https://www.youtube.com/watch?v=im261Dsx_vc", "Video")</f>
        <v/>
      </c>
      <c r="B2950" t="inlineStr">
        <is>
          <t>10:39</t>
        </is>
      </c>
      <c r="C2950" t="inlineStr">
        <is>
          <t>influence on directors like quentin</t>
        </is>
      </c>
      <c r="D2950">
        <f>HYPERLINK("https://www.youtube.com/watch?v=im261Dsx_vc&amp;t=639s", "Go to time")</f>
        <v/>
      </c>
    </row>
    <row r="2951">
      <c r="A2951">
        <f>HYPERLINK("https://www.youtube.com/watch?v=im261Dsx_vc", "Video")</f>
        <v/>
      </c>
      <c r="B2951" t="inlineStr">
        <is>
          <t>12:07</t>
        </is>
      </c>
      <c r="C2951" t="inlineStr">
        <is>
          <t>rebecca the director's first american</t>
        </is>
      </c>
      <c r="D2951">
        <f>HYPERLINK("https://www.youtube.com/watch?v=im261Dsx_vc&amp;t=727s", "Go to time")</f>
        <v/>
      </c>
    </row>
    <row r="2952">
      <c r="A2952">
        <f>HYPERLINK("https://www.youtube.com/watch?v=im261Dsx_vc", "Video")</f>
        <v/>
      </c>
      <c r="B2952" t="inlineStr">
        <is>
          <t>16:20</t>
        </is>
      </c>
      <c r="C2952" t="inlineStr">
        <is>
          <t>filmmaker sydney lumet directed 12 angry</t>
        </is>
      </c>
      <c r="D2952">
        <f>HYPERLINK("https://www.youtube.com/watch?v=im261Dsx_vc&amp;t=980s", "Go to time")</f>
        <v/>
      </c>
    </row>
    <row r="2953">
      <c r="A2953">
        <f>HYPERLINK("https://www.youtube.com/watch?v=im261Dsx_vc", "Video")</f>
        <v/>
      </c>
      <c r="B2953" t="inlineStr">
        <is>
          <t>17:15</t>
        </is>
      </c>
      <c r="C2953" t="inlineStr">
        <is>
          <t>director aside from rose's clever</t>
        </is>
      </c>
      <c r="D2953">
        <f>HYPERLINK("https://www.youtube.com/watch?v=im261Dsx_vc&amp;t=1035s", "Go to time")</f>
        <v/>
      </c>
    </row>
    <row r="2954">
      <c r="A2954">
        <f>HYPERLINK("https://www.youtube.com/watch?v=im261Dsx_vc", "Video")</f>
        <v/>
      </c>
      <c r="B2954" t="inlineStr">
        <is>
          <t>17:17</t>
        </is>
      </c>
      <c r="C2954" t="inlineStr">
        <is>
          <t>writing and lamech sharp direction henry</t>
        </is>
      </c>
      <c r="D2954">
        <f>HYPERLINK("https://www.youtube.com/watch?v=im261Dsx_vc&amp;t=1037s", "Go to time")</f>
        <v/>
      </c>
    </row>
    <row r="2955">
      <c r="A2955">
        <f>HYPERLINK("https://www.youtube.com/watch?v=im261Dsx_vc", "Video")</f>
        <v/>
      </c>
      <c r="B2955" t="inlineStr">
        <is>
          <t>19:46</t>
        </is>
      </c>
      <c r="C2955" t="inlineStr">
        <is>
          <t>our list where the director's talents</t>
        </is>
      </c>
      <c r="D2955">
        <f>HYPERLINK("https://www.youtube.com/watch?v=im261Dsx_vc&amp;t=1186s", "Go to time")</f>
        <v/>
      </c>
    </row>
    <row r="2956">
      <c r="A2956">
        <f>HYPERLINK("https://www.youtube.com/watch?v=im261Dsx_vc", "Video")</f>
        <v/>
      </c>
      <c r="B2956" t="inlineStr">
        <is>
          <t>19:55</t>
        </is>
      </c>
      <c r="C2956" t="inlineStr">
        <is>
          <t>his direction on this film didn't cut it</t>
        </is>
      </c>
      <c r="D2956">
        <f>HYPERLINK("https://www.youtube.com/watch?v=im261Dsx_vc&amp;t=1195s", "Go to time")</f>
        <v/>
      </c>
    </row>
    <row r="2957">
      <c r="A2957">
        <f>HYPERLINK("https://www.youtube.com/watch?v=im261Dsx_vc", "Video")</f>
        <v/>
      </c>
      <c r="B2957" t="inlineStr">
        <is>
          <t>21:03</t>
        </is>
      </c>
      <c r="C2957" t="inlineStr">
        <is>
          <t>director james marsh blends actual</t>
        </is>
      </c>
      <c r="D2957">
        <f>HYPERLINK("https://www.youtube.com/watch?v=im261Dsx_vc&amp;t=1263s", "Go to time")</f>
        <v/>
      </c>
    </row>
    <row r="2958">
      <c r="A2958">
        <f>HYPERLINK("https://www.youtube.com/watch?v=im261Dsx_vc", "Video")</f>
        <v/>
      </c>
      <c r="B2958" t="inlineStr">
        <is>
          <t>22:43</t>
        </is>
      </c>
      <c r="C2958" t="inlineStr">
        <is>
          <t>director deborah granick's 2018 feature</t>
        </is>
      </c>
      <c r="D2958">
        <f>HYPERLINK("https://www.youtube.com/watch?v=im261Dsx_vc&amp;t=1363s", "Go to time")</f>
        <v/>
      </c>
    </row>
    <row r="2959">
      <c r="A2959">
        <f>HYPERLINK("https://www.youtube.com/watch?v=e_xh5RUvRd0", "Video")</f>
        <v/>
      </c>
      <c r="B2959" t="inlineStr">
        <is>
          <t>9:10</t>
        </is>
      </c>
      <c r="C2959" t="inlineStr">
        <is>
          <t>Lead You In A Direction than anybody</t>
        </is>
      </c>
      <c r="D2959">
        <f>HYPERLINK("https://www.youtube.com/watch?v=e_xh5RUvRd0&amp;t=550s", "Go to time")</f>
        <v/>
      </c>
    </row>
    <row r="2960">
      <c r="A2960">
        <f>HYPERLINK("https://www.youtube.com/watch?v=AvYUnszSc1Y", "Video")</f>
        <v/>
      </c>
      <c r="B2960" t="inlineStr">
        <is>
          <t>1:01</t>
        </is>
      </c>
      <c r="C2960" t="inlineStr">
        <is>
          <t>directed by Jonathan Nolan right and</t>
        </is>
      </c>
      <c r="D2960">
        <f>HYPERLINK("https://www.youtube.com/watch?v=AvYUnszSc1Y&amp;t=61s", "Go to time")</f>
        <v/>
      </c>
    </row>
    <row r="2961">
      <c r="A2961">
        <f>HYPERLINK("https://www.youtube.com/watch?v=AvYUnszSc1Y", "Video")</f>
        <v/>
      </c>
      <c r="B2961" t="inlineStr">
        <is>
          <t>3:35</t>
        </is>
      </c>
      <c r="C2961" t="inlineStr">
        <is>
          <t>was the casting directors just hearing</t>
        </is>
      </c>
      <c r="D2961">
        <f>HYPERLINK("https://www.youtube.com/watch?v=AvYUnszSc1Y&amp;t=215s", "Go to time")</f>
        <v/>
      </c>
    </row>
    <row r="2962">
      <c r="A2962">
        <f>HYPERLINK("https://www.youtube.com/watch?v=AvYUnszSc1Y", "Video")</f>
        <v/>
      </c>
      <c r="B2962" t="inlineStr">
        <is>
          <t>16:26</t>
        </is>
      </c>
      <c r="C2962" t="inlineStr">
        <is>
          <t>and I I did this movie movie directed by</t>
        </is>
      </c>
      <c r="D2962">
        <f>HYPERLINK("https://www.youtube.com/watch?v=AvYUnszSc1Y&amp;t=986s", "Go to time")</f>
        <v/>
      </c>
    </row>
    <row r="2963">
      <c r="A2963">
        <f>HYPERLINK("https://www.youtube.com/watch?v=AvYUnszSc1Y", "Video")</f>
        <v/>
      </c>
      <c r="B2963" t="inlineStr">
        <is>
          <t>18:27</t>
        </is>
      </c>
      <c r="C2963" t="inlineStr">
        <is>
          <t>director likes that that uh regardless</t>
        </is>
      </c>
      <c r="D2963">
        <f>HYPERLINK("https://www.youtube.com/watch?v=AvYUnszSc1Y&amp;t=1107s", "Go to time")</f>
        <v/>
      </c>
    </row>
    <row r="2964">
      <c r="A2964">
        <f>HYPERLINK("https://www.youtube.com/watch?v=AvYUnszSc1Y", "Video")</f>
        <v/>
      </c>
      <c r="B2964" t="inlineStr">
        <is>
          <t>24:13</t>
        </is>
      </c>
      <c r="C2964" t="inlineStr">
        <is>
          <t>go in that direction at all oh I love</t>
        </is>
      </c>
      <c r="D2964">
        <f>HYPERLINK("https://www.youtube.com/watch?v=AvYUnszSc1Y&amp;t=1453s", "Go to time")</f>
        <v/>
      </c>
    </row>
    <row r="2965">
      <c r="A2965">
        <f>HYPERLINK("https://www.youtube.com/watch?v=AvYUnszSc1Y", "Video")</f>
        <v/>
      </c>
      <c r="B2965" t="inlineStr">
        <is>
          <t>24:23</t>
        </is>
      </c>
      <c r="C2965" t="inlineStr">
        <is>
          <t>you've had some incredible directors</t>
        </is>
      </c>
      <c r="D2965">
        <f>HYPERLINK("https://www.youtube.com/watch?v=AvYUnszSc1Y&amp;t=1463s", "Go to time")</f>
        <v/>
      </c>
    </row>
    <row r="2966">
      <c r="A2966">
        <f>HYPERLINK("https://www.youtube.com/watch?v=AvYUnszSc1Y", "Video")</f>
        <v/>
      </c>
      <c r="B2966" t="inlineStr">
        <is>
          <t>24:48</t>
        </is>
      </c>
      <c r="C2966" t="inlineStr">
        <is>
          <t>directors what's been what's been one of</t>
        </is>
      </c>
      <c r="D2966">
        <f>HYPERLINK("https://www.youtube.com/watch?v=AvYUnszSc1Y&amp;t=1488s", "Go to time")</f>
        <v/>
      </c>
    </row>
    <row r="2967">
      <c r="A2967">
        <f>HYPERLINK("https://www.youtube.com/watch?v=AvYUnszSc1Y", "Video")</f>
        <v/>
      </c>
      <c r="B2967" t="inlineStr">
        <is>
          <t>24:53</t>
        </is>
      </c>
      <c r="C2967" t="inlineStr">
        <is>
          <t>direction that you've gotten from one of</t>
        </is>
      </c>
      <c r="D2967">
        <f>HYPERLINK("https://www.youtube.com/watch?v=AvYUnszSc1Y&amp;t=1493s", "Go to time")</f>
        <v/>
      </c>
    </row>
    <row r="2968">
      <c r="A2968">
        <f>HYPERLINK("https://www.youtube.com/watch?v=AvYUnszSc1Y", "Video")</f>
        <v/>
      </c>
      <c r="B2968" t="inlineStr">
        <is>
          <t>24:55</t>
        </is>
      </c>
      <c r="C2968" t="inlineStr">
        <is>
          <t>these great directors because I find</t>
        </is>
      </c>
      <c r="D2968">
        <f>HYPERLINK("https://www.youtube.com/watch?v=AvYUnszSc1Y&amp;t=1495s", "Go to time")</f>
        <v/>
      </c>
    </row>
    <row r="2969">
      <c r="A2969">
        <f>HYPERLINK("https://www.youtube.com/watch?v=AvYUnszSc1Y", "Video")</f>
        <v/>
      </c>
      <c r="B2969" t="inlineStr">
        <is>
          <t>24:56</t>
        </is>
      </c>
      <c r="C2969" t="inlineStr">
        <is>
          <t>with great directors they can be</t>
        </is>
      </c>
      <c r="D2969">
        <f>HYPERLINK("https://www.youtube.com/watch?v=AvYUnszSc1Y&amp;t=1496s", "Go to time")</f>
        <v/>
      </c>
    </row>
    <row r="2970">
      <c r="A2970">
        <f>HYPERLINK("https://www.youtube.com/watch?v=AvYUnszSc1Y", "Video")</f>
        <v/>
      </c>
      <c r="B2970" t="inlineStr">
        <is>
          <t>25:02</t>
        </is>
      </c>
      <c r="C2970" t="inlineStr">
        <is>
          <t>great director I think has this</t>
        </is>
      </c>
      <c r="D2970">
        <f>HYPERLINK("https://www.youtube.com/watch?v=AvYUnszSc1Y&amp;t=1502s", "Go to time")</f>
        <v/>
      </c>
    </row>
    <row r="2971">
      <c r="A2971">
        <f>HYPERLINK("https://www.youtube.com/watch?v=AvYUnszSc1Y", "Video")</f>
        <v/>
      </c>
      <c r="B2971" t="inlineStr">
        <is>
          <t>26:27</t>
        </is>
      </c>
      <c r="C2971" t="inlineStr">
        <is>
          <t>kind of Direction whenever a director</t>
        </is>
      </c>
      <c r="D2971">
        <f>HYPERLINK("https://www.youtube.com/watch?v=AvYUnszSc1Y&amp;t=1587s", "Go to time")</f>
        <v/>
      </c>
    </row>
    <row r="2972">
      <c r="A2972">
        <f>HYPERLINK("https://www.youtube.com/watch?v=AvYUnszSc1Y", "Video")</f>
        <v/>
      </c>
      <c r="B2972" t="inlineStr">
        <is>
          <t>26:36</t>
        </is>
      </c>
      <c r="C2972" t="inlineStr">
        <is>
          <t>our in-house director on the shield MH</t>
        </is>
      </c>
      <c r="D2972">
        <f>HYPERLINK("https://www.youtube.com/watch?v=AvYUnszSc1Y&amp;t=1596s", "Go to time")</f>
        <v/>
      </c>
    </row>
    <row r="2973">
      <c r="A2973">
        <f>HYPERLINK("https://www.youtube.com/watch?v=AvYUnszSc1Y", "Video")</f>
        <v/>
      </c>
      <c r="B2973" t="inlineStr">
        <is>
          <t>26:46</t>
        </is>
      </c>
      <c r="C2973" t="inlineStr">
        <is>
          <t>I get little Direction really you people</t>
        </is>
      </c>
      <c r="D2973">
        <f>HYPERLINK("https://www.youtube.com/watch?v=AvYUnszSc1Y&amp;t=1606s", "Go to time")</f>
        <v/>
      </c>
    </row>
    <row r="2974">
      <c r="A2974">
        <f>HYPERLINK("https://www.youtube.com/watch?v=AvYUnszSc1Y", "Video")</f>
        <v/>
      </c>
      <c r="B2974" t="inlineStr">
        <is>
          <t>29:20</t>
        </is>
      </c>
      <c r="C2974" t="inlineStr">
        <is>
          <t>directs every episode oh wow okay I</t>
        </is>
      </c>
      <c r="D2974">
        <f>HYPERLINK("https://www.youtube.com/watch?v=AvYUnszSc1Y&amp;t=1760s", "Go to time")</f>
        <v/>
      </c>
    </row>
    <row r="2975">
      <c r="A2975">
        <f>HYPERLINK("https://www.youtube.com/watch?v=5ELVgul7V8U", "Video")</f>
        <v/>
      </c>
      <c r="B2975" t="inlineStr">
        <is>
          <t>0:26</t>
        </is>
      </c>
      <c r="C2975" t="inlineStr">
        <is>
          <t>do that they know it leads directly to</t>
        </is>
      </c>
      <c r="D2975">
        <f>HYPERLINK("https://www.youtube.com/watch?v=5ELVgul7V8U&amp;t=26s", "Go to time")</f>
        <v/>
      </c>
    </row>
    <row r="2976">
      <c r="A2976">
        <f>HYPERLINK("https://www.youtube.com/watch?v=-EbpmG8Jdws", "Video")</f>
        <v/>
      </c>
      <c r="B2976" t="inlineStr">
        <is>
          <t>0:45</t>
        </is>
      </c>
      <c r="C2976" t="inlineStr">
        <is>
          <t>direct examination of sergeant dirgo up</t>
        </is>
      </c>
      <c r="D2976">
        <f>HYPERLINK("https://www.youtube.com/watch?v=-EbpmG8Jdws&amp;t=45s", "Go to time")</f>
        <v/>
      </c>
    </row>
    <row r="2977">
      <c r="A2977">
        <f>HYPERLINK("https://www.youtube.com/watch?v=cJoH2OR8yxM", "Video")</f>
        <v/>
      </c>
      <c r="B2977" t="inlineStr">
        <is>
          <t>0:33</t>
        </is>
      </c>
      <c r="C2977" t="inlineStr">
        <is>
          <t>session ah here he is direct from a</t>
        </is>
      </c>
      <c r="D2977">
        <f>HYPERLINK("https://www.youtube.com/watch?v=cJoH2OR8yxM&amp;t=33s", "Go to time")</f>
        <v/>
      </c>
    </row>
    <row r="2978">
      <c r="A2978">
        <f>HYPERLINK("https://www.youtube.com/watch?v=9-DqWLCmPSY", "Video")</f>
        <v/>
      </c>
      <c r="B2978" t="inlineStr">
        <is>
          <t>0:30</t>
        </is>
      </c>
      <c r="C2978" t="inlineStr">
        <is>
          <t>the director</t>
        </is>
      </c>
      <c r="D2978">
        <f>HYPERLINK("https://www.youtube.com/watch?v=9-DqWLCmPSY&amp;t=30s", "Go to time")</f>
        <v/>
      </c>
    </row>
    <row r="2979">
      <c r="A2979">
        <f>HYPERLINK("https://www.youtube.com/watch?v=TnpCNqJED34", "Video")</f>
        <v/>
      </c>
      <c r="B2979" t="inlineStr">
        <is>
          <t>1:37</t>
        </is>
      </c>
      <c r="C2979" t="inlineStr">
        <is>
          <t>you know bleak you always avoid direct</t>
        </is>
      </c>
      <c r="D2979">
        <f>HYPERLINK("https://www.youtube.com/watch?v=TnpCNqJED34&amp;t=97s", "Go to time")</f>
        <v/>
      </c>
    </row>
    <row r="2980">
      <c r="A2980">
        <f>HYPERLINK("https://www.youtube.com/watch?v=YH232gAGzbE", "Video")</f>
        <v/>
      </c>
      <c r="B2980" t="inlineStr">
        <is>
          <t>4:47</t>
        </is>
      </c>
      <c r="C2980" t="inlineStr">
        <is>
          <t>7th and this is a direct sequel to this</t>
        </is>
      </c>
      <c r="D2980">
        <f>HYPERLINK("https://www.youtube.com/watch?v=YH232gAGzbE&amp;t=287s", "Go to time")</f>
        <v/>
      </c>
    </row>
    <row r="2981">
      <c r="A2981">
        <f>HYPERLINK("https://www.youtube.com/watch?v=YH232gAGzbE", "Video")</f>
        <v/>
      </c>
      <c r="B2981" t="inlineStr">
        <is>
          <t>5:42</t>
        </is>
      </c>
      <c r="C2981" t="inlineStr">
        <is>
          <t>interesting Direction considering this</t>
        </is>
      </c>
      <c r="D2981">
        <f>HYPERLINK("https://www.youtube.com/watch?v=YH232gAGzbE&amp;t=342s", "Go to time")</f>
        <v/>
      </c>
    </row>
    <row r="2982">
      <c r="A2982">
        <f>HYPERLINK("https://www.youtube.com/watch?v=YH232gAGzbE", "Video")</f>
        <v/>
      </c>
      <c r="B2982" t="inlineStr">
        <is>
          <t>12:44</t>
        </is>
      </c>
      <c r="C2982" t="inlineStr">
        <is>
          <t>director James Juan and writer Lee</t>
        </is>
      </c>
      <c r="D2982">
        <f>HYPERLINK("https://www.youtube.com/watch?v=YH232gAGzbE&amp;t=764s", "Go to time")</f>
        <v/>
      </c>
    </row>
    <row r="2983">
      <c r="A2983">
        <f>HYPERLINK("https://www.youtube.com/watch?v=YH232gAGzbE", "Video")</f>
        <v/>
      </c>
      <c r="B2983" t="inlineStr">
        <is>
          <t>13:07</t>
        </is>
      </c>
      <c r="C2983" t="inlineStr">
        <is>
          <t>Conjuring which was also directed by</t>
        </is>
      </c>
      <c r="D2983">
        <f>HYPERLINK("https://www.youtube.com/watch?v=YH232gAGzbE&amp;t=787s", "Go to time")</f>
        <v/>
      </c>
    </row>
    <row r="2984">
      <c r="A2984">
        <f>HYPERLINK("https://www.youtube.com/watch?v=YH232gAGzbE", "Video")</f>
        <v/>
      </c>
      <c r="B2984" t="inlineStr">
        <is>
          <t>23:22</t>
        </is>
      </c>
      <c r="C2984" t="inlineStr">
        <is>
          <t>door is the direct sequel to Insidious</t>
        </is>
      </c>
      <c r="D2984">
        <f>HYPERLINK("https://www.youtube.com/watch?v=YH232gAGzbE&amp;t=1402s", "Go to time")</f>
        <v/>
      </c>
    </row>
    <row r="2985">
      <c r="A2985">
        <f>HYPERLINK("https://www.youtube.com/watch?v=YH232gAGzbE", "Video")</f>
        <v/>
      </c>
      <c r="B2985" t="inlineStr">
        <is>
          <t>23:36</t>
        </is>
      </c>
      <c r="C2985" t="inlineStr">
        <is>
          <t>different direction than you wanted so I</t>
        </is>
      </c>
      <c r="D2985">
        <f>HYPERLINK("https://www.youtube.com/watch?v=YH232gAGzbE&amp;t=1416s", "Go to time")</f>
        <v/>
      </c>
    </row>
    <row r="2986">
      <c r="A2986">
        <f>HYPERLINK("https://www.youtube.com/watch?v=YH232gAGzbE", "Video")</f>
        <v/>
      </c>
      <c r="B2986" t="inlineStr">
        <is>
          <t>25:28</t>
        </is>
      </c>
      <c r="C2986" t="inlineStr">
        <is>
          <t>of with Patrick Wilson directing this</t>
        </is>
      </c>
      <c r="D2986">
        <f>HYPERLINK("https://www.youtube.com/watch?v=YH232gAGzbE&amp;t=1528s", "Go to time")</f>
        <v/>
      </c>
    </row>
    <row r="2987">
      <c r="A2987">
        <f>HYPERLINK("https://www.youtube.com/watch?v=YH232gAGzbE", "Video")</f>
        <v/>
      </c>
      <c r="B2987" t="inlineStr">
        <is>
          <t>25:39</t>
        </is>
      </c>
      <c r="C2987" t="inlineStr">
        <is>
          <t>Direction and that was the best</t>
        </is>
      </c>
      <c r="D2987">
        <f>HYPERLINK("https://www.youtube.com/watch?v=YH232gAGzbE&amp;t=1539s", "Go to time")</f>
        <v/>
      </c>
    </row>
    <row r="2988">
      <c r="A2988">
        <f>HYPERLINK("https://www.youtube.com/watch?v=YH232gAGzbE", "Video")</f>
        <v/>
      </c>
      <c r="B2988" t="inlineStr">
        <is>
          <t>34:43</t>
        </is>
      </c>
      <c r="C2988" t="inlineStr">
        <is>
          <t>directed this movie where you know you</t>
        </is>
      </c>
      <c r="D2988">
        <f>HYPERLINK("https://www.youtube.com/watch?v=YH232gAGzbE&amp;t=2083s", "Go to time")</f>
        <v/>
      </c>
    </row>
    <row r="2989">
      <c r="A2989">
        <f>HYPERLINK("https://www.youtube.com/watch?v=YH232gAGzbE", "Video")</f>
        <v/>
      </c>
      <c r="B2989" t="inlineStr">
        <is>
          <t>37:29</t>
        </is>
      </c>
      <c r="C2989" t="inlineStr">
        <is>
          <t>that's the direction they're going it's</t>
        </is>
      </c>
      <c r="D2989">
        <f>HYPERLINK("https://www.youtube.com/watch?v=YH232gAGzbE&amp;t=2249s", "Go to time")</f>
        <v/>
      </c>
    </row>
    <row r="2990">
      <c r="A2990">
        <f>HYPERLINK("https://www.youtube.com/watch?v=YH232gAGzbE", "Video")</f>
        <v/>
      </c>
      <c r="B2990" t="inlineStr">
        <is>
          <t>40:46</t>
        </is>
      </c>
      <c r="C2990" t="inlineStr">
        <is>
          <t>Patrick Wilson uh directorial I think</t>
        </is>
      </c>
      <c r="D2990">
        <f>HYPERLINK("https://www.youtube.com/watch?v=YH232gAGzbE&amp;t=2446s", "Go to time")</f>
        <v/>
      </c>
    </row>
    <row r="2991">
      <c r="A2991">
        <f>HYPERLINK("https://www.youtube.com/watch?v=YH232gAGzbE", "Video")</f>
        <v/>
      </c>
      <c r="B2991" t="inlineStr">
        <is>
          <t>41:22</t>
        </is>
      </c>
      <c r="C2991" t="inlineStr">
        <is>
          <t>think giving new directors especially</t>
        </is>
      </c>
      <c r="D2991">
        <f>HYPERLINK("https://www.youtube.com/watch?v=YH232gAGzbE&amp;t=2482s", "Go to time")</f>
        <v/>
      </c>
    </row>
    <row r="2992">
      <c r="A2992">
        <f>HYPERLINK("https://www.youtube.com/watch?v=YH232gAGzbE", "Video")</f>
        <v/>
      </c>
      <c r="B2992" t="inlineStr">
        <is>
          <t>41:31</t>
        </is>
      </c>
      <c r="C2992" t="inlineStr">
        <is>
          <t>with get out I think a lot of directors</t>
        </is>
      </c>
      <c r="D2992">
        <f>HYPERLINK("https://www.youtube.com/watch?v=YH232gAGzbE&amp;t=2491s", "Go to time")</f>
        <v/>
      </c>
    </row>
    <row r="2993">
      <c r="A2993">
        <f>HYPERLINK("https://www.youtube.com/watch?v=YH232gAGzbE", "Video")</f>
        <v/>
      </c>
      <c r="B2993" t="inlineStr">
        <is>
          <t>41:33</t>
        </is>
      </c>
      <c r="C2993" t="inlineStr">
        <is>
          <t>especially actor train directors are</t>
        </is>
      </c>
      <c r="D2993">
        <f>HYPERLINK("https://www.youtube.com/watch?v=YH232gAGzbE&amp;t=2493s", "Go to time")</f>
        <v/>
      </c>
    </row>
    <row r="2994">
      <c r="A2994">
        <f>HYPERLINK("https://www.youtube.com/watch?v=YH232gAGzbE", "Video")</f>
        <v/>
      </c>
      <c r="B2994" t="inlineStr">
        <is>
          <t>41:51</t>
        </is>
      </c>
      <c r="C2994" t="inlineStr">
        <is>
          <t>directors for so long it's like oh now</t>
        </is>
      </c>
      <c r="D2994">
        <f>HYPERLINK("https://www.youtube.com/watch?v=YH232gAGzbE&amp;t=2511s", "Go to time")</f>
        <v/>
      </c>
    </row>
    <row r="2995">
      <c r="A2995">
        <f>HYPERLINK("https://www.youtube.com/watch?v=VgpTuYGsN78", "Video")</f>
        <v/>
      </c>
      <c r="B2995" t="inlineStr">
        <is>
          <t>0:39</t>
        </is>
      </c>
      <c r="C2995" t="inlineStr">
        <is>
          <t>fans whose favorite film or director</t>
        </is>
      </c>
      <c r="D2995">
        <f>HYPERLINK("https://www.youtube.com/watch?v=VgpTuYGsN78&amp;t=39s", "Go to time")</f>
        <v/>
      </c>
    </row>
    <row r="2996">
      <c r="A2996">
        <f>HYPERLINK("https://www.youtube.com/watch?v=VgpTuYGsN78", "Video")</f>
        <v/>
      </c>
      <c r="B2996" t="inlineStr">
        <is>
          <t>6:23</t>
        </is>
      </c>
      <c r="C2996" t="inlineStr">
        <is>
          <t>that's written and now also directed by</t>
        </is>
      </c>
      <c r="D2996">
        <f>HYPERLINK("https://www.youtube.com/watch?v=VgpTuYGsN78&amp;t=383s", "Go to time")</f>
        <v/>
      </c>
    </row>
    <row r="2997">
      <c r="A2997">
        <f>HYPERLINK("https://www.youtube.com/watch?v=X-N9wR1e3-w", "Video")</f>
        <v/>
      </c>
      <c r="B2997" t="inlineStr">
        <is>
          <t>1:03</t>
        </is>
      </c>
      <c r="C2997" t="inlineStr">
        <is>
          <t>and the Japs made a direct hit on it</t>
        </is>
      </c>
      <c r="D2997">
        <f>HYPERLINK("https://www.youtube.com/watch?v=X-N9wR1e3-w&amp;t=63s", "Go to time")</f>
        <v/>
      </c>
    </row>
    <row r="2998">
      <c r="A2998">
        <f>HYPERLINK("https://www.youtube.com/watch?v=5ExqTddciJU", "Video")</f>
        <v/>
      </c>
      <c r="B2998" t="inlineStr">
        <is>
          <t>0:07</t>
        </is>
      </c>
      <c r="C2998" t="inlineStr">
        <is>
          <t>with great acting and directing or</t>
        </is>
      </c>
      <c r="D2998">
        <f>HYPERLINK("https://www.youtube.com/watch?v=5ExqTddciJU&amp;t=7s", "Go to time")</f>
        <v/>
      </c>
    </row>
    <row r="2999">
      <c r="A2999">
        <f>HYPERLINK("https://www.youtube.com/watch?v=5ExqTddciJU", "Video")</f>
        <v/>
      </c>
      <c r="B2999" t="inlineStr">
        <is>
          <t>1:38</t>
        </is>
      </c>
      <c r="C2999" t="inlineStr">
        <is>
          <t>was directed written and produced by</t>
        </is>
      </c>
      <c r="D2999">
        <f>HYPERLINK("https://www.youtube.com/watch?v=5ExqTddciJU&amp;t=98s", "Go to time")</f>
        <v/>
      </c>
    </row>
    <row r="3000">
      <c r="A3000">
        <f>HYPERLINK("https://www.youtube.com/watch?v=5ExqTddciJU", "Video")</f>
        <v/>
      </c>
      <c r="B3000" t="inlineStr">
        <is>
          <t>1:41</t>
        </is>
      </c>
      <c r="C3000" t="inlineStr">
        <is>
          <t>Beth Dio in her directorial debut and it</t>
        </is>
      </c>
      <c r="D3000">
        <f>HYPERLINK("https://www.youtube.com/watch?v=5ExqTddciJU&amp;t=101s", "Go to time")</f>
        <v/>
      </c>
    </row>
    <row r="3001">
      <c r="A3001">
        <f>HYPERLINK("https://www.youtube.com/watch?v=5ExqTddciJU", "Video")</f>
        <v/>
      </c>
      <c r="B3001" t="inlineStr">
        <is>
          <t>4:16</t>
        </is>
      </c>
      <c r="C3001" t="inlineStr">
        <is>
          <t>written and directed by nikyatu juu in</t>
        </is>
      </c>
      <c r="D3001">
        <f>HYPERLINK("https://www.youtube.com/watch?v=5ExqTddciJU&amp;t=256s", "Go to time")</f>
        <v/>
      </c>
    </row>
    <row r="3002">
      <c r="A3002">
        <f>HYPERLINK("https://www.youtube.com/watch?v=5ExqTddciJU", "Video")</f>
        <v/>
      </c>
      <c r="B3002" t="inlineStr">
        <is>
          <t>4:18</t>
        </is>
      </c>
      <c r="C3002" t="inlineStr">
        <is>
          <t>her feature directorial debut an awesome</t>
        </is>
      </c>
      <c r="D3002">
        <f>HYPERLINK("https://www.youtube.com/watch?v=5ExqTddciJU&amp;t=258s", "Go to time")</f>
        <v/>
      </c>
    </row>
    <row r="3003">
      <c r="A3003">
        <f>HYPERLINK("https://www.youtube.com/watch?v=5ExqTddciJU", "Video")</f>
        <v/>
      </c>
      <c r="B3003" t="inlineStr">
        <is>
          <t>5:38</t>
        </is>
      </c>
      <c r="C3003" t="inlineStr">
        <is>
          <t>written and directed by Keith Thomas in</t>
        </is>
      </c>
      <c r="D3003">
        <f>HYPERLINK("https://www.youtube.com/watch?v=5ExqTddciJU&amp;t=338s", "Go to time")</f>
        <v/>
      </c>
    </row>
    <row r="3004">
      <c r="A3004">
        <f>HYPERLINK("https://www.youtube.com/watch?v=5ExqTddciJU", "Video")</f>
        <v/>
      </c>
      <c r="B3004" t="inlineStr">
        <is>
          <t>5:40</t>
        </is>
      </c>
      <c r="C3004" t="inlineStr">
        <is>
          <t>his feature directorial debut which</t>
        </is>
      </c>
      <c r="D3004">
        <f>HYPERLINK("https://www.youtube.com/watch?v=5ExqTddciJU&amp;t=340s", "Go to time")</f>
        <v/>
      </c>
    </row>
    <row r="3005">
      <c r="A3005">
        <f>HYPERLINK("https://www.youtube.com/watch?v=5ExqTddciJU", "Video")</f>
        <v/>
      </c>
      <c r="B3005" t="inlineStr">
        <is>
          <t>7:06</t>
        </is>
      </c>
      <c r="C3005" t="inlineStr">
        <is>
          <t>now led by director Lee wiell the</t>
        </is>
      </c>
      <c r="D3005">
        <f>HYPERLINK("https://www.youtube.com/watch?v=5ExqTddciJU&amp;t=426s", "Go to time")</f>
        <v/>
      </c>
    </row>
    <row r="3006">
      <c r="A3006">
        <f>HYPERLINK("https://www.youtube.com/watch?v=5ExqTddciJU", "Video")</f>
        <v/>
      </c>
      <c r="B3006" t="inlineStr">
        <is>
          <t>9:03</t>
        </is>
      </c>
      <c r="C3006" t="inlineStr">
        <is>
          <t>hush with director Mike Flanigan at the</t>
        </is>
      </c>
      <c r="D3006">
        <f>HYPERLINK("https://www.youtube.com/watch?v=5ExqTddciJU&amp;t=543s", "Go to time")</f>
        <v/>
      </c>
    </row>
    <row r="3007">
      <c r="A3007">
        <f>HYPERLINK("https://www.youtube.com/watch?v=5ExqTddciJU", "Video")</f>
        <v/>
      </c>
      <c r="B3007" t="inlineStr">
        <is>
          <t>10:56</t>
        </is>
      </c>
      <c r="C3007" t="inlineStr">
        <is>
          <t>directed by Daniel Golder and written by</t>
        </is>
      </c>
      <c r="D3007">
        <f>HYPERLINK("https://www.youtube.com/watch?v=5ExqTddciJU&amp;t=656s", "Go to time")</f>
        <v/>
      </c>
    </row>
    <row r="3008">
      <c r="A3008">
        <f>HYPERLINK("https://www.youtube.com/watch?v=5ExqTddciJU", "Video")</f>
        <v/>
      </c>
      <c r="B3008" t="inlineStr">
        <is>
          <t>12:40</t>
        </is>
      </c>
      <c r="C3008" t="inlineStr">
        <is>
          <t>directorial debut for Jordan Peele</t>
        </is>
      </c>
      <c r="D3008">
        <f>HYPERLINK("https://www.youtube.com/watch?v=5ExqTddciJU&amp;t=760s", "Go to time")</f>
        <v/>
      </c>
    </row>
    <row r="3009">
      <c r="A3009">
        <f>HYPERLINK("https://www.youtube.com/watch?v=zur12-IXeiU", "Video")</f>
        <v/>
      </c>
      <c r="B3009" t="inlineStr">
        <is>
          <t>0:23</t>
        </is>
      </c>
      <c r="C3009" t="inlineStr">
        <is>
          <t>director pair Duo they recently won the</t>
        </is>
      </c>
      <c r="D3009">
        <f>HYPERLINK("https://www.youtube.com/watch?v=zur12-IXeiU&amp;t=23s", "Go to time")</f>
        <v/>
      </c>
    </row>
    <row r="3010">
      <c r="A3010">
        <f>HYPERLINK("https://www.youtube.com/watch?v=zur12-IXeiU", "Video")</f>
        <v/>
      </c>
      <c r="B3010" t="inlineStr">
        <is>
          <t>8:46</t>
        </is>
      </c>
      <c r="C3010" t="inlineStr">
        <is>
          <t>love this with directing and writing</t>
        </is>
      </c>
      <c r="D3010">
        <f>HYPERLINK("https://www.youtube.com/watch?v=zur12-IXeiU&amp;t=526s", "Go to time")</f>
        <v/>
      </c>
    </row>
    <row r="3011">
      <c r="A3011">
        <f>HYPERLINK("https://www.youtube.com/watch?v=zur12-IXeiU", "Video")</f>
        <v/>
      </c>
      <c r="B3011" t="inlineStr">
        <is>
          <t>9:16</t>
        </is>
      </c>
      <c r="C3011" t="inlineStr">
        <is>
          <t>directed together so we didn't fully you</t>
        </is>
      </c>
      <c r="D3011">
        <f>HYPERLINK("https://www.youtube.com/watch?v=zur12-IXeiU&amp;t=556s", "Go to time")</f>
        <v/>
      </c>
    </row>
    <row r="3012">
      <c r="A3012">
        <f>HYPERLINK("https://www.youtube.com/watch?v=zur12-IXeiU", "Video")</f>
        <v/>
      </c>
      <c r="B3012" t="inlineStr">
        <is>
          <t>9:19</t>
        </is>
      </c>
      <c r="C3012" t="inlineStr">
        <is>
          <t>know we hadn't been on set as directors</t>
        </is>
      </c>
      <c r="D3012">
        <f>HYPERLINK("https://www.youtube.com/watch?v=zur12-IXeiU&amp;t=559s", "Go to time")</f>
        <v/>
      </c>
    </row>
    <row r="3013">
      <c r="A3013">
        <f>HYPERLINK("https://www.youtube.com/watch?v=zur12-IXeiU", "Video")</f>
        <v/>
      </c>
      <c r="B3013" t="inlineStr">
        <is>
          <t>9:33</t>
        </is>
      </c>
      <c r="C3013" t="inlineStr">
        <is>
          <t>directing is you know it's so much you</t>
        </is>
      </c>
      <c r="D3013">
        <f>HYPERLINK("https://www.youtube.com/watch?v=zur12-IXeiU&amp;t=573s", "Go to time")</f>
        <v/>
      </c>
    </row>
    <row r="3014">
      <c r="A3014">
        <f>HYPERLINK("https://www.youtube.com/watch?v=zur12-IXeiU", "Video")</f>
        <v/>
      </c>
      <c r="B3014" t="inlineStr">
        <is>
          <t>9:40</t>
        </is>
      </c>
      <c r="C3014" t="inlineStr">
        <is>
          <t>understand performance so directing the</t>
        </is>
      </c>
      <c r="D3014">
        <f>HYPERLINK("https://www.youtube.com/watch?v=zur12-IXeiU&amp;t=580s", "Go to time")</f>
        <v/>
      </c>
    </row>
    <row r="3015">
      <c r="A3015">
        <f>HYPERLINK("https://www.youtube.com/watch?v=zur12-IXeiU", "Video")</f>
        <v/>
      </c>
      <c r="B3015" t="inlineStr">
        <is>
          <t>10:16</t>
        </is>
      </c>
      <c r="C3015" t="inlineStr">
        <is>
          <t>we're both are an awardwinning director</t>
        </is>
      </c>
      <c r="D3015">
        <f>HYPERLINK("https://www.youtube.com/watch?v=zur12-IXeiU&amp;t=616s", "Go to time")</f>
        <v/>
      </c>
    </row>
    <row r="3016">
      <c r="A3016">
        <f>HYPERLINK("https://www.youtube.com/watch?v=zur12-IXeiU", "Video")</f>
        <v/>
      </c>
      <c r="B3016" t="inlineStr">
        <is>
          <t>13:44</t>
        </is>
      </c>
      <c r="C3016" t="inlineStr">
        <is>
          <t>the actors you guys got Direct on screen</t>
        </is>
      </c>
      <c r="D3016">
        <f>HYPERLINK("https://www.youtube.com/watch?v=zur12-IXeiU&amp;t=824s", "Go to time")</f>
        <v/>
      </c>
    </row>
    <row r="3017">
      <c r="A3017">
        <f>HYPERLINK("https://www.youtube.com/watch?v=zur12-IXeiU", "Video")</f>
        <v/>
      </c>
      <c r="B3017" t="inlineStr">
        <is>
          <t>14:17</t>
        </is>
      </c>
      <c r="C3017" t="inlineStr">
        <is>
          <t>a director I see these little touches of</t>
        </is>
      </c>
      <c r="D3017">
        <f>HYPERLINK("https://www.youtube.com/watch?v=zur12-IXeiU&amp;t=857s", "Go to time")</f>
        <v/>
      </c>
    </row>
    <row r="3018">
      <c r="A3018">
        <f>HYPERLINK("https://www.youtube.com/watch?v=zur12-IXeiU", "Video")</f>
        <v/>
      </c>
      <c r="B3018" t="inlineStr">
        <is>
          <t>15:24</t>
        </is>
      </c>
      <c r="C3018" t="inlineStr">
        <is>
          <t>those are the types of directors that</t>
        </is>
      </c>
      <c r="D3018">
        <f>HYPERLINK("https://www.youtube.com/watch?v=zur12-IXeiU&amp;t=924s", "Go to time")</f>
        <v/>
      </c>
    </row>
    <row r="3019">
      <c r="A3019">
        <f>HYPERLINK("https://www.youtube.com/watch?v=zur12-IXeiU", "Video")</f>
        <v/>
      </c>
      <c r="B3019" t="inlineStr">
        <is>
          <t>15:35</t>
        </is>
      </c>
      <c r="C3019" t="inlineStr">
        <is>
          <t>directors who make things I like you</t>
        </is>
      </c>
      <c r="D3019">
        <f>HYPERLINK("https://www.youtube.com/watch?v=zur12-IXeiU&amp;t=935s", "Go to time")</f>
        <v/>
      </c>
    </row>
    <row r="3020">
      <c r="A3020">
        <f>HYPERLINK("https://www.youtube.com/watch?v=zur12-IXeiU", "Video")</f>
        <v/>
      </c>
      <c r="B3020" t="inlineStr">
        <is>
          <t>15:46</t>
        </is>
      </c>
      <c r="C3020" t="inlineStr">
        <is>
          <t>when you I think become the director</t>
        </is>
      </c>
      <c r="D3020">
        <f>HYPERLINK("https://www.youtube.com/watch?v=zur12-IXeiU&amp;t=946s", "Go to time")</f>
        <v/>
      </c>
    </row>
    <row r="3021">
      <c r="A3021">
        <f>HYPERLINK("https://www.youtube.com/watch?v=zur12-IXeiU", "Video")</f>
        <v/>
      </c>
      <c r="B3021" t="inlineStr">
        <is>
          <t>15:50</t>
        </is>
      </c>
      <c r="C3021" t="inlineStr">
        <is>
          <t>because now that you're the director</t>
        </is>
      </c>
      <c r="D3021">
        <f>HYPERLINK("https://www.youtube.com/watch?v=zur12-IXeiU&amp;t=950s", "Go to time")</f>
        <v/>
      </c>
    </row>
    <row r="3022">
      <c r="A3022">
        <f>HYPERLINK("https://www.youtube.com/watch?v=o2AojL7AM6U", "Video")</f>
        <v/>
      </c>
      <c r="B3022" t="inlineStr">
        <is>
          <t>0:17</t>
        </is>
      </c>
      <c r="C3022" t="inlineStr">
        <is>
          <t>attend you directly</t>
        </is>
      </c>
      <c r="D3022">
        <f>HYPERLINK("https://www.youtube.com/watch?v=o2AojL7AM6U&amp;t=17s", "Go to time")</f>
        <v/>
      </c>
    </row>
    <row r="3023">
      <c r="A3023">
        <f>HYPERLINK("https://www.youtube.com/watch?v=o2AojL7AM6U", "Video")</f>
        <v/>
      </c>
      <c r="B3023" t="inlineStr">
        <is>
          <t>0:57</t>
        </is>
      </c>
      <c r="C3023" t="inlineStr">
        <is>
          <t>this lady was just about a dress direct</t>
        </is>
      </c>
      <c r="D3023">
        <f>HYPERLINK("https://www.youtube.com/watch?v=o2AojL7AM6U&amp;t=57s", "Go to time")</f>
        <v/>
      </c>
    </row>
    <row r="3024">
      <c r="A3024">
        <f>HYPERLINK("https://www.youtube.com/watch?v=6PaVtrTL2ak", "Video")</f>
        <v/>
      </c>
      <c r="B3024" t="inlineStr">
        <is>
          <t>1:55</t>
        </is>
      </c>
      <c r="C3024" t="inlineStr">
        <is>
          <t>the only directorial credit for hironobu</t>
        </is>
      </c>
      <c r="D3024">
        <f>HYPERLINK("https://www.youtube.com/watch?v=6PaVtrTL2ak&amp;t=115s", "Go to time")</f>
        <v/>
      </c>
    </row>
    <row r="3025">
      <c r="A3025">
        <f>HYPERLINK("https://www.youtube.com/watch?v=6PaVtrTL2ak", "Video")</f>
        <v/>
      </c>
      <c r="B3025" t="inlineStr">
        <is>
          <t>4:39</t>
        </is>
      </c>
      <c r="C3025" t="inlineStr">
        <is>
          <t>directed by Paul WS Anderson best known</t>
        </is>
      </c>
      <c r="D3025">
        <f>HYPERLINK("https://www.youtube.com/watch?v=6PaVtrTL2ak&amp;t=279s", "Go to time")</f>
        <v/>
      </c>
    </row>
    <row r="3026">
      <c r="A3026">
        <f>HYPERLINK("https://www.youtube.com/watch?v=6PaVtrTL2ak", "Video")</f>
        <v/>
      </c>
      <c r="B3026" t="inlineStr">
        <is>
          <t>7:20</t>
        </is>
      </c>
      <c r="C3026" t="inlineStr">
        <is>
          <t>one was written directed and produced by</t>
        </is>
      </c>
      <c r="D3026">
        <f>HYPERLINK("https://www.youtube.com/watch?v=6PaVtrTL2ak&amp;t=440s", "Go to time")</f>
        <v/>
      </c>
    </row>
    <row r="3027">
      <c r="A3027">
        <f>HYPERLINK("https://www.youtube.com/watch?v=6PaVtrTL2ak", "Video")</f>
        <v/>
      </c>
      <c r="B3027" t="inlineStr">
        <is>
          <t>7:49</t>
        </is>
      </c>
      <c r="C3027" t="inlineStr">
        <is>
          <t>that yovich has worked with director</t>
        </is>
      </c>
      <c r="D3027">
        <f>HYPERLINK("https://www.youtube.com/watch?v=6PaVtrTL2ak&amp;t=469s", "Go to time")</f>
        <v/>
      </c>
    </row>
    <row r="3028">
      <c r="A3028">
        <f>HYPERLINK("https://www.youtube.com/watch?v=6PaVtrTL2ak", "Video")</f>
        <v/>
      </c>
      <c r="B3028" t="inlineStr">
        <is>
          <t>9:24</t>
        </is>
      </c>
      <c r="C3028" t="inlineStr">
        <is>
          <t>directed by Brad Payton and marks his</t>
        </is>
      </c>
      <c r="D3028">
        <f>HYPERLINK("https://www.youtube.com/watch?v=6PaVtrTL2ak&amp;t=564s", "Go to time")</f>
        <v/>
      </c>
    </row>
    <row r="3029">
      <c r="A3029">
        <f>HYPERLINK("https://www.youtube.com/watch?v=6PaVtrTL2ak", "Video")</f>
        <v/>
      </c>
      <c r="B3029" t="inlineStr">
        <is>
          <t>14:08</t>
        </is>
      </c>
      <c r="C3029" t="inlineStr">
        <is>
          <t>directed by Simon mccoid in his feature</t>
        </is>
      </c>
      <c r="D3029">
        <f>HYPERLINK("https://www.youtube.com/watch?v=6PaVtrTL2ak&amp;t=848s", "Go to time")</f>
        <v/>
      </c>
    </row>
    <row r="3030">
      <c r="A3030">
        <f>HYPERLINK("https://www.youtube.com/watch?v=6PaVtrTL2ak", "Video")</f>
        <v/>
      </c>
      <c r="B3030" t="inlineStr">
        <is>
          <t>14:11</t>
        </is>
      </c>
      <c r="C3030" t="inlineStr">
        <is>
          <t>directorial debut the film follows a</t>
        </is>
      </c>
      <c r="D3030">
        <f>HYPERLINK("https://www.youtube.com/watch?v=6PaVtrTL2ak&amp;t=851s", "Go to time")</f>
        <v/>
      </c>
    </row>
    <row r="3031">
      <c r="A3031">
        <f>HYPERLINK("https://www.youtube.com/watch?v=6PaVtrTL2ak", "Video")</f>
        <v/>
      </c>
      <c r="B3031" t="inlineStr">
        <is>
          <t>16:40</t>
        </is>
      </c>
      <c r="C3031" t="inlineStr">
        <is>
          <t>this adaptation was directed by Jeff</t>
        </is>
      </c>
      <c r="D3031">
        <f>HYPERLINK("https://www.youtube.com/watch?v=6PaVtrTL2ak&amp;t=1000s", "Go to time")</f>
        <v/>
      </c>
    </row>
    <row r="3032">
      <c r="A3032">
        <f>HYPERLINK("https://www.youtube.com/watch?v=6PaVtrTL2ak", "Video")</f>
        <v/>
      </c>
      <c r="B3032" t="inlineStr">
        <is>
          <t>16:42</t>
        </is>
      </c>
      <c r="C3032" t="inlineStr">
        <is>
          <t>Fowler in his directorial debut and</t>
        </is>
      </c>
      <c r="D3032">
        <f>HYPERLINK("https://www.youtube.com/watch?v=6PaVtrTL2ak&amp;t=1002s", "Go to time")</f>
        <v/>
      </c>
    </row>
    <row r="3033">
      <c r="A3033">
        <f>HYPERLINK("https://www.youtube.com/watch?v=6PaVtrTL2ak", "Video")</f>
        <v/>
      </c>
      <c r="B3033" t="inlineStr">
        <is>
          <t>19:11</t>
        </is>
      </c>
      <c r="C3033" t="inlineStr">
        <is>
          <t>was directed by Rob Letterman known for</t>
        </is>
      </c>
      <c r="D3033">
        <f>HYPERLINK("https://www.youtube.com/watch?v=6PaVtrTL2ak&amp;t=1151s", "Go to time")</f>
        <v/>
      </c>
    </row>
    <row r="3034">
      <c r="A3034">
        <f>HYPERLINK("https://www.youtube.com/watch?v=6PaVtrTL2ak", "Video")</f>
        <v/>
      </c>
      <c r="B3034" t="inlineStr">
        <is>
          <t>23:55</t>
        </is>
      </c>
      <c r="C3034" t="inlineStr">
        <is>
          <t>the film was directed by Josh Rubin in</t>
        </is>
      </c>
      <c r="D3034">
        <f>HYPERLINK("https://www.youtube.com/watch?v=6PaVtrTL2ak&amp;t=1435s", "Go to time")</f>
        <v/>
      </c>
    </row>
    <row r="3035">
      <c r="A3035">
        <f>HYPERLINK("https://www.youtube.com/watch?v=BWRqTttLOF4", "Video")</f>
        <v/>
      </c>
      <c r="B3035" t="inlineStr">
        <is>
          <t>1:36</t>
        </is>
      </c>
      <c r="C3035" t="inlineStr">
        <is>
          <t>I shall leave directly</t>
        </is>
      </c>
      <c r="D3035">
        <f>HYPERLINK("https://www.youtube.com/watch?v=BWRqTttLOF4&amp;t=96s", "Go to time")</f>
        <v/>
      </c>
    </row>
    <row r="3036">
      <c r="A3036">
        <f>HYPERLINK("https://www.youtube.com/watch?v=AjXgJ1gneK8", "Video")</f>
        <v/>
      </c>
      <c r="B3036" t="inlineStr">
        <is>
          <t>1:11</t>
        </is>
      </c>
      <c r="C3036" t="inlineStr">
        <is>
          <t>he just hasn't got the direction but we</t>
        </is>
      </c>
      <c r="D3036">
        <f>HYPERLINK("https://www.youtube.com/watch?v=AjXgJ1gneK8&amp;t=71s", "Go to time")</f>
        <v/>
      </c>
    </row>
    <row r="3037">
      <c r="A3037">
        <f>HYPERLINK("https://www.youtube.com/watch?v=AjXgJ1gneK8", "Video")</f>
        <v/>
      </c>
      <c r="B3037" t="inlineStr">
        <is>
          <t>1:46</t>
        </is>
      </c>
      <c r="C3037" t="inlineStr">
        <is>
          <t>got to give this kid Direction he can</t>
        </is>
      </c>
      <c r="D3037">
        <f>HYPERLINK("https://www.youtube.com/watch?v=AjXgJ1gneK8&amp;t=106s", "Go to time")</f>
        <v/>
      </c>
    </row>
    <row r="3038">
      <c r="A3038">
        <f>HYPERLINK("https://www.youtube.com/watch?v=AjXgJ1gneK8", "Video")</f>
        <v/>
      </c>
      <c r="B3038" t="inlineStr">
        <is>
          <t>1:50</t>
        </is>
      </c>
      <c r="C3038" t="inlineStr">
        <is>
          <t>him do that Direction's one thing</t>
        </is>
      </c>
      <c r="D3038">
        <f>HYPERLINK("https://www.youtube.com/watch?v=AjXgJ1gneK8&amp;t=110s", "Go to time")</f>
        <v/>
      </c>
    </row>
    <row r="3039">
      <c r="A3039">
        <f>HYPERLINK("https://www.youtube.com/watch?v=ADNxEsD73VI", "Video")</f>
        <v/>
      </c>
      <c r="B3039" t="inlineStr">
        <is>
          <t>1:21</t>
        </is>
      </c>
      <c r="C3039" t="inlineStr">
        <is>
          <t>directly into the</t>
        </is>
      </c>
      <c r="D3039">
        <f>HYPERLINK("https://www.youtube.com/watch?v=ADNxEsD73VI&amp;t=81s", "Go to time")</f>
        <v/>
      </c>
    </row>
    <row r="3040">
      <c r="A3040">
        <f>HYPERLINK("https://www.youtube.com/watch?v=tHdrTf3va0o", "Video")</f>
        <v/>
      </c>
      <c r="B3040" t="inlineStr">
        <is>
          <t>0:00</t>
        </is>
      </c>
      <c r="C3040" t="inlineStr">
        <is>
          <t>we spotted it Changed directions to come</t>
        </is>
      </c>
      <c r="D3040">
        <f>HYPERLINK("https://www.youtube.com/watch?v=tHdrTf3va0o&amp;t=0s", "Go to time")</f>
        <v/>
      </c>
    </row>
    <row r="3041">
      <c r="A3041">
        <f>HYPERLINK("https://www.youtube.com/watch?v=tHdrTf3va0o", "Video")</f>
        <v/>
      </c>
      <c r="B3041" t="inlineStr">
        <is>
          <t>0:49</t>
        </is>
      </c>
      <c r="C3041" t="inlineStr">
        <is>
          <t>go He's directly under us Eyes all</t>
        </is>
      </c>
      <c r="D3041">
        <f>HYPERLINK("https://www.youtube.com/watch?v=tHdrTf3va0o&amp;t=49s", "Go to time")</f>
        <v/>
      </c>
    </row>
    <row r="3042">
      <c r="A3042">
        <f>HYPERLINK("https://www.youtube.com/watch?v=6QNflNakJaw", "Video")</f>
        <v/>
      </c>
      <c r="B3042" t="inlineStr">
        <is>
          <t>13:43</t>
        </is>
      </c>
      <c r="C3042" t="inlineStr">
        <is>
          <t>of course the director of this movie my</t>
        </is>
      </c>
      <c r="D3042">
        <f>HYPERLINK("https://www.youtube.com/watch?v=6QNflNakJaw&amp;t=823s", "Go to time")</f>
        <v/>
      </c>
    </row>
    <row r="3043">
      <c r="A3043">
        <f>HYPERLINK("https://www.youtube.com/watch?v=6QNflNakJaw", "Video")</f>
        <v/>
      </c>
      <c r="B3043" t="inlineStr">
        <is>
          <t>13:45</t>
        </is>
      </c>
      <c r="C3043" t="inlineStr">
        <is>
          <t>favorite directing Paul Anderson wow</t>
        </is>
      </c>
      <c r="D3043">
        <f>HYPERLINK("https://www.youtube.com/watch?v=6QNflNakJaw&amp;t=825s", "Go to time")</f>
        <v/>
      </c>
    </row>
    <row r="3044">
      <c r="A3044">
        <f>HYPERLINK("https://www.youtube.com/watch?v=6QNflNakJaw", "Video")</f>
        <v/>
      </c>
      <c r="B3044" t="inlineStr">
        <is>
          <t>26:14</t>
        </is>
      </c>
      <c r="C3044" t="inlineStr">
        <is>
          <t>the director eventually I mean I can see</t>
        </is>
      </c>
      <c r="D3044">
        <f>HYPERLINK("https://www.youtube.com/watch?v=6QNflNakJaw&amp;t=1574s", "Go to time")</f>
        <v/>
      </c>
    </row>
    <row r="3045">
      <c r="A3045">
        <f>HYPERLINK("https://www.youtube.com/watch?v=6QNflNakJaw", "Video")</f>
        <v/>
      </c>
      <c r="B3045" t="inlineStr">
        <is>
          <t>47:03</t>
        </is>
      </c>
      <c r="C3045" t="inlineStr">
        <is>
          <t>Venice on the 6th and I fly directly</t>
        </is>
      </c>
      <c r="D3045">
        <f>HYPERLINK("https://www.youtube.com/watch?v=6QNflNakJaw&amp;t=2823s", "Go to time")</f>
        <v/>
      </c>
    </row>
    <row r="3046">
      <c r="A3046">
        <f>HYPERLINK("https://www.youtube.com/watch?v=B57yiRGGCu8", "Video")</f>
        <v/>
      </c>
      <c r="B3046" t="inlineStr">
        <is>
          <t>4:55</t>
        </is>
      </c>
      <c r="C3046" t="inlineStr">
        <is>
          <t>away who's got impact Check Direct Hit</t>
        </is>
      </c>
      <c r="D3046">
        <f>HYPERLINK("https://www.youtube.com/watch?v=B57yiRGGCu8&amp;t=295s", "Go to time")</f>
        <v/>
      </c>
    </row>
    <row r="3047">
      <c r="A3047">
        <f>HYPERLINK("https://www.youtube.com/watch?v=BSfg1LAaI3o", "Video")</f>
        <v/>
      </c>
      <c r="B3047" t="inlineStr">
        <is>
          <t>1:43</t>
        </is>
      </c>
      <c r="C3047" t="inlineStr">
        <is>
          <t>does it pointed directly down to where</t>
        </is>
      </c>
      <c r="D3047">
        <f>HYPERLINK("https://www.youtube.com/watch?v=BSfg1LAaI3o&amp;t=103s", "Go to time")</f>
        <v/>
      </c>
    </row>
    <row r="3048">
      <c r="A3048">
        <f>HYPERLINK("https://www.youtube.com/watch?v=H3fGDhk4o2s", "Video")</f>
        <v/>
      </c>
      <c r="B3048" t="inlineStr">
        <is>
          <t>24:39</t>
        </is>
      </c>
      <c r="C3048" t="inlineStr">
        <is>
          <t>up directly with its back bline which is</t>
        </is>
      </c>
      <c r="D3048">
        <f>HYPERLINK("https://www.youtube.com/watch?v=H3fGDhk4o2s&amp;t=1479s", "Go to time")</f>
        <v/>
      </c>
    </row>
    <row r="3049">
      <c r="A3049">
        <f>HYPERLINK("https://www.youtube.com/watch?v=RrkZiy9P3sA", "Video")</f>
        <v/>
      </c>
      <c r="B3049" t="inlineStr">
        <is>
          <t>1:35</t>
        </is>
      </c>
      <c r="C3049" t="inlineStr">
        <is>
          <t>say Mr wi that you are the best director</t>
        </is>
      </c>
      <c r="D3049">
        <f>HYPERLINK("https://www.youtube.com/watch?v=RrkZiy9P3sA&amp;t=95s", "Go to time")</f>
        <v/>
      </c>
    </row>
    <row r="3050">
      <c r="A3050">
        <f>HYPERLINK("https://www.youtube.com/watch?v=c7F1h_Mdgns", "Video")</f>
        <v/>
      </c>
      <c r="B3050" t="inlineStr">
        <is>
          <t>0:45</t>
        </is>
      </c>
      <c r="C3050" t="inlineStr">
        <is>
          <t>writer director Paul W S Anderson who</t>
        </is>
      </c>
      <c r="D3050">
        <f>HYPERLINK("https://www.youtube.com/watch?v=c7F1h_Mdgns&amp;t=45s", "Go to time")</f>
        <v/>
      </c>
    </row>
    <row r="3051">
      <c r="A3051">
        <f>HYPERLINK("https://www.youtube.com/watch?v=c7F1h_Mdgns", "Video")</f>
        <v/>
      </c>
      <c r="B3051" t="inlineStr">
        <is>
          <t>3:02</t>
        </is>
      </c>
      <c r="C3051" t="inlineStr">
        <is>
          <t>so Rampage was directed by Brad Peyton</t>
        </is>
      </c>
      <c r="D3051">
        <f>HYPERLINK("https://www.youtube.com/watch?v=c7F1h_Mdgns&amp;t=182s", "Go to time")</f>
        <v/>
      </c>
    </row>
    <row r="3052">
      <c r="A3052">
        <f>HYPERLINK("https://www.youtube.com/watch?v=c7F1h_Mdgns", "Video")</f>
        <v/>
      </c>
      <c r="B3052" t="inlineStr">
        <is>
          <t>12:09</t>
        </is>
      </c>
      <c r="C3052" t="inlineStr">
        <is>
          <t>director first time writer and a</t>
        </is>
      </c>
      <c r="D3052">
        <f>HYPERLINK("https://www.youtube.com/watch?v=c7F1h_Mdgns&amp;t=729s", "Go to time")</f>
        <v/>
      </c>
    </row>
    <row r="3053">
      <c r="A3053">
        <f>HYPERLINK("https://www.youtube.com/watch?v=FRlOIbKDyWU", "Video")</f>
        <v/>
      </c>
      <c r="B3053" t="inlineStr">
        <is>
          <t>3:04</t>
        </is>
      </c>
      <c r="C3053" t="inlineStr">
        <is>
          <t>Victorian Creations directly to</t>
        </is>
      </c>
      <c r="D3053">
        <f>HYPERLINK("https://www.youtube.com/watch?v=FRlOIbKDyWU&amp;t=184s", "Go to time")</f>
        <v/>
      </c>
    </row>
    <row r="3054">
      <c r="A3054">
        <f>HYPERLINK("https://www.youtube.com/watch?v=m6E1U3BkHXo", "Video")</f>
        <v/>
      </c>
      <c r="B3054" t="inlineStr">
        <is>
          <t>12:05</t>
        </is>
      </c>
      <c r="C3054" t="inlineStr">
        <is>
          <t>the director of Casino Royale it's</t>
        </is>
      </c>
      <c r="D3054">
        <f>HYPERLINK("https://www.youtube.com/watch?v=m6E1U3BkHXo&amp;t=725s", "Go to time")</f>
        <v/>
      </c>
    </row>
    <row r="3055">
      <c r="A3055">
        <f>HYPERLINK("https://www.youtube.com/watch?v=m6E1U3BkHXo", "Video")</f>
        <v/>
      </c>
      <c r="B3055" t="inlineStr">
        <is>
          <t>13:22</t>
        </is>
      </c>
      <c r="C3055" t="inlineStr">
        <is>
          <t>a incredible director behind a property</t>
        </is>
      </c>
      <c r="D3055">
        <f>HYPERLINK("https://www.youtube.com/watch?v=m6E1U3BkHXo&amp;t=802s", "Go to time")</f>
        <v/>
      </c>
    </row>
    <row r="3056">
      <c r="A3056">
        <f>HYPERLINK("https://www.youtube.com/watch?v=m6E1U3BkHXo", "Video")</f>
        <v/>
      </c>
      <c r="B3056" t="inlineStr">
        <is>
          <t>15:55</t>
        </is>
      </c>
      <c r="C3056" t="inlineStr">
        <is>
          <t>those directors that's like way more</t>
        </is>
      </c>
      <c r="D3056">
        <f>HYPERLINK("https://www.youtube.com/watch?v=m6E1U3BkHXo&amp;t=955s", "Go to time")</f>
        <v/>
      </c>
    </row>
    <row r="3057">
      <c r="A3057">
        <f>HYPERLINK("https://www.youtube.com/watch?v=m6E1U3BkHXo", "Video")</f>
        <v/>
      </c>
      <c r="B3057" t="inlineStr">
        <is>
          <t>16:55</t>
        </is>
      </c>
      <c r="C3057" t="inlineStr">
        <is>
          <t>meeting with their director Martin</t>
        </is>
      </c>
      <c r="D3057">
        <f>HYPERLINK("https://www.youtube.com/watch?v=m6E1U3BkHXo&amp;t=1015s", "Go to time")</f>
        <v/>
      </c>
    </row>
    <row r="3058">
      <c r="A3058">
        <f>HYPERLINK("https://www.youtube.com/watch?v=m6E1U3BkHXo", "Video")</f>
        <v/>
      </c>
      <c r="B3058" t="inlineStr">
        <is>
          <t>20:02</t>
        </is>
      </c>
      <c r="C3058" t="inlineStr">
        <is>
          <t>you say the director of the best bond in</t>
        </is>
      </c>
      <c r="D3058">
        <f>HYPERLINK("https://www.youtube.com/watch?v=m6E1U3BkHXo&amp;t=1202s", "Go to time")</f>
        <v/>
      </c>
    </row>
    <row r="3059">
      <c r="A3059">
        <f>HYPERLINK("https://www.youtube.com/watch?v=m6E1U3BkHXo", "Video")</f>
        <v/>
      </c>
      <c r="B3059" t="inlineStr">
        <is>
          <t>22:41</t>
        </is>
      </c>
      <c r="C3059" t="inlineStr">
        <is>
          <t>unknown director with a c-list character</t>
        </is>
      </c>
      <c r="D3059">
        <f>HYPERLINK("https://www.youtube.com/watch?v=m6E1U3BkHXo&amp;t=1361s", "Go to time")</f>
        <v/>
      </c>
    </row>
    <row r="3060">
      <c r="A3060">
        <f>HYPERLINK("https://www.youtube.com/watch?v=m6E1U3BkHXo", "Video")</f>
        <v/>
      </c>
      <c r="B3060" t="inlineStr">
        <is>
          <t>25:30</t>
        </is>
      </c>
      <c r="C3060" t="inlineStr">
        <is>
          <t>director of this good why did I feel</t>
        </is>
      </c>
      <c r="D3060">
        <f>HYPERLINK("https://www.youtube.com/watch?v=m6E1U3BkHXo&amp;t=1530s", "Go to time")</f>
        <v/>
      </c>
    </row>
    <row r="3061">
      <c r="A3061">
        <f>HYPERLINK("https://www.youtube.com/watch?v=m6E1U3BkHXo", "Video")</f>
        <v/>
      </c>
      <c r="B3061" t="inlineStr">
        <is>
          <t>25:47</t>
        </is>
      </c>
      <c r="C3061" t="inlineStr">
        <is>
          <t>he did his uh directing on like Flight</t>
        </is>
      </c>
      <c r="D3061">
        <f>HYPERLINK("https://www.youtube.com/watch?v=m6E1U3BkHXo&amp;t=1547s", "Go to time")</f>
        <v/>
      </c>
    </row>
    <row r="3062">
      <c r="A3062">
        <f>HYPERLINK("https://www.youtube.com/watch?v=m6E1U3BkHXo", "Video")</f>
        <v/>
      </c>
      <c r="B3062" t="inlineStr">
        <is>
          <t>38:57</t>
        </is>
      </c>
      <c r="C3062" t="inlineStr">
        <is>
          <t>team and every directory workers now</t>
        </is>
      </c>
      <c r="D3062">
        <f>HYPERLINK("https://www.youtube.com/watch?v=m6E1U3BkHXo&amp;t=2337s", "Go to time")</f>
        <v/>
      </c>
    </row>
    <row r="3063">
      <c r="A3063">
        <f>HYPERLINK("https://www.youtube.com/watch?v=m6E1U3BkHXo", "Video")</f>
        <v/>
      </c>
      <c r="B3063" t="inlineStr">
        <is>
          <t>50:19</t>
        </is>
      </c>
      <c r="C3063" t="inlineStr">
        <is>
          <t>direction and we'll see you guys next</t>
        </is>
      </c>
      <c r="D3063">
        <f>HYPERLINK("https://www.youtube.com/watch?v=m6E1U3BkHXo&amp;t=3019s", "Go to time")</f>
        <v/>
      </c>
    </row>
    <row r="3064">
      <c r="A3064">
        <f>HYPERLINK("https://www.youtube.com/watch?v=0wepvltASVk", "Video")</f>
        <v/>
      </c>
      <c r="B3064" t="inlineStr">
        <is>
          <t>1:03</t>
        </is>
      </c>
      <c r="C3064" t="inlineStr">
        <is>
          <t>director who chooses to be that</t>
        </is>
      </c>
      <c r="D3064">
        <f>HYPERLINK("https://www.youtube.com/watch?v=0wepvltASVk&amp;t=63s", "Go to time")</f>
        <v/>
      </c>
    </row>
    <row r="3065">
      <c r="A3065">
        <f>HYPERLINK("https://www.youtube.com/watch?v=0wepvltASVk", "Video")</f>
        <v/>
      </c>
      <c r="B3065" t="inlineStr">
        <is>
          <t>1:17</t>
        </is>
      </c>
      <c r="C3065" t="inlineStr">
        <is>
          <t>being not just the director of the</t>
        </is>
      </c>
      <c r="D3065">
        <f>HYPERLINK("https://www.youtube.com/watch?v=0wepvltASVk&amp;t=77s", "Go to time")</f>
        <v/>
      </c>
    </row>
    <row r="3066">
      <c r="A3066">
        <f>HYPERLINK("https://www.youtube.com/watch?v=0wepvltASVk", "Video")</f>
        <v/>
      </c>
      <c r="B3066" t="inlineStr">
        <is>
          <t>3:22</t>
        </is>
      </c>
      <c r="C3066" t="inlineStr">
        <is>
          <t>the music are really the stage direction</t>
        </is>
      </c>
      <c r="D3066">
        <f>HYPERLINK("https://www.youtube.com/watch?v=0wepvltASVk&amp;t=202s", "Go to time")</f>
        <v/>
      </c>
    </row>
    <row r="3067">
      <c r="A3067">
        <f>HYPERLINK("https://www.youtube.com/watch?v=0wepvltASVk", "Video")</f>
        <v/>
      </c>
      <c r="B3067" t="inlineStr">
        <is>
          <t>10:50</t>
        </is>
      </c>
      <c r="C3067" t="inlineStr">
        <is>
          <t>director and the person that's doing the</t>
        </is>
      </c>
      <c r="D3067">
        <f>HYPERLINK("https://www.youtube.com/watch?v=0wepvltASVk&amp;t=650s", "Go to time")</f>
        <v/>
      </c>
    </row>
    <row r="3068">
      <c r="A3068">
        <f>HYPERLINK("https://www.youtube.com/watch?v=0wepvltASVk", "Video")</f>
        <v/>
      </c>
      <c r="B3068" t="inlineStr">
        <is>
          <t>11:06</t>
        </is>
      </c>
      <c r="C3068" t="inlineStr">
        <is>
          <t>that was the case with a director I like</t>
        </is>
      </c>
      <c r="D3068">
        <f>HYPERLINK("https://www.youtube.com/watch?v=0wepvltASVk&amp;t=666s", "Go to time")</f>
        <v/>
      </c>
    </row>
    <row r="3069">
      <c r="A3069">
        <f>HYPERLINK("https://www.youtube.com/watch?v=0wepvltASVk", "Video")</f>
        <v/>
      </c>
      <c r="B3069" t="inlineStr">
        <is>
          <t>15:48</t>
        </is>
      </c>
      <c r="C3069" t="inlineStr">
        <is>
          <t>the music on the first director's cut</t>
        </is>
      </c>
      <c r="D3069">
        <f>HYPERLINK("https://www.youtube.com/watch?v=0wepvltASVk&amp;t=948s", "Go to time")</f>
        <v/>
      </c>
    </row>
    <row r="3070">
      <c r="A3070">
        <f>HYPERLINK("https://www.youtube.com/watch?v=0wepvltASVk", "Video")</f>
        <v/>
      </c>
      <c r="B3070" t="inlineStr">
        <is>
          <t>17:55</t>
        </is>
      </c>
      <c r="C3070" t="inlineStr">
        <is>
          <t>it directly to projection through screen</t>
        </is>
      </c>
      <c r="D3070">
        <f>HYPERLINK("https://www.youtube.com/watch?v=0wepvltASVk&amp;t=1075s", "Go to time")</f>
        <v/>
      </c>
    </row>
    <row r="3071">
      <c r="A3071">
        <f>HYPERLINK("https://www.youtube.com/watch?v=cnxddn9F01s", "Video")</f>
        <v/>
      </c>
      <c r="B3071" t="inlineStr">
        <is>
          <t>1:48</t>
        </is>
      </c>
      <c r="C3071" t="inlineStr">
        <is>
          <t>directed by Wes Anderson who co-wrote it</t>
        </is>
      </c>
      <c r="D3071">
        <f>HYPERLINK("https://www.youtube.com/watch?v=cnxddn9F01s&amp;t=108s", "Go to time")</f>
        <v/>
      </c>
    </row>
    <row r="3072">
      <c r="A3072">
        <f>HYPERLINK("https://www.youtube.com/watch?v=cnxddn9F01s", "Video")</f>
        <v/>
      </c>
      <c r="B3072" t="inlineStr">
        <is>
          <t>6:41</t>
        </is>
      </c>
      <c r="C3072" t="inlineStr">
        <is>
          <t>the film was written and directed by</t>
        </is>
      </c>
      <c r="D3072">
        <f>HYPERLINK("https://www.youtube.com/watch?v=cnxddn9F01s&amp;t=401s", "Go to time")</f>
        <v/>
      </c>
    </row>
    <row r="3073">
      <c r="A3073">
        <f>HYPERLINK("https://www.youtube.com/watch?v=cnxddn9F01s", "Video")</f>
        <v/>
      </c>
      <c r="B3073" t="inlineStr">
        <is>
          <t>6:45</t>
        </is>
      </c>
      <c r="C3073" t="inlineStr">
        <is>
          <t>directing The Last Jedi and revolves</t>
        </is>
      </c>
      <c r="D3073">
        <f>HYPERLINK("https://www.youtube.com/watch?v=cnxddn9F01s&amp;t=405s", "Go to time")</f>
        <v/>
      </c>
    </row>
    <row r="3074">
      <c r="A3074">
        <f>HYPERLINK("https://www.youtube.com/watch?v=cnxddn9F01s", "Video")</f>
        <v/>
      </c>
      <c r="B3074" t="inlineStr">
        <is>
          <t>8:50</t>
        </is>
      </c>
      <c r="C3074" t="inlineStr">
        <is>
          <t>directorial debut of husband wife team</t>
        </is>
      </c>
      <c r="D3074">
        <f>HYPERLINK("https://www.youtube.com/watch?v=cnxddn9F01s&amp;t=530s", "Go to time")</f>
        <v/>
      </c>
    </row>
    <row r="3075">
      <c r="A3075">
        <f>HYPERLINK("https://www.youtube.com/watch?v=cnxddn9F01s", "Video")</f>
        <v/>
      </c>
      <c r="B3075" t="inlineStr">
        <is>
          <t>9:46</t>
        </is>
      </c>
      <c r="C3075" t="inlineStr">
        <is>
          <t>directors who were weary of his comedy</t>
        </is>
      </c>
      <c r="D3075">
        <f>HYPERLINK("https://www.youtube.com/watch?v=cnxddn9F01s&amp;t=586s", "Go to time")</f>
        <v/>
      </c>
    </row>
    <row r="3076">
      <c r="A3076">
        <f>HYPERLINK("https://www.youtube.com/watch?v=cnxddn9F01s", "Video")</f>
        <v/>
      </c>
      <c r="B3076" t="inlineStr">
        <is>
          <t>11:37</t>
        </is>
      </c>
      <c r="C3076" t="inlineStr">
        <is>
          <t>written directed and produced by</t>
        </is>
      </c>
      <c r="D3076">
        <f>HYPERLINK("https://www.youtube.com/watch?v=cnxddn9F01s&amp;t=697s", "Go to time")</f>
        <v/>
      </c>
    </row>
    <row r="3077">
      <c r="A3077">
        <f>HYPERLINK("https://www.youtube.com/watch?v=cnxddn9F01s", "Video")</f>
        <v/>
      </c>
      <c r="B3077" t="inlineStr">
        <is>
          <t>14:07</t>
        </is>
      </c>
      <c r="C3077" t="inlineStr">
        <is>
          <t>directed by Chris Columbus a couple</t>
        </is>
      </c>
      <c r="D3077">
        <f>HYPERLINK("https://www.youtube.com/watch?v=cnxddn9F01s&amp;t=847s", "Go to time")</f>
        <v/>
      </c>
    </row>
    <row r="3078">
      <c r="A3078">
        <f>HYPERLINK("https://www.youtube.com/watch?v=cnxddn9F01s", "Video")</f>
        <v/>
      </c>
      <c r="B3078" t="inlineStr">
        <is>
          <t>14:36</t>
        </is>
      </c>
      <c r="C3078" t="inlineStr">
        <is>
          <t>the actor on Uncle Buck director</t>
        </is>
      </c>
      <c r="D3078">
        <f>HYPERLINK("https://www.youtube.com/watch?v=cnxddn9F01s&amp;t=876s", "Go to time")</f>
        <v/>
      </c>
    </row>
    <row r="3079">
      <c r="A3079">
        <f>HYPERLINK("https://www.youtube.com/watch?v=cnxddn9F01s", "Video")</f>
        <v/>
      </c>
      <c r="B3079" t="inlineStr">
        <is>
          <t>16:34</t>
        </is>
      </c>
      <c r="C3079" t="inlineStr">
        <is>
          <t>Osage County the movie was directed by</t>
        </is>
      </c>
      <c r="D3079">
        <f>HYPERLINK("https://www.youtube.com/watch?v=cnxddn9F01s&amp;t=994s", "Go to time")</f>
        <v/>
      </c>
    </row>
    <row r="3080">
      <c r="A3080">
        <f>HYPERLINK("https://www.youtube.com/watch?v=cnxddn9F01s", "Video")</f>
        <v/>
      </c>
      <c r="B3080" t="inlineStr">
        <is>
          <t>19:39</t>
        </is>
      </c>
      <c r="C3080" t="inlineStr">
        <is>
          <t>written and directed by David O Russell</t>
        </is>
      </c>
      <c r="D3080">
        <f>HYPERLINK("https://www.youtube.com/watch?v=cnxddn9F01s&amp;t=1179s", "Go to time")</f>
        <v/>
      </c>
    </row>
    <row r="3081">
      <c r="A3081">
        <f>HYPERLINK("https://www.youtube.com/watch?v=cnxddn9F01s", "Video")</f>
        <v/>
      </c>
      <c r="B3081" t="inlineStr">
        <is>
          <t>20:59</t>
        </is>
      </c>
      <c r="C3081" t="inlineStr">
        <is>
          <t>directing best adapted screenplay and</t>
        </is>
      </c>
      <c r="D3081">
        <f>HYPERLINK("https://www.youtube.com/watch?v=cnxddn9F01s&amp;t=1259s", "Go to time")</f>
        <v/>
      </c>
    </row>
    <row r="3082">
      <c r="A3082">
        <f>HYPERLINK("https://www.youtube.com/watch?v=cnxddn9F01s", "Video")</f>
        <v/>
      </c>
      <c r="B3082" t="inlineStr">
        <is>
          <t>21:52</t>
        </is>
      </c>
      <c r="C3082" t="inlineStr">
        <is>
          <t>Nebraska the film was directed by</t>
        </is>
      </c>
      <c r="D3082">
        <f>HYPERLINK("https://www.youtube.com/watch?v=cnxddn9F01s&amp;t=1312s", "Go to time")</f>
        <v/>
      </c>
    </row>
    <row r="3083">
      <c r="A3083">
        <f>HYPERLINK("https://www.youtube.com/watch?v=cnxddn9F01s", "Video")</f>
        <v/>
      </c>
      <c r="B3083" t="inlineStr">
        <is>
          <t>23:32</t>
        </is>
      </c>
      <c r="C3083" t="inlineStr">
        <is>
          <t>Director best actor for Dern best</t>
        </is>
      </c>
      <c r="D3083">
        <f>HYPERLINK("https://www.youtube.com/watch?v=cnxddn9F01s&amp;t=1412s", "Go to time")</f>
        <v/>
      </c>
    </row>
    <row r="3084">
      <c r="A3084">
        <f>HYPERLINK("https://www.youtube.com/watch?v=7RwDmwaCFj0", "Video")</f>
        <v/>
      </c>
      <c r="B3084" t="inlineStr">
        <is>
          <t>0:29</t>
        </is>
      </c>
      <c r="C3084" t="inlineStr">
        <is>
          <t>in One Direction</t>
        </is>
      </c>
      <c r="D3084">
        <f>HYPERLINK("https://www.youtube.com/watch?v=7RwDmwaCFj0&amp;t=29s", "Go to time")</f>
        <v/>
      </c>
    </row>
    <row r="3085">
      <c r="A3085">
        <f>HYPERLINK("https://www.youtube.com/watch?v=PI4FADciygc", "Video")</f>
        <v/>
      </c>
      <c r="B3085" t="inlineStr">
        <is>
          <t>4:15</t>
        </is>
      </c>
      <c r="C3085" t="inlineStr">
        <is>
          <t>knowing he's singing which direction we</t>
        </is>
      </c>
      <c r="D3085">
        <f>HYPERLINK("https://www.youtube.com/watch?v=PI4FADciygc&amp;t=255s", "Go to time")</f>
        <v/>
      </c>
    </row>
    <row r="3086">
      <c r="A3086">
        <f>HYPERLINK("https://www.youtube.com/watch?v=x_6ZpxB4xIc", "Video")</f>
        <v/>
      </c>
      <c r="B3086" t="inlineStr">
        <is>
          <t>1:29</t>
        </is>
      </c>
      <c r="C3086" t="inlineStr">
        <is>
          <t>and I'll direct it my name is Harry</t>
        </is>
      </c>
      <c r="D3086">
        <f>HYPERLINK("https://www.youtube.com/watch?v=x_6ZpxB4xIc&amp;t=89s", "Go to time")</f>
        <v/>
      </c>
    </row>
    <row r="3087">
      <c r="A3087">
        <f>HYPERLINK("https://www.youtube.com/watch?v=x_6ZpxB4xIc", "Video")</f>
        <v/>
      </c>
      <c r="B3087" t="inlineStr">
        <is>
          <t>1:37</t>
        </is>
      </c>
      <c r="C3087" t="inlineStr">
        <is>
          <t>did you not once direct Jean Harlow and</t>
        </is>
      </c>
      <c r="D3087">
        <f>HYPERLINK("https://www.youtube.com/watch?v=x_6ZpxB4xIc&amp;t=97s", "Go to time")</f>
        <v/>
      </c>
    </row>
    <row r="3088">
      <c r="A3088">
        <f>HYPERLINK("https://www.youtube.com/watch?v=1ducf3XJJ5c", "Video")</f>
        <v/>
      </c>
      <c r="B3088" t="inlineStr">
        <is>
          <t>4:10</t>
        </is>
      </c>
      <c r="C3088" t="inlineStr">
        <is>
          <t>don't worry darling the directed Olivia</t>
        </is>
      </c>
      <c r="D3088">
        <f>HYPERLINK("https://www.youtube.com/watch?v=1ducf3XJJ5c&amp;t=250s", "Go to time")</f>
        <v/>
      </c>
    </row>
    <row r="3089">
      <c r="A3089">
        <f>HYPERLINK("https://www.youtube.com/watch?v=1ducf3XJJ5c", "Video")</f>
        <v/>
      </c>
      <c r="B3089" t="inlineStr">
        <is>
          <t>12:40</t>
        </is>
      </c>
      <c r="C3089" t="inlineStr">
        <is>
          <t>directed at children and let's face it</t>
        </is>
      </c>
      <c r="D3089">
        <f>HYPERLINK("https://www.youtube.com/watch?v=1ducf3XJJ5c&amp;t=760s", "Go to time")</f>
        <v/>
      </c>
    </row>
    <row r="3090">
      <c r="A3090">
        <f>HYPERLINK("https://www.youtube.com/watch?v=1ducf3XJJ5c", "Video")</f>
        <v/>
      </c>
      <c r="B3090" t="inlineStr">
        <is>
          <t>33:49</t>
        </is>
      </c>
      <c r="C3090" t="inlineStr">
        <is>
          <t>one and that was a direct correlation to</t>
        </is>
      </c>
      <c r="D3090">
        <f>HYPERLINK("https://www.youtube.com/watch?v=1ducf3XJJ5c&amp;t=2029s", "Go to time")</f>
        <v/>
      </c>
    </row>
    <row r="3091">
      <c r="A3091">
        <f>HYPERLINK("https://www.youtube.com/watch?v=8IGOzUN0U4s", "Video")</f>
        <v/>
      </c>
      <c r="B3091" t="inlineStr">
        <is>
          <t>1:29</t>
        </is>
      </c>
      <c r="C3091" t="inlineStr">
        <is>
          <t>I have direct orders from the president</t>
        </is>
      </c>
      <c r="D3091">
        <f>HYPERLINK("https://www.youtube.com/watch?v=8IGOzUN0U4s&amp;t=89s", "Go to time")</f>
        <v/>
      </c>
    </row>
    <row r="3092">
      <c r="A3092">
        <f>HYPERLINK("https://www.youtube.com/watch?v=Y_KDYfjwY3A", "Video")</f>
        <v/>
      </c>
      <c r="B3092" t="inlineStr">
        <is>
          <t>2:22</t>
        </is>
      </c>
      <c r="C3092" t="inlineStr">
        <is>
          <t>construction director</t>
        </is>
      </c>
      <c r="D3092">
        <f>HYPERLINK("https://www.youtube.com/watch?v=Y_KDYfjwY3A&amp;t=142s", "Go to time")</f>
        <v/>
      </c>
    </row>
    <row r="3093">
      <c r="A3093">
        <f>HYPERLINK("https://www.youtube.com/watch?v=9MkCMnSrLeM", "Video")</f>
        <v/>
      </c>
      <c r="B3093" t="inlineStr">
        <is>
          <t>0:27</t>
        </is>
      </c>
      <c r="C3093" t="inlineStr">
        <is>
          <t>see the director you really think he's</t>
        </is>
      </c>
      <c r="D3093">
        <f>HYPERLINK("https://www.youtube.com/watch?v=9MkCMnSrLeM&amp;t=27s", "Go to time")</f>
        <v/>
      </c>
    </row>
    <row r="3094">
      <c r="A3094">
        <f>HYPERLINK("https://www.youtube.com/watch?v=9MkCMnSrLeM", "Video")</f>
        <v/>
      </c>
      <c r="B3094" t="inlineStr">
        <is>
          <t>3:57</t>
        </is>
      </c>
      <c r="C3094" t="inlineStr">
        <is>
          <t>time redirect force field reserves to</t>
        </is>
      </c>
      <c r="D3094">
        <f>HYPERLINK("https://www.youtube.com/watch?v=9MkCMnSrLeM&amp;t=237s", "Go to time")</f>
        <v/>
      </c>
    </row>
    <row r="3095">
      <c r="A3095">
        <f>HYPERLINK("https://www.youtube.com/watch?v=8m5ZkaAUAhA", "Video")</f>
        <v/>
      </c>
      <c r="B3095" t="inlineStr">
        <is>
          <t>1:50</t>
        </is>
      </c>
      <c r="C3095" t="inlineStr">
        <is>
          <t>The Exorcist was directed by William</t>
        </is>
      </c>
      <c r="D3095">
        <f>HYPERLINK("https://www.youtube.com/watch?v=8m5ZkaAUAhA&amp;t=110s", "Go to time")</f>
        <v/>
      </c>
    </row>
    <row r="3096">
      <c r="A3096">
        <f>HYPERLINK("https://www.youtube.com/watch?v=8m5ZkaAUAhA", "Video")</f>
        <v/>
      </c>
      <c r="B3096" t="inlineStr">
        <is>
          <t>4:22</t>
        </is>
      </c>
      <c r="C3096" t="inlineStr">
        <is>
          <t>writer director Toby Hooper marketed The</t>
        </is>
      </c>
      <c r="D3096">
        <f>HYPERLINK("https://www.youtube.com/watch?v=8m5ZkaAUAhA&amp;t=262s", "Go to time")</f>
        <v/>
      </c>
    </row>
    <row r="3097">
      <c r="A3097">
        <f>HYPERLINK("https://www.youtube.com/watch?v=8m5ZkaAUAhA", "Video")</f>
        <v/>
      </c>
      <c r="B3097" t="inlineStr">
        <is>
          <t>8:44</t>
        </is>
      </c>
      <c r="C3097" t="inlineStr">
        <is>
          <t>The Amityville Horror was directed by</t>
        </is>
      </c>
      <c r="D3097">
        <f>HYPERLINK("https://www.youtube.com/watch?v=8m5ZkaAUAhA&amp;t=524s", "Go to time")</f>
        <v/>
      </c>
    </row>
    <row r="3098">
      <c r="A3098">
        <f>HYPERLINK("https://www.youtube.com/watch?v=8m5ZkaAUAhA", "Video")</f>
        <v/>
      </c>
      <c r="B3098" t="inlineStr">
        <is>
          <t>14:46</t>
        </is>
      </c>
      <c r="C3098" t="inlineStr">
        <is>
          <t>you're wondering how director Chris</t>
        </is>
      </c>
      <c r="D3098">
        <f>HYPERLINK("https://www.youtube.com/watch?v=8m5ZkaAUAhA&amp;t=886s", "Go to time")</f>
        <v/>
      </c>
    </row>
    <row r="3099">
      <c r="A3099">
        <f>HYPERLINK("https://www.youtube.com/watch?v=8m5ZkaAUAhA", "Video")</f>
        <v/>
      </c>
      <c r="B3099" t="inlineStr">
        <is>
          <t>15:19</t>
        </is>
      </c>
      <c r="C3099" t="inlineStr">
        <is>
          <t>possessed homes Poltergeist was directed</t>
        </is>
      </c>
      <c r="D3099">
        <f>HYPERLINK("https://www.youtube.com/watch?v=8m5ZkaAUAhA&amp;t=919s", "Go to time")</f>
        <v/>
      </c>
    </row>
    <row r="3100">
      <c r="A3100">
        <f>HYPERLINK("https://www.youtube.com/watch?v=8m5ZkaAUAhA", "Video")</f>
        <v/>
      </c>
      <c r="B3100" t="inlineStr">
        <is>
          <t>19:38</t>
        </is>
      </c>
      <c r="C3100" t="inlineStr">
        <is>
          <t>wolfbrick was directed and written by</t>
        </is>
      </c>
      <c r="D3100">
        <f>HYPERLINK("https://www.youtube.com/watch?v=8m5ZkaAUAhA&amp;t=1178s", "Go to time")</f>
        <v/>
      </c>
    </row>
    <row r="3101">
      <c r="A3101">
        <f>HYPERLINK("https://www.youtube.com/watch?v=8m5ZkaAUAhA", "Video")</f>
        <v/>
      </c>
      <c r="B3101" t="inlineStr">
        <is>
          <t>21:33</t>
        </is>
      </c>
      <c r="C3101" t="inlineStr">
        <is>
          <t>Silence of the Lambs directed by</t>
        </is>
      </c>
      <c r="D3101">
        <f>HYPERLINK("https://www.youtube.com/watch?v=8m5ZkaAUAhA&amp;t=1293s", "Go to time")</f>
        <v/>
      </c>
    </row>
    <row r="3102">
      <c r="A3102">
        <f>HYPERLINK("https://www.youtube.com/watch?v=ETCsvxqCXD0", "Video")</f>
        <v/>
      </c>
      <c r="B3102" t="inlineStr">
        <is>
          <t>0:46</t>
        </is>
      </c>
      <c r="C3102" t="inlineStr">
        <is>
          <t>alright she directly right in my face</t>
        </is>
      </c>
      <c r="D3102">
        <f>HYPERLINK("https://www.youtube.com/watch?v=ETCsvxqCXD0&amp;t=46s", "Go to time")</f>
        <v/>
      </c>
    </row>
    <row r="3103">
      <c r="A3103">
        <f>HYPERLINK("https://www.youtube.com/watch?v=ZvoGMFCXQE8", "Video")</f>
        <v/>
      </c>
      <c r="B3103" t="inlineStr">
        <is>
          <t>0:40</t>
        </is>
      </c>
      <c r="C3103" t="inlineStr">
        <is>
          <t>it was once again directed by Peter</t>
        </is>
      </c>
      <c r="D3103">
        <f>HYPERLINK("https://www.youtube.com/watch?v=ZvoGMFCXQE8&amp;t=40s", "Go to time")</f>
        <v/>
      </c>
    </row>
    <row r="3104">
      <c r="A3104">
        <f>HYPERLINK("https://www.youtube.com/watch?v=ZvoGMFCXQE8", "Video")</f>
        <v/>
      </c>
      <c r="B3104" t="inlineStr">
        <is>
          <t>2:03</t>
        </is>
      </c>
      <c r="C3104" t="inlineStr">
        <is>
          <t>and directed by the Daniels Quan and</t>
        </is>
      </c>
      <c r="D3104">
        <f>HYPERLINK("https://www.youtube.com/watch?v=ZvoGMFCXQE8&amp;t=123s", "Go to time")</f>
        <v/>
      </c>
    </row>
    <row r="3105">
      <c r="A3105">
        <f>HYPERLINK("https://www.youtube.com/watch?v=ZvoGMFCXQE8", "Video")</f>
        <v/>
      </c>
      <c r="B3105" t="inlineStr">
        <is>
          <t>3:40</t>
        </is>
      </c>
      <c r="C3105" t="inlineStr">
        <is>
          <t>director bong junho is about a poor</t>
        </is>
      </c>
      <c r="D3105">
        <f>HYPERLINK("https://www.youtube.com/watch?v=ZvoGMFCXQE8&amp;t=220s", "Go to time")</f>
        <v/>
      </c>
    </row>
    <row r="3106">
      <c r="A3106">
        <f>HYPERLINK("https://www.youtube.com/watch?v=ZvoGMFCXQE8", "Video")</f>
        <v/>
      </c>
      <c r="B3106" t="inlineStr">
        <is>
          <t>4:44</t>
        </is>
      </c>
      <c r="C3106" t="inlineStr">
        <is>
          <t>picture best director and best original</t>
        </is>
      </c>
      <c r="D3106">
        <f>HYPERLINK("https://www.youtube.com/watch?v=ZvoGMFCXQE8&amp;t=284s", "Go to time")</f>
        <v/>
      </c>
    </row>
    <row r="3107">
      <c r="A3107">
        <f>HYPERLINK("https://www.youtube.com/watch?v=ZvoGMFCXQE8", "Video")</f>
        <v/>
      </c>
      <c r="B3107" t="inlineStr">
        <is>
          <t>7:18</t>
        </is>
      </c>
      <c r="C3107" t="inlineStr">
        <is>
          <t>soup The Matrix was written and directed</t>
        </is>
      </c>
      <c r="D3107">
        <f>HYPERLINK("https://www.youtube.com/watch?v=ZvoGMFCXQE8&amp;t=438s", "Go to time")</f>
        <v/>
      </c>
    </row>
    <row r="3108">
      <c r="A3108">
        <f>HYPERLINK("https://www.youtube.com/watch?v=ZvoGMFCXQE8", "Video")</f>
        <v/>
      </c>
      <c r="B3108" t="inlineStr">
        <is>
          <t>7:22</t>
        </is>
      </c>
      <c r="C3108" t="inlineStr">
        <is>
          <t>wrote and directed the 2003 sequels The</t>
        </is>
      </c>
      <c r="D3108">
        <f>HYPERLINK("https://www.youtube.com/watch?v=ZvoGMFCXQE8&amp;t=442s", "Go to time")</f>
        <v/>
      </c>
    </row>
    <row r="3109">
      <c r="A3109">
        <f>HYPERLINK("https://www.youtube.com/watch?v=ZvoGMFCXQE8", "Video")</f>
        <v/>
      </c>
      <c r="B3109" t="inlineStr">
        <is>
          <t>8:11</t>
        </is>
      </c>
      <c r="C3109" t="inlineStr">
        <is>
          <t>wow and a direct sequel to 2018s</t>
        </is>
      </c>
      <c r="D3109">
        <f>HYPERLINK("https://www.youtube.com/watch?v=ZvoGMFCXQE8&amp;t=491s", "Go to time")</f>
        <v/>
      </c>
    </row>
    <row r="3110">
      <c r="A3110">
        <f>HYPERLINK("https://www.youtube.com/watch?v=ZvoGMFCXQE8", "Video")</f>
        <v/>
      </c>
      <c r="B3110" t="inlineStr">
        <is>
          <t>10:34</t>
        </is>
      </c>
      <c r="C3110" t="inlineStr">
        <is>
          <t>you get very excited director</t>
        </is>
      </c>
      <c r="D3110">
        <f>HYPERLINK("https://www.youtube.com/watch?v=ZvoGMFCXQE8&amp;t=634s", "Go to time")</f>
        <v/>
      </c>
    </row>
    <row r="3111">
      <c r="A3111">
        <f>HYPERLINK("https://www.youtube.com/watch?v=ZvoGMFCXQE8", "Video")</f>
        <v/>
      </c>
      <c r="B3111" t="inlineStr">
        <is>
          <t>12:46</t>
        </is>
      </c>
      <c r="C3111" t="inlineStr">
        <is>
          <t>director by the name of Steven Spielberg</t>
        </is>
      </c>
      <c r="D3111">
        <f>HYPERLINK("https://www.youtube.com/watch?v=ZvoGMFCXQE8&amp;t=766s", "Go to time")</f>
        <v/>
      </c>
    </row>
    <row r="3112">
      <c r="A3112">
        <f>HYPERLINK("https://www.youtube.com/watch?v=ZvoGMFCXQE8", "Video")</f>
        <v/>
      </c>
      <c r="B3112" t="inlineStr">
        <is>
          <t>12:56</t>
        </is>
      </c>
      <c r="C3112" t="inlineStr">
        <is>
          <t>Christopher Nolan to direct the film and</t>
        </is>
      </c>
      <c r="D3112">
        <f>HYPERLINK("https://www.youtube.com/watch?v=ZvoGMFCXQE8&amp;t=776s", "Go to time")</f>
        <v/>
      </c>
    </row>
    <row r="3113">
      <c r="A3113">
        <f>HYPERLINK("https://www.youtube.com/watch?v=ZvoGMFCXQE8", "Video")</f>
        <v/>
      </c>
      <c r="B3113" t="inlineStr">
        <is>
          <t>13:21</t>
        </is>
      </c>
      <c r="C3113" t="inlineStr">
        <is>
          <t>actually voted Nolan best director of</t>
        </is>
      </c>
      <c r="D3113">
        <f>HYPERLINK("https://www.youtube.com/watch?v=ZvoGMFCXQE8&amp;t=801s", "Go to time")</f>
        <v/>
      </c>
    </row>
    <row r="3114">
      <c r="A3114">
        <f>HYPERLINK("https://www.youtube.com/watch?v=DXHPw_SPG3w", "Video")</f>
        <v/>
      </c>
      <c r="B3114" t="inlineStr">
        <is>
          <t>3:13</t>
        </is>
      </c>
      <c r="C3114" t="inlineStr">
        <is>
          <t>direction</t>
        </is>
      </c>
      <c r="D3114">
        <f>HYPERLINK("https://www.youtube.com/watch?v=DXHPw_SPG3w&amp;t=193s", "Go to time")</f>
        <v/>
      </c>
    </row>
    <row r="3115">
      <c r="A3115">
        <f>HYPERLINK("https://www.youtube.com/watch?v=HAp6WEnwOs0", "Video")</f>
        <v/>
      </c>
      <c r="B3115" t="inlineStr">
        <is>
          <t>3:16</t>
        </is>
      </c>
      <c r="C3115" t="inlineStr">
        <is>
          <t>as much as redirecting where money is</t>
        </is>
      </c>
      <c r="D3115">
        <f>HYPERLINK("https://www.youtube.com/watch?v=HAp6WEnwOs0&amp;t=196s", "Go to time")</f>
        <v/>
      </c>
    </row>
    <row r="3116">
      <c r="A3116">
        <f>HYPERLINK("https://www.youtube.com/watch?v=v1KPmRTndCk", "Video")</f>
        <v/>
      </c>
      <c r="B3116" t="inlineStr">
        <is>
          <t>3:09</t>
        </is>
      </c>
      <c r="C3116" t="inlineStr">
        <is>
          <t>tried to talk her into a direct deposit, you
know, straight from the tap.</t>
        </is>
      </c>
      <c r="D3116">
        <f>HYPERLINK("https://www.youtube.com/watch?v=v1KPmRTndCk&amp;t=189s", "Go to time")</f>
        <v/>
      </c>
    </row>
    <row r="3117">
      <c r="A3117">
        <f>HYPERLINK("https://www.youtube.com/watch?v=d_rDUDH8mAs", "Video")</f>
        <v/>
      </c>
      <c r="B3117" t="inlineStr">
        <is>
          <t>0:53</t>
        </is>
      </c>
      <c r="C3117" t="inlineStr">
        <is>
          <t>writer and director
Ben Chanan.</t>
        </is>
      </c>
      <c r="D3117">
        <f>HYPERLINK("https://www.youtube.com/watch?v=d_rDUDH8mAs&amp;t=53s", "Go to time")</f>
        <v/>
      </c>
    </row>
    <row r="3118">
      <c r="A3118">
        <f>HYPERLINK("https://www.youtube.com/watch?v=d_rDUDH8mAs", "Video")</f>
        <v/>
      </c>
      <c r="B3118" t="inlineStr">
        <is>
          <t>5:21</t>
        </is>
      </c>
      <c r="C3118" t="inlineStr">
        <is>
          <t>to have a writer director
do the whole thing</t>
        </is>
      </c>
      <c r="D3118">
        <f>HYPERLINK("https://www.youtube.com/watch?v=d_rDUDH8mAs&amp;t=321s", "Go to time")</f>
        <v/>
      </c>
    </row>
    <row r="3119">
      <c r="A3119">
        <f>HYPERLINK("https://www.youtube.com/watch?v=d_rDUDH8mAs", "Video")</f>
        <v/>
      </c>
      <c r="B3119" t="inlineStr">
        <is>
          <t>5:28</t>
        </is>
      </c>
      <c r="C3119" t="inlineStr">
        <is>
          <t>directed them all
and he just, he's a</t>
        </is>
      </c>
      <c r="D3119">
        <f>HYPERLINK("https://www.youtube.com/watch?v=d_rDUDH8mAs&amp;t=328s", "Go to time")</f>
        <v/>
      </c>
    </row>
    <row r="3120">
      <c r="A3120">
        <f>HYPERLINK("https://www.youtube.com/watch?v=wTH9sf-Di7E", "Video")</f>
        <v/>
      </c>
      <c r="B3120" t="inlineStr">
        <is>
          <t>67:28</t>
        </is>
      </c>
      <c r="C3120" t="inlineStr">
        <is>
          <t>direction and getting himself</t>
        </is>
      </c>
      <c r="D3120">
        <f>HYPERLINK("https://www.youtube.com/watch?v=wTH9sf-Di7E&amp;t=4048s", "Go to time")</f>
        <v/>
      </c>
    </row>
    <row r="3121">
      <c r="A3121">
        <f>HYPERLINK("https://www.youtube.com/watch?v=eGkAmIJiVEY", "Video")</f>
        <v/>
      </c>
      <c r="B3121" t="inlineStr">
        <is>
          <t>2:20</t>
        </is>
      </c>
      <c r="C3121" t="inlineStr">
        <is>
          <t>level with this direct reference to the</t>
        </is>
      </c>
      <c r="D3121">
        <f>HYPERLINK("https://www.youtube.com/watch?v=eGkAmIJiVEY&amp;t=140s", "Go to time")</f>
        <v/>
      </c>
    </row>
    <row r="3122">
      <c r="A3122">
        <f>HYPERLINK("https://www.youtube.com/watch?v=eGkAmIJiVEY", "Video")</f>
        <v/>
      </c>
      <c r="B3122" t="inlineStr">
        <is>
          <t>4:41</t>
        </is>
      </c>
      <c r="C3122" t="inlineStr">
        <is>
          <t>are all of the signs were directly</t>
        </is>
      </c>
      <c r="D3122">
        <f>HYPERLINK("https://www.youtube.com/watch?v=eGkAmIJiVEY&amp;t=281s", "Go to time")</f>
        <v/>
      </c>
    </row>
    <row r="3123">
      <c r="A3123">
        <f>HYPERLINK("https://www.youtube.com/watch?v=1olLY4r3l70", "Video")</f>
        <v/>
      </c>
      <c r="B3123" t="inlineStr">
        <is>
          <t>1:34</t>
        </is>
      </c>
      <c r="C3123" t="inlineStr">
        <is>
          <t>thrilled to be working directly beneath</t>
        </is>
      </c>
      <c r="D3123">
        <f>HYPERLINK("https://www.youtube.com/watch?v=1olLY4r3l70&amp;t=94s", "Go to time")</f>
        <v/>
      </c>
    </row>
    <row r="3124">
      <c r="A3124">
        <f>HYPERLINK("https://www.youtube.com/watch?v=hswSCF1toMY", "Video")</f>
        <v/>
      </c>
      <c r="B3124" t="inlineStr">
        <is>
          <t>13:40</t>
        </is>
      </c>
      <c r="C3124" t="inlineStr">
        <is>
          <t>It's going in a different direction than the</t>
        </is>
      </c>
      <c r="D3124">
        <f>HYPERLINK("https://www.youtube.com/watch?v=hswSCF1toMY&amp;t=820s", "Go to time")</f>
        <v/>
      </c>
    </row>
    <row r="3125">
      <c r="A3125">
        <f>HYPERLINK("https://www.youtube.com/watch?v=ByoMpwThMow", "Video")</f>
        <v/>
      </c>
      <c r="B3125" t="inlineStr">
        <is>
          <t>0:25</t>
        </is>
      </c>
      <c r="C3125" t="inlineStr">
        <is>
          <t>the writer, the executive producer
 and the director, Stephen Dunn.</t>
        </is>
      </c>
      <c r="D3125">
        <f>HYPERLINK("https://www.youtube.com/watch?v=ByoMpwThMow&amp;t=25s", "Go to time")</f>
        <v/>
      </c>
    </row>
    <row r="3126">
      <c r="A3126">
        <f>HYPERLINK("https://www.youtube.com/watch?v=ByoMpwThMow", "Video")</f>
        <v/>
      </c>
      <c r="B3126" t="inlineStr">
        <is>
          <t>4:33</t>
        </is>
      </c>
      <c r="C3126" t="inlineStr">
        <is>
          <t>and the direction</t>
        </is>
      </c>
      <c r="D3126">
        <f>HYPERLINK("https://www.youtube.com/watch?v=ByoMpwThMow&amp;t=273s", "Go to time")</f>
        <v/>
      </c>
    </row>
    <row r="3127">
      <c r="A3127">
        <f>HYPERLINK("https://www.youtube.com/watch?v=1kdu2JQaqdM", "Video")</f>
        <v/>
      </c>
      <c r="B3127" t="inlineStr">
        <is>
          <t>1:44</t>
        </is>
      </c>
      <c r="C3127" t="inlineStr">
        <is>
          <t>giving you a new direction</t>
        </is>
      </c>
      <c r="D3127">
        <f>HYPERLINK("https://www.youtube.com/watch?v=1kdu2JQaqdM&amp;t=104s", "Go to time")</f>
        <v/>
      </c>
    </row>
    <row r="3128">
      <c r="A3128">
        <f>HYPERLINK("https://www.youtube.com/watch?v=PVU4G-4eRnY", "Video")</f>
        <v/>
      </c>
      <c r="B3128" t="inlineStr">
        <is>
          <t>2:46</t>
        </is>
      </c>
      <c r="C3128" t="inlineStr">
        <is>
          <t>April Ludgate, youth outreach and director of new media.</t>
        </is>
      </c>
      <c r="D3128">
        <f>HYPERLINK("https://www.youtube.com/watch?v=PVU4G-4eRnY&amp;t=166s", "Go to time")</f>
        <v/>
      </c>
    </row>
    <row r="3129">
      <c r="A3129">
        <f>HYPERLINK("https://www.youtube.com/watch?v=NpIAKmvr2dg", "Video")</f>
        <v/>
      </c>
      <c r="B3129" t="inlineStr">
        <is>
          <t>4:36</t>
        </is>
      </c>
      <c r="C3129" t="inlineStr">
        <is>
          <t>our director</t>
        </is>
      </c>
      <c r="D3129">
        <f>HYPERLINK("https://www.youtube.com/watch?v=NpIAKmvr2dg&amp;t=276s", "Go to time")</f>
        <v/>
      </c>
    </row>
    <row r="3130">
      <c r="A3130">
        <f>HYPERLINK("https://www.youtube.com/watch?v=2tBT7S5KvIM", "Video")</f>
        <v/>
      </c>
      <c r="B3130" t="inlineStr">
        <is>
          <t>0:27</t>
        </is>
      </c>
      <c r="C3130" t="inlineStr">
        <is>
          <t>and your directorial debut and by the</t>
        </is>
      </c>
      <c r="D3130">
        <f>HYPERLINK("https://www.youtube.com/watch?v=2tBT7S5KvIM&amp;t=27s", "Go to time")</f>
        <v/>
      </c>
    </row>
    <row r="3131">
      <c r="A3131">
        <f>HYPERLINK("https://www.youtube.com/watch?v=2tBT7S5KvIM", "Video")</f>
        <v/>
      </c>
      <c r="B3131" t="inlineStr">
        <is>
          <t>4:39</t>
        </is>
      </c>
      <c r="C3131" t="inlineStr">
        <is>
          <t>i'm in in showbiz that she can direct</t>
        </is>
      </c>
      <c r="D3131">
        <f>HYPERLINK("https://www.youtube.com/watch?v=2tBT7S5KvIM&amp;t=279s", "Go to time")</f>
        <v/>
      </c>
    </row>
    <row r="3132">
      <c r="A3132">
        <f>HYPERLINK("https://www.youtube.com/watch?v=43Ysa1yTywE", "Video")</f>
        <v/>
      </c>
      <c r="B3132" t="inlineStr">
        <is>
          <t>2:10</t>
        </is>
      </c>
      <c r="C3132" t="inlineStr">
        <is>
          <t>second unit I love directing the blood</t>
        </is>
      </c>
      <c r="D3132">
        <f>HYPERLINK("https://www.youtube.com/watch?v=43Ysa1yTywE&amp;t=130s", "Go to time")</f>
        <v/>
      </c>
    </row>
    <row r="3133">
      <c r="A3133">
        <f>HYPERLINK("https://www.youtube.com/watch?v=43Ysa1yTywE", "Video")</f>
        <v/>
      </c>
      <c r="B3133" t="inlineStr">
        <is>
          <t>2:16</t>
        </is>
      </c>
      <c r="C3133" t="inlineStr">
        <is>
          <t>direct and trying to Jin up the uh</t>
        </is>
      </c>
      <c r="D3133">
        <f>HYPERLINK("https://www.youtube.com/watch?v=43Ysa1yTywE&amp;t=136s", "Go to time")</f>
        <v/>
      </c>
    </row>
    <row r="3134">
      <c r="A3134">
        <f>HYPERLINK("https://www.youtube.com/watch?v=43Ysa1yTywE", "Video")</f>
        <v/>
      </c>
      <c r="B3134" t="inlineStr">
        <is>
          <t>4:53</t>
        </is>
      </c>
      <c r="C3134" t="inlineStr">
        <is>
          <t>remote directing I'd never done this it</t>
        </is>
      </c>
      <c r="D3134">
        <f>HYPERLINK("https://www.youtube.com/watch?v=43Ysa1yTywE&amp;t=293s", "Go to time")</f>
        <v/>
      </c>
    </row>
    <row r="3135">
      <c r="A3135">
        <f>HYPERLINK("https://www.youtube.com/watch?v=43Ysa1yTywE", "Video")</f>
        <v/>
      </c>
      <c r="B3135" t="inlineStr">
        <is>
          <t>5:07</t>
        </is>
      </c>
      <c r="C3135" t="inlineStr">
        <is>
          <t>directing away I loved working with my</t>
        </is>
      </c>
      <c r="D3135">
        <f>HYPERLINK("https://www.youtube.com/watch?v=43Ysa1yTywE&amp;t=307s", "Go to time")</f>
        <v/>
      </c>
    </row>
    <row r="3136">
      <c r="A3136">
        <f>HYPERLINK("https://www.youtube.com/watch?v=43Ysa1yTywE", "Video")</f>
        <v/>
      </c>
      <c r="B3136" t="inlineStr">
        <is>
          <t>5:16</t>
        </is>
      </c>
      <c r="C3136" t="inlineStr">
        <is>
          <t>great cameraman great assistant director</t>
        </is>
      </c>
      <c r="D3136">
        <f>HYPERLINK("https://www.youtube.com/watch?v=43Ysa1yTywE&amp;t=316s", "Go to time")</f>
        <v/>
      </c>
    </row>
    <row r="3137">
      <c r="A3137">
        <f>HYPERLINK("https://www.youtube.com/watch?v=vczvenJI8ug", "Video")</f>
        <v/>
      </c>
      <c r="B3137" t="inlineStr">
        <is>
          <t>1:51</t>
        </is>
      </c>
      <c r="C3137" t="inlineStr">
        <is>
          <t>just have to direct it at people like</t>
        </is>
      </c>
      <c r="D3137">
        <f>HYPERLINK("https://www.youtube.com/watch?v=vczvenJI8ug&amp;t=111s", "Go to time")</f>
        <v/>
      </c>
    </row>
    <row r="3138">
      <c r="A3138">
        <f>HYPERLINK("https://www.youtube.com/watch?v=6xonRI8jlBc", "Video")</f>
        <v/>
      </c>
      <c r="B3138" t="inlineStr">
        <is>
          <t>4:14</t>
        </is>
      </c>
      <c r="C3138" t="inlineStr">
        <is>
          <t>going to go directly to the mayor and</t>
        </is>
      </c>
      <c r="D3138">
        <f>HYPERLINK("https://www.youtube.com/watch?v=6xonRI8jlBc&amp;t=254s", "Go to time")</f>
        <v/>
      </c>
    </row>
    <row r="3139">
      <c r="A3139">
        <f>HYPERLINK("https://www.youtube.com/watch?v=wH7fRFhABQI", "Video")</f>
        <v/>
      </c>
      <c r="B3139" t="inlineStr">
        <is>
          <t>4:12</t>
        </is>
      </c>
      <c r="C3139" t="inlineStr">
        <is>
          <t>problem directly this teacher's pet</t>
        </is>
      </c>
      <c r="D3139">
        <f>HYPERLINK("https://www.youtube.com/watch?v=wH7fRFhABQI&amp;t=252s", "Go to time")</f>
        <v/>
      </c>
    </row>
    <row r="3140">
      <c r="A3140">
        <f>HYPERLINK("https://www.youtube.com/watch?v=KRZufNqWfeM", "Video")</f>
        <v/>
      </c>
      <c r="B3140" t="inlineStr">
        <is>
          <t>3:10</t>
        </is>
      </c>
      <c r="C3140" t="inlineStr">
        <is>
          <t>directly</t>
        </is>
      </c>
      <c r="D3140">
        <f>HYPERLINK("https://www.youtube.com/watch?v=KRZufNqWfeM&amp;t=190s", "Go to time")</f>
        <v/>
      </c>
    </row>
    <row r="3141">
      <c r="A3141">
        <f>HYPERLINK("https://www.youtube.com/watch?v=xYvpupMZZ9g", "Video")</f>
        <v/>
      </c>
      <c r="B3141" t="inlineStr">
        <is>
          <t>1:07</t>
        </is>
      </c>
      <c r="C3141" t="inlineStr">
        <is>
          <t>swim in could you kindly direct me to</t>
        </is>
      </c>
      <c r="D3141">
        <f>HYPERLINK("https://www.youtube.com/watch?v=xYvpupMZZ9g&amp;t=67s", "Go to time")</f>
        <v/>
      </c>
    </row>
    <row r="3142">
      <c r="A3142">
        <f>HYPERLINK("https://www.youtube.com/watch?v=wT_OUfcg7AI", "Video")</f>
        <v/>
      </c>
      <c r="B3142" t="inlineStr">
        <is>
          <t>1:58</t>
        </is>
      </c>
      <c r="C3142" t="inlineStr">
        <is>
          <t>directions that</t>
        </is>
      </c>
      <c r="D3142">
        <f>HYPERLINK("https://www.youtube.com/watch?v=wT_OUfcg7AI&amp;t=118s", "Go to time")</f>
        <v/>
      </c>
    </row>
    <row r="3143">
      <c r="A3143">
        <f>HYPERLINK("https://www.youtube.com/watch?v=vxtvWovNKKE", "Video")</f>
        <v/>
      </c>
      <c r="B3143" t="inlineStr">
        <is>
          <t>0:14</t>
        </is>
      </c>
      <c r="C3143" t="inlineStr">
        <is>
          <t>done in the summer anyway just be direct</t>
        </is>
      </c>
      <c r="D3143">
        <f>HYPERLINK("https://www.youtube.com/watch?v=vxtvWovNKKE&amp;t=14s", "Go to time")</f>
        <v/>
      </c>
    </row>
    <row r="3144">
      <c r="A3144">
        <f>HYPERLINK("https://www.youtube.com/watch?v=NiidUuPZxpA", "Video")</f>
        <v/>
      </c>
      <c r="B3144" t="inlineStr">
        <is>
          <t>12:59</t>
        </is>
      </c>
      <c r="C3144" t="inlineStr">
        <is>
          <t>director's like we got it and you're</t>
        </is>
      </c>
      <c r="D3144">
        <f>HYPERLINK("https://www.youtube.com/watch?v=NiidUuPZxpA&amp;t=779s", "Go to time")</f>
        <v/>
      </c>
    </row>
    <row r="3145">
      <c r="A3145">
        <f>HYPERLINK("https://www.youtube.com/watch?v=EKnilMm-Gwc", "Video")</f>
        <v/>
      </c>
      <c r="B3145" t="inlineStr">
        <is>
          <t>36:49</t>
        </is>
      </c>
      <c r="C3145" t="inlineStr">
        <is>
          <t>like director of photography starting</t>
        </is>
      </c>
      <c r="D3145">
        <f>HYPERLINK("https://www.youtube.com/watch?v=EKnilMm-Gwc&amp;t=2209s", "Go to time")</f>
        <v/>
      </c>
    </row>
    <row r="3146">
      <c r="A3146">
        <f>HYPERLINK("https://www.youtube.com/watch?v=EKnilMm-Gwc", "Video")</f>
        <v/>
      </c>
      <c r="B3146" t="inlineStr">
        <is>
          <t>42:04</t>
        </is>
      </c>
      <c r="C3146" t="inlineStr">
        <is>
          <t>writer director comedian</t>
        </is>
      </c>
      <c r="D3146">
        <f>HYPERLINK("https://www.youtube.com/watch?v=EKnilMm-Gwc&amp;t=2524s", "Go to time")</f>
        <v/>
      </c>
    </row>
    <row r="3147">
      <c r="A3147">
        <f>HYPERLINK("https://www.youtube.com/watch?v=Pn9mLBMbh0Y", "Video")</f>
        <v/>
      </c>
      <c r="B3147" t="inlineStr">
        <is>
          <t>0:26</t>
        </is>
      </c>
      <c r="C3147" t="inlineStr">
        <is>
          <t>in a wild new direction back then</t>
        </is>
      </c>
      <c r="D3147">
        <f>HYPERLINK("https://www.youtube.com/watch?v=Pn9mLBMbh0Y&amp;t=26s", "Go to time")</f>
        <v/>
      </c>
    </row>
    <row r="3148">
      <c r="A3148">
        <f>HYPERLINK("https://www.youtube.com/watch?v=-7VKMox_3ic", "Video")</f>
        <v/>
      </c>
      <c r="B3148" t="inlineStr">
        <is>
          <t>4:16</t>
        </is>
      </c>
      <c r="C3148" t="inlineStr">
        <is>
          <t>talk just talk to us directly</t>
        </is>
      </c>
      <c r="D3148">
        <f>HYPERLINK("https://www.youtube.com/watch?v=-7VKMox_3ic&amp;t=256s", "Go to time")</f>
        <v/>
      </c>
    </row>
    <row r="3149">
      <c r="A3149">
        <f>HYPERLINK("https://www.youtube.com/watch?v=-7VKMox_3ic", "Video")</f>
        <v/>
      </c>
      <c r="B3149" t="inlineStr">
        <is>
          <t>4:19</t>
        </is>
      </c>
      <c r="C3149" t="inlineStr">
        <is>
          <t>avoidance of of that type of direct</t>
        </is>
      </c>
      <c r="D3149">
        <f>HYPERLINK("https://www.youtube.com/watch?v=-7VKMox_3ic&amp;t=259s", "Go to time")</f>
        <v/>
      </c>
    </row>
    <row r="3150">
      <c r="A3150">
        <f>HYPERLINK("https://www.youtube.com/watch?v=MTXcqUQDVBE", "Video")</f>
        <v/>
      </c>
      <c r="B3150" t="inlineStr">
        <is>
          <t>3:55</t>
        </is>
      </c>
      <c r="C3150" t="inlineStr">
        <is>
          <t>episode to direct so</t>
        </is>
      </c>
      <c r="D3150">
        <f>HYPERLINK("https://www.youtube.com/watch?v=MTXcqUQDVBE&amp;t=235s", "Go to time")</f>
        <v/>
      </c>
    </row>
    <row r="3151">
      <c r="A3151">
        <f>HYPERLINK("https://www.youtube.com/watch?v=MTXcqUQDVBE", "Video")</f>
        <v/>
      </c>
      <c r="B3151" t="inlineStr">
        <is>
          <t>10:06</t>
        </is>
      </c>
      <c r="C3151" t="inlineStr">
        <is>
          <t>the director you know</t>
        </is>
      </c>
      <c r="D3151">
        <f>HYPERLINK("https://www.youtube.com/watch?v=MTXcqUQDVBE&amp;t=606s", "Go to time")</f>
        <v/>
      </c>
    </row>
    <row r="3152">
      <c r="A3152">
        <f>HYPERLINK("https://www.youtube.com/watch?v=MTXcqUQDVBE", "Video")</f>
        <v/>
      </c>
      <c r="B3152" t="inlineStr">
        <is>
          <t>10:07</t>
        </is>
      </c>
      <c r="C3152" t="inlineStr">
        <is>
          <t>rodeo was a phenomenal director i really</t>
        </is>
      </c>
      <c r="D3152">
        <f>HYPERLINK("https://www.youtube.com/watch?v=MTXcqUQDVBE&amp;t=607s", "Go to time")</f>
        <v/>
      </c>
    </row>
    <row r="3153">
      <c r="A3153">
        <f>HYPERLINK("https://www.youtube.com/watch?v=MTXcqUQDVBE", "Video")</f>
        <v/>
      </c>
      <c r="B3153" t="inlineStr">
        <is>
          <t>10:13</t>
        </is>
      </c>
      <c r="C3153" t="inlineStr">
        <is>
          <t>directors and they just overindulge it's</t>
        </is>
      </c>
      <c r="D3153">
        <f>HYPERLINK("https://www.youtube.com/watch?v=MTXcqUQDVBE&amp;t=613s", "Go to time")</f>
        <v/>
      </c>
    </row>
    <row r="3154">
      <c r="A3154">
        <f>HYPERLINK("https://www.youtube.com/watch?v=MTXcqUQDVBE", "Video")</f>
        <v/>
      </c>
      <c r="B3154" t="inlineStr">
        <is>
          <t>10:26</t>
        </is>
      </c>
      <c r="C3154" t="inlineStr">
        <is>
          <t>one of my favorite directors on the</t>
        </is>
      </c>
      <c r="D3154">
        <f>HYPERLINK("https://www.youtube.com/watch?v=MTXcqUQDVBE&amp;t=626s", "Go to time")</f>
        <v/>
      </c>
    </row>
    <row r="3155">
      <c r="A3155">
        <f>HYPERLINK("https://www.youtube.com/watch?v=MTXcqUQDVBE", "Video")</f>
        <v/>
      </c>
      <c r="B3155" t="inlineStr">
        <is>
          <t>10:30</t>
        </is>
      </c>
      <c r="C3155" t="inlineStr">
        <is>
          <t>as the director was bliss it always is</t>
        </is>
      </c>
      <c r="D3155">
        <f>HYPERLINK("https://www.youtube.com/watch?v=MTXcqUQDVBE&amp;t=630s", "Go to time")</f>
        <v/>
      </c>
    </row>
    <row r="3156">
      <c r="A3156">
        <f>HYPERLINK("https://www.youtube.com/watch?v=MTXcqUQDVBE", "Video")</f>
        <v/>
      </c>
      <c r="B3156" t="inlineStr">
        <is>
          <t>10:36</t>
        </is>
      </c>
      <c r="C3156" t="inlineStr">
        <is>
          <t>amazing directors</t>
        </is>
      </c>
      <c r="D3156">
        <f>HYPERLINK("https://www.youtube.com/watch?v=MTXcqUQDVBE&amp;t=636s", "Go to time")</f>
        <v/>
      </c>
    </row>
    <row r="3157">
      <c r="A3157">
        <f>HYPERLINK("https://www.youtube.com/watch?v=MTXcqUQDVBE", "Video")</f>
        <v/>
      </c>
      <c r="B3157" t="inlineStr">
        <is>
          <t>10:39</t>
        </is>
      </c>
      <c r="C3157" t="inlineStr">
        <is>
          <t>my favorite most trusted directors on</t>
        </is>
      </c>
      <c r="D3157">
        <f>HYPERLINK("https://www.youtube.com/watch?v=MTXcqUQDVBE&amp;t=639s", "Go to time")</f>
        <v/>
      </c>
    </row>
    <row r="3158">
      <c r="A3158">
        <f>HYPERLINK("https://www.youtube.com/watch?v=MTXcqUQDVBE", "Video")</f>
        <v/>
      </c>
      <c r="B3158" t="inlineStr">
        <is>
          <t>10:58</t>
        </is>
      </c>
      <c r="C3158" t="inlineStr">
        <is>
          <t>director is a great thing i love being</t>
        </is>
      </c>
      <c r="D3158">
        <f>HYPERLINK("https://www.youtube.com/watch?v=MTXcqUQDVBE&amp;t=658s", "Go to time")</f>
        <v/>
      </c>
    </row>
    <row r="3159">
      <c r="A3159">
        <f>HYPERLINK("https://www.youtube.com/watch?v=MTXcqUQDVBE", "Video")</f>
        <v/>
      </c>
      <c r="B3159" t="inlineStr">
        <is>
          <t>10:59</t>
        </is>
      </c>
      <c r="C3159" t="inlineStr">
        <is>
          <t>directed by actors</t>
        </is>
      </c>
      <c r="D3159">
        <f>HYPERLINK("https://www.youtube.com/watch?v=MTXcqUQDVBE&amp;t=659s", "Go to time")</f>
        <v/>
      </c>
    </row>
    <row r="3160">
      <c r="A3160">
        <f>HYPERLINK("https://www.youtube.com/watch?v=MTXcqUQDVBE", "Video")</f>
        <v/>
      </c>
      <c r="B3160" t="inlineStr">
        <is>
          <t>11:23</t>
        </is>
      </c>
      <c r="C3160" t="inlineStr">
        <is>
          <t>i always enjoy that when he directs the</t>
        </is>
      </c>
      <c r="D3160">
        <f>HYPERLINK("https://www.youtube.com/watch?v=MTXcqUQDVBE&amp;t=683s", "Go to time")</f>
        <v/>
      </c>
    </row>
    <row r="3161">
      <c r="A3161">
        <f>HYPERLINK("https://www.youtube.com/watch?v=MTXcqUQDVBE", "Video")</f>
        <v/>
      </c>
      <c r="B3161" t="inlineStr">
        <is>
          <t>16:06</t>
        </is>
      </c>
      <c r="C3161" t="inlineStr">
        <is>
          <t>director of course i could do it of</t>
        </is>
      </c>
      <c r="D3161">
        <f>HYPERLINK("https://www.youtube.com/watch?v=MTXcqUQDVBE&amp;t=966s", "Go to time")</f>
        <v/>
      </c>
    </row>
    <row r="3162">
      <c r="A3162">
        <f>HYPERLINK("https://www.youtube.com/watch?v=ozwbG2dwNkg", "Video")</f>
        <v/>
      </c>
      <c r="B3162" t="inlineStr">
        <is>
          <t>0:44</t>
        </is>
      </c>
      <c r="C3162" t="inlineStr">
        <is>
          <t>tell me which direction west wingy</t>
        </is>
      </c>
      <c r="D3162">
        <f>HYPERLINK("https://www.youtube.com/watch?v=ozwbG2dwNkg&amp;t=44s", "Go to time")</f>
        <v/>
      </c>
    </row>
    <row r="3163">
      <c r="A3163">
        <f>HYPERLINK("https://www.youtube.com/watch?v=ovLfx5MYIRE", "Video")</f>
        <v/>
      </c>
      <c r="B3163" t="inlineStr">
        <is>
          <t>2:35</t>
        </is>
      </c>
      <c r="C3163" t="inlineStr">
        <is>
          <t>on the show you said you're direct and</t>
        </is>
      </c>
      <c r="D3163">
        <f>HYPERLINK("https://www.youtube.com/watch?v=ovLfx5MYIRE&amp;t=155s", "Go to time")</f>
        <v/>
      </c>
    </row>
    <row r="3164">
      <c r="A3164">
        <f>HYPERLINK("https://www.youtube.com/watch?v=ovLfx5MYIRE", "Video")</f>
        <v/>
      </c>
      <c r="B3164" t="inlineStr">
        <is>
          <t>2:41</t>
        </is>
      </c>
      <c r="C3164" t="inlineStr">
        <is>
          <t>direct and being rude I think sometimes</t>
        </is>
      </c>
      <c r="D3164">
        <f>HYPERLINK("https://www.youtube.com/watch?v=ovLfx5MYIRE&amp;t=161s", "Go to time")</f>
        <v/>
      </c>
    </row>
    <row r="3165">
      <c r="A3165">
        <f>HYPERLINK("https://www.youtube.com/watch?v=MgeE4aaWZb8", "Video")</f>
        <v/>
      </c>
      <c r="B3165" t="inlineStr">
        <is>
          <t>0:46</t>
        </is>
      </c>
      <c r="C3165" t="inlineStr">
        <is>
          <t>Because that's the direction she came from,
not the elevators.</t>
        </is>
      </c>
      <c r="D3165">
        <f>HYPERLINK("https://www.youtube.com/watch?v=MgeE4aaWZb8&amp;t=46s", "Go to time")</f>
        <v/>
      </c>
    </row>
    <row r="3166">
      <c r="A3166">
        <f>HYPERLINK("https://www.youtube.com/watch?v=YjOjq6bAGic", "Video")</f>
        <v/>
      </c>
      <c r="B3166" t="inlineStr">
        <is>
          <t>1:14</t>
        </is>
      </c>
      <c r="C3166" t="inlineStr">
        <is>
          <t>direction you end up standing still</t>
        </is>
      </c>
      <c r="D3166">
        <f>HYPERLINK("https://www.youtube.com/watch?v=YjOjq6bAGic&amp;t=74s", "Go to time")</f>
        <v/>
      </c>
    </row>
    <row r="3167">
      <c r="A3167">
        <f>HYPERLINK("https://www.youtube.com/watch?v=uauhtCRa9Rg", "Video")</f>
        <v/>
      </c>
      <c r="B3167" t="inlineStr">
        <is>
          <t>26:25</t>
        </is>
      </c>
      <c r="C3167" t="inlineStr">
        <is>
          <t>from carson directors the brief wasn't</t>
        </is>
      </c>
      <c r="D3167">
        <f>HYPERLINK("https://www.youtube.com/watch?v=uauhtCRa9Rg&amp;t=1585s", "Go to time")</f>
        <v/>
      </c>
    </row>
    <row r="3168">
      <c r="A3168">
        <f>HYPERLINK("https://www.youtube.com/watch?v=m5282zXJdBo", "Video")</f>
        <v/>
      </c>
      <c r="B3168" t="inlineStr">
        <is>
          <t>10:41</t>
        </is>
      </c>
      <c r="C3168" t="inlineStr">
        <is>
          <t>it's going in a different direction than</t>
        </is>
      </c>
      <c r="D3168">
        <f>HYPERLINK("https://www.youtube.com/watch?v=m5282zXJdBo&amp;t=641s", "Go to time")</f>
        <v/>
      </c>
    </row>
    <row r="3169">
      <c r="A3169">
        <f>HYPERLINK("https://www.youtube.com/watch?v=dJq7P3yAY08", "Video")</f>
        <v/>
      </c>
      <c r="B3169" t="inlineStr">
        <is>
          <t>1:25</t>
        </is>
      </c>
      <c r="C3169" t="inlineStr">
        <is>
          <t>they're okay is that remark uh directed</t>
        </is>
      </c>
      <c r="D3169">
        <f>HYPERLINK("https://www.youtube.com/watch?v=dJq7P3yAY08&amp;t=85s", "Go to time")</f>
        <v/>
      </c>
    </row>
    <row r="3170">
      <c r="A3170">
        <f>HYPERLINK("https://www.youtube.com/watch?v=dJq7P3yAY08", "Video")</f>
        <v/>
      </c>
      <c r="B3170" t="inlineStr">
        <is>
          <t>1:29</t>
        </is>
      </c>
      <c r="C3170" t="inlineStr">
        <is>
          <t>no it was directed at your stupid turkey</t>
        </is>
      </c>
      <c r="D3170">
        <f>HYPERLINK("https://www.youtube.com/watch?v=dJq7P3yAY08&amp;t=89s", "Go to time")</f>
        <v/>
      </c>
    </row>
    <row r="3171">
      <c r="A3171">
        <f>HYPERLINK("https://www.youtube.com/watch?v=lNxDdDhfuMI", "Video")</f>
        <v/>
      </c>
      <c r="B3171" t="inlineStr">
        <is>
          <t>6:12</t>
        </is>
      </c>
      <c r="C3171" t="inlineStr">
        <is>
          <t>Cranfield director of site security at</t>
        </is>
      </c>
      <c r="D3171">
        <f>HYPERLINK("https://www.youtube.com/watch?v=lNxDdDhfuMI&amp;t=372s", "Go to time")</f>
        <v/>
      </c>
    </row>
    <row r="3172">
      <c r="A3172">
        <f>HYPERLINK("https://www.youtube.com/watch?v=1dCeXbQCLvA", "Video")</f>
        <v/>
      </c>
      <c r="B3172" t="inlineStr">
        <is>
          <t>1:40</t>
        </is>
      </c>
      <c r="C3172" t="inlineStr">
        <is>
          <t>The man looked at me and he was like, the
casting director say.</t>
        </is>
      </c>
      <c r="D3172">
        <f>HYPERLINK("https://www.youtube.com/watch?v=1dCeXbQCLvA&amp;t=100s", "Go to time")</f>
        <v/>
      </c>
    </row>
    <row r="3173">
      <c r="A3173">
        <f>HYPERLINK("https://www.youtube.com/watch?v=1dCeXbQCLvA", "Video")</f>
        <v/>
      </c>
      <c r="B3173" t="inlineStr">
        <is>
          <t>2:13</t>
        </is>
      </c>
      <c r="C3173" t="inlineStr">
        <is>
          <t>like, okay, directors, there's about 15
people in the room.</t>
        </is>
      </c>
      <c r="D3173">
        <f>HYPERLINK("https://www.youtube.com/watch?v=1dCeXbQCLvA&amp;t=133s", "Go to time")</f>
        <v/>
      </c>
    </row>
    <row r="3174">
      <c r="A3174">
        <f>HYPERLINK("https://www.youtube.com/watch?v=1dCeXbQCLvA", "Video")</f>
        <v/>
      </c>
      <c r="B3174" t="inlineStr">
        <is>
          <t>2:19</t>
        </is>
      </c>
      <c r="C3174" t="inlineStr">
        <is>
          <t>The director goes, huh, give her this and
this.</t>
        </is>
      </c>
      <c r="D3174">
        <f>HYPERLINK("https://www.youtube.com/watch?v=1dCeXbQCLvA&amp;t=139s", "Go to time")</f>
        <v/>
      </c>
    </row>
    <row r="3175">
      <c r="A3175">
        <f>HYPERLINK("https://www.youtube.com/watch?v=1dCeXbQCLvA", "Video")</f>
        <v/>
      </c>
      <c r="B3175" t="inlineStr">
        <is>
          <t>3:14</t>
        </is>
      </c>
      <c r="C3175" t="inlineStr">
        <is>
          <t>The casting director.</t>
        </is>
      </c>
      <c r="D3175">
        <f>HYPERLINK("https://www.youtube.com/watch?v=1dCeXbQCLvA&amp;t=194s", "Go to time")</f>
        <v/>
      </c>
    </row>
    <row r="3176">
      <c r="A3176">
        <f>HYPERLINK("https://www.youtube.com/watch?v=1dCeXbQCLvA", "Video")</f>
        <v/>
      </c>
      <c r="B3176" t="inlineStr">
        <is>
          <t>3:16</t>
        </is>
      </c>
      <c r="C3176" t="inlineStr">
        <is>
          <t>The director was like, dear, you need to
leave here.</t>
        </is>
      </c>
      <c r="D3176">
        <f>HYPERLINK("https://www.youtube.com/watch?v=1dCeXbQCLvA&amp;t=196s", "Go to time")</f>
        <v/>
      </c>
    </row>
    <row r="3177">
      <c r="A3177">
        <f>HYPERLINK("https://www.youtube.com/watch?v=1dCeXbQCLvA", "Video")</f>
        <v/>
      </c>
      <c r="B3177" t="inlineStr">
        <is>
          <t>3:50</t>
        </is>
      </c>
      <c r="C3177" t="inlineStr">
        <is>
          <t>I mean, the director goes like this.</t>
        </is>
      </c>
      <c r="D3177">
        <f>HYPERLINK("https://www.youtube.com/watch?v=1dCeXbQCLvA&amp;t=230s", "Go to time")</f>
        <v/>
      </c>
    </row>
    <row r="3178">
      <c r="A3178">
        <f>HYPERLINK("https://www.youtube.com/watch?v=1dCeXbQCLvA", "Video")</f>
        <v/>
      </c>
      <c r="B3178" t="inlineStr">
        <is>
          <t>3:52</t>
        </is>
      </c>
      <c r="C3178" t="inlineStr">
        <is>
          <t>The casting director bends down and he goes,
she's adorable.</t>
        </is>
      </c>
      <c r="D3178">
        <f>HYPERLINK("https://www.youtube.com/watch?v=1dCeXbQCLvA&amp;t=232s", "Go to time")</f>
        <v/>
      </c>
    </row>
    <row r="3179">
      <c r="A3179">
        <f>HYPERLINK("https://www.youtube.com/watch?v=kFHAiRSay1s", "Video")</f>
        <v/>
      </c>
      <c r="B3179" t="inlineStr">
        <is>
          <t>2:02</t>
        </is>
      </c>
      <c r="C3179" t="inlineStr">
        <is>
          <t>right direction, you end up standing still.</t>
        </is>
      </c>
      <c r="D3179">
        <f>HYPERLINK("https://www.youtube.com/watch?v=kFHAiRSay1s&amp;t=122s", "Go to time")</f>
        <v/>
      </c>
    </row>
    <row r="3180">
      <c r="A3180">
        <f>HYPERLINK("https://www.youtube.com/watch?v=kFHAiRSay1s", "Video")</f>
        <v/>
      </c>
      <c r="B3180" t="inlineStr">
        <is>
          <t>3:43</t>
        </is>
      </c>
      <c r="C3180" t="inlineStr">
        <is>
          <t>We have to go hire a new PR director for the</t>
        </is>
      </c>
      <c r="D3180">
        <f>HYPERLINK("https://www.youtube.com/watch?v=kFHAiRSay1s&amp;t=223s", "Go to time")</f>
        <v/>
      </c>
    </row>
    <row r="3181">
      <c r="A3181">
        <f>HYPERLINK("https://www.youtube.com/watch?v=eOTVg8rugEQ", "Video")</f>
        <v/>
      </c>
      <c r="B3181" t="inlineStr">
        <is>
          <t>2:41</t>
        </is>
      </c>
      <c r="C3181" t="inlineStr">
        <is>
          <t>with my emotions or ask for directions</t>
        </is>
      </c>
      <c r="D3181">
        <f>HYPERLINK("https://www.youtube.com/watch?v=eOTVg8rugEQ&amp;t=161s", "Go to time")</f>
        <v/>
      </c>
    </row>
    <row r="3182">
      <c r="A3182">
        <f>HYPERLINK("https://www.youtube.com/watch?v=ZKziQ53-cmU", "Video")</f>
        <v/>
      </c>
      <c r="B3182" t="inlineStr">
        <is>
          <t>6:58</t>
        </is>
      </c>
      <c r="C3182" t="inlineStr">
        <is>
          <t>um with Eliza Hitman who directed the</t>
        </is>
      </c>
      <c r="D3182">
        <f>HYPERLINK("https://www.youtube.com/watch?v=ZKziQ53-cmU&amp;t=418s", "Go to time")</f>
        <v/>
      </c>
    </row>
    <row r="3183">
      <c r="A3183">
        <f>HYPERLINK("https://www.youtube.com/watch?v=ZKziQ53-cmU", "Video")</f>
        <v/>
      </c>
      <c r="B3183" t="inlineStr">
        <is>
          <t>7:00</t>
        </is>
      </c>
      <c r="C3183" t="inlineStr">
        <is>
          <t>pilot and all the other directors but</t>
        </is>
      </c>
      <c r="D3183">
        <f>HYPERLINK("https://www.youtube.com/watch?v=ZKziQ53-cmU&amp;t=420s", "Go to time")</f>
        <v/>
      </c>
    </row>
    <row r="3184">
      <c r="A3184">
        <f>HYPERLINK("https://www.youtube.com/watch?v=AvWtAZzk6IU", "Video")</f>
        <v/>
      </c>
      <c r="B3184" t="inlineStr">
        <is>
          <t>1:27</t>
        </is>
      </c>
      <c r="C3184" t="inlineStr">
        <is>
          <t>and pilot director of bel air</t>
        </is>
      </c>
      <c r="D3184">
        <f>HYPERLINK("https://www.youtube.com/watch?v=AvWtAZzk6IU&amp;t=87s", "Go to time")</f>
        <v/>
      </c>
    </row>
    <row r="3185">
      <c r="A3185">
        <f>HYPERLINK("https://www.youtube.com/watch?v=4YPZswXdtRg", "Video")</f>
        <v/>
      </c>
      <c r="B3185" t="inlineStr">
        <is>
          <t>2:25</t>
        </is>
      </c>
      <c r="C3185" t="inlineStr">
        <is>
          <t>I am the director of the Parks</t>
        </is>
      </c>
      <c r="D3185">
        <f>HYPERLINK("https://www.youtube.com/watch?v=4YPZswXdtRg&amp;t=145s", "Go to time")</f>
        <v/>
      </c>
    </row>
    <row r="3186">
      <c r="A3186">
        <f>HYPERLINK("https://www.youtube.com/watch?v=dtK475dwWDw", "Video")</f>
        <v/>
      </c>
      <c r="B3186" t="inlineStr">
        <is>
          <t>6:43</t>
        </is>
      </c>
      <c r="C3186" t="inlineStr">
        <is>
          <t>directly</t>
        </is>
      </c>
      <c r="D3186">
        <f>HYPERLINK("https://www.youtube.com/watch?v=dtK475dwWDw&amp;t=403s", "Go to time")</f>
        <v/>
      </c>
    </row>
    <row r="3187">
      <c r="A3187">
        <f>HYPERLINK("https://www.youtube.com/watch?v=RJ0q5kliK7E", "Video")</f>
        <v/>
      </c>
      <c r="B3187" t="inlineStr">
        <is>
          <t>0:30</t>
        </is>
      </c>
      <c r="C3187" t="inlineStr">
        <is>
          <t>question is directly husbands that have</t>
        </is>
      </c>
      <c r="D3187">
        <f>HYPERLINK("https://www.youtube.com/watch?v=RJ0q5kliK7E&amp;t=30s", "Go to time")</f>
        <v/>
      </c>
    </row>
    <row r="3188">
      <c r="A3188">
        <f>HYPERLINK("https://www.youtube.com/watch?v=RJ0q5kliK7E", "Video")</f>
        <v/>
      </c>
      <c r="B3188" t="inlineStr">
        <is>
          <t>0:34</t>
        </is>
      </c>
      <c r="C3188" t="inlineStr">
        <is>
          <t>directly for you Stanberry oh God can</t>
        </is>
      </c>
      <c r="D3188">
        <f>HYPERLINK("https://www.youtube.com/watch?v=RJ0q5kliK7E&amp;t=34s", "Go to time")</f>
        <v/>
      </c>
    </row>
    <row r="3189">
      <c r="A3189">
        <f>HYPERLINK("https://www.youtube.com/watch?v=rNn0TNW-_bY", "Video")</f>
        <v/>
      </c>
      <c r="B3189" t="inlineStr">
        <is>
          <t>3:59</t>
        </is>
      </c>
      <c r="C3189" t="inlineStr">
        <is>
          <t>Be mature, direct and firm.</t>
        </is>
      </c>
      <c r="D3189">
        <f>HYPERLINK("https://www.youtube.com/watch?v=rNn0TNW-_bY&amp;t=239s", "Go to time")</f>
        <v/>
      </c>
    </row>
    <row r="3190">
      <c r="A3190">
        <f>HYPERLINK("https://www.youtube.com/watch?v=TPy-N11ef3A", "Video")</f>
        <v/>
      </c>
      <c r="B3190" t="inlineStr">
        <is>
          <t>2:02</t>
        </is>
      </c>
      <c r="C3190" t="inlineStr">
        <is>
          <t>no you follow directions perfectly know</t>
        </is>
      </c>
      <c r="D3190">
        <f>HYPERLINK("https://www.youtube.com/watch?v=TPy-N11ef3A&amp;t=122s", "Go to time")</f>
        <v/>
      </c>
    </row>
    <row r="3191">
      <c r="A3191">
        <f>HYPERLINK("https://www.youtube.com/watch?v=ACdQgnI3EW0", "Video")</f>
        <v/>
      </c>
      <c r="B3191" t="inlineStr">
        <is>
          <t>0:28</t>
        </is>
      </c>
      <c r="C3191" t="inlineStr">
        <is>
          <t>laugh the director goes cut do it again</t>
        </is>
      </c>
      <c r="D3191">
        <f>HYPERLINK("https://www.youtube.com/watch?v=ACdQgnI3EW0&amp;t=28s", "Go to time")</f>
        <v/>
      </c>
    </row>
    <row r="3192">
      <c r="A3192">
        <f>HYPERLINK("https://www.youtube.com/watch?v=OHZIHsXD5q8", "Video")</f>
        <v/>
      </c>
      <c r="B3192" t="inlineStr">
        <is>
          <t>28:50</t>
        </is>
      </c>
      <c r="C3192" t="inlineStr">
        <is>
          <t>Nigeria emails you directly asking for</t>
        </is>
      </c>
      <c r="D3192">
        <f>HYPERLINK("https://www.youtube.com/watch?v=OHZIHsXD5q8&amp;t=1730s", "Go to time")</f>
        <v/>
      </c>
    </row>
    <row r="3193">
      <c r="A3193">
        <f>HYPERLINK("https://www.youtube.com/watch?v=mkTfsjCovUk", "Video")</f>
        <v/>
      </c>
      <c r="B3193" t="inlineStr">
        <is>
          <t>2:12</t>
        </is>
      </c>
      <c r="C3193" t="inlineStr">
        <is>
          <t>Be very direct with you.</t>
        </is>
      </c>
      <c r="D3193">
        <f>HYPERLINK("https://www.youtube.com/watch?v=mkTfsjCovUk&amp;t=132s", "Go to time")</f>
        <v/>
      </c>
    </row>
    <row r="3194">
      <c r="A3194">
        <f>HYPERLINK("https://www.youtube.com/watch?v=Tu7FXf513KM", "Video")</f>
        <v/>
      </c>
      <c r="B3194" t="inlineStr">
        <is>
          <t>4:15</t>
        </is>
      </c>
      <c r="C3194" t="inlineStr">
        <is>
          <t>See this pin here? It's been pressing
directly on her addiction center.</t>
        </is>
      </c>
      <c r="D3194">
        <f>HYPERLINK("https://www.youtube.com/watch?v=Tu7FXf513KM&amp;t=255s", "Go to time")</f>
        <v/>
      </c>
    </row>
    <row r="3195">
      <c r="A3195">
        <f>HYPERLINK("https://www.youtube.com/watch?v=vs0yby4YKr4", "Video")</f>
        <v/>
      </c>
      <c r="B3195" t="inlineStr">
        <is>
          <t>3:38</t>
        </is>
      </c>
      <c r="C3195" t="inlineStr">
        <is>
          <t>arrows were pointed directly at the</t>
        </is>
      </c>
      <c r="D3195">
        <f>HYPERLINK("https://www.youtube.com/watch?v=vs0yby4YKr4&amp;t=218s", "Go to time")</f>
        <v/>
      </c>
    </row>
    <row r="3196">
      <c r="A3196">
        <f>HYPERLINK("https://www.youtube.com/watch?v=En2Z1xuonic", "Video")</f>
        <v/>
      </c>
      <c r="B3196" t="inlineStr">
        <is>
          <t>2:01</t>
        </is>
      </c>
      <c r="C3196" t="inlineStr">
        <is>
          <t>ring directly to a salesman</t>
        </is>
      </c>
      <c r="D3196">
        <f>HYPERLINK("https://www.youtube.com/watch?v=En2Z1xuonic&amp;t=121s", "Go to time")</f>
        <v/>
      </c>
    </row>
    <row r="3197">
      <c r="A3197">
        <f>HYPERLINK("https://www.youtube.com/watch?v=KP0jR2PkOVk", "Video")</f>
        <v/>
      </c>
      <c r="B3197" t="inlineStr">
        <is>
          <t>1:37</t>
        </is>
      </c>
      <c r="C3197" t="inlineStr">
        <is>
          <t>I don't mind knowing directions</t>
        </is>
      </c>
      <c r="D3197">
        <f>HYPERLINK("https://www.youtube.com/watch?v=KP0jR2PkOVk&amp;t=97s", "Go to time")</f>
        <v/>
      </c>
    </row>
    <row r="3198">
      <c r="A3198">
        <f>HYPERLINK("https://www.youtube.com/watch?v=N0ae1SUwXaw", "Video")</f>
        <v/>
      </c>
      <c r="B3198" t="inlineStr">
        <is>
          <t>2:55</t>
        </is>
      </c>
      <c r="C3198" t="inlineStr">
        <is>
          <t>film director</t>
        </is>
      </c>
      <c r="D3198">
        <f>HYPERLINK("https://www.youtube.com/watch?v=N0ae1SUwXaw&amp;t=175s", "Go to time")</f>
        <v/>
      </c>
    </row>
    <row r="3199">
      <c r="A3199">
        <f>HYPERLINK("https://www.youtube.com/watch?v=hUoEoZDIg9k", "Video")</f>
        <v/>
      </c>
      <c r="B3199" t="inlineStr">
        <is>
          <t>1:52</t>
        </is>
      </c>
      <c r="C3199" t="inlineStr">
        <is>
          <t>was like asking which direction the</t>
        </is>
      </c>
      <c r="D3199">
        <f>HYPERLINK("https://www.youtube.com/watch?v=hUoEoZDIg9k&amp;t=112s", "Go to time")</f>
        <v/>
      </c>
    </row>
    <row r="3200">
      <c r="A3200">
        <f>HYPERLINK("https://www.youtube.com/watch?v=pkZF54FpRcY", "Video")</f>
        <v/>
      </c>
      <c r="B3200" t="inlineStr">
        <is>
          <t>2:06</t>
        </is>
      </c>
      <c r="C3200" t="inlineStr">
        <is>
          <t>stage with the board of directors and at</t>
        </is>
      </c>
      <c r="D3200">
        <f>HYPERLINK("https://www.youtube.com/watch?v=pkZF54FpRcY&amp;t=126s", "Go to time")</f>
        <v/>
      </c>
    </row>
    <row r="3201">
      <c r="A3201">
        <f>HYPERLINK("https://www.youtube.com/watch?v=D6flAoMDAzs", "Video")</f>
        <v/>
      </c>
      <c r="B3201" t="inlineStr">
        <is>
          <t>6:19</t>
        </is>
      </c>
      <c r="C3201" t="inlineStr">
        <is>
          <t>They asked me to lead a unit directing two
dozen men and women doctors, nurses, lawyers,</t>
        </is>
      </c>
      <c r="D3201">
        <f>HYPERLINK("https://www.youtube.com/watch?v=D6flAoMDAzs&amp;t=379s", "Go to time")</f>
        <v/>
      </c>
    </row>
    <row r="3202">
      <c r="A3202">
        <f>HYPERLINK("https://www.youtube.com/watch?v=6q-xH4JeVJY", "Video")</f>
        <v/>
      </c>
      <c r="B3202" t="inlineStr">
        <is>
          <t>0:22</t>
        </is>
      </c>
      <c r="C3202" t="inlineStr">
        <is>
          <t>vicky thomas legendary casting director</t>
        </is>
      </c>
      <c r="D3202">
        <f>HYPERLINK("https://www.youtube.com/watch?v=6q-xH4JeVJY&amp;t=22s", "Go to time")</f>
        <v/>
      </c>
    </row>
    <row r="3203">
      <c r="A3203">
        <f>HYPERLINK("https://www.youtube.com/watch?v=gW5jeCGCfgo", "Video")</f>
        <v/>
      </c>
      <c r="B3203" t="inlineStr">
        <is>
          <t>8:42</t>
        </is>
      </c>
      <c r="C3203" t="inlineStr">
        <is>
          <t>that take us in surprising Direction</t>
        </is>
      </c>
      <c r="D3203">
        <f>HYPERLINK("https://www.youtube.com/watch?v=gW5jeCGCfgo&amp;t=522s", "Go to time")</f>
        <v/>
      </c>
    </row>
    <row r="3204">
      <c r="A3204">
        <f>HYPERLINK("https://www.youtube.com/watch?v=O_6hi0qPsQQ", "Video")</f>
        <v/>
      </c>
      <c r="B3204" t="inlineStr">
        <is>
          <t>8:11</t>
        </is>
      </c>
      <c r="C3204" t="inlineStr">
        <is>
          <t>work out I've been a cruise director for</t>
        </is>
      </c>
      <c r="D3204">
        <f>HYPERLINK("https://www.youtube.com/watch?v=O_6hi0qPsQQ&amp;t=491s", "Go to time")</f>
        <v/>
      </c>
    </row>
    <row r="3205">
      <c r="A3205">
        <f>HYPERLINK("https://www.youtube.com/watch?v=biUWOk8bEf0", "Video")</f>
        <v/>
      </c>
      <c r="B3205" t="inlineStr">
        <is>
          <t>0:42</t>
        </is>
      </c>
      <c r="C3205" t="inlineStr">
        <is>
          <t>And I took a meeting with the wonderful director that is Jon Chu.</t>
        </is>
      </c>
      <c r="D3205">
        <f>HYPERLINK("https://www.youtube.com/watch?v=biUWOk8bEf0&amp;t=42s", "Go to time")</f>
        <v/>
      </c>
    </row>
    <row r="3206">
      <c r="A3206">
        <f>HYPERLINK("https://www.youtube.com/watch?v=41RHLiDJXPs", "Video")</f>
        <v/>
      </c>
      <c r="B3206" t="inlineStr">
        <is>
          <t>0:36</t>
        </is>
      </c>
      <c r="C3206" t="inlineStr">
        <is>
          <t>he has the attitude he takes direction</t>
        </is>
      </c>
      <c r="D3206">
        <f>HYPERLINK("https://www.youtube.com/watch?v=41RHLiDJXPs&amp;t=36s", "Go to time")</f>
        <v/>
      </c>
    </row>
    <row r="3207">
      <c r="A3207">
        <f>HYPERLINK("https://www.youtube.com/watch?v=55smhC3ASvI", "Video")</f>
        <v/>
      </c>
      <c r="B3207" t="inlineStr">
        <is>
          <t>2:21</t>
        </is>
      </c>
      <c r="C3207" t="inlineStr">
        <is>
          <t>author director i am a hustler kenya</t>
        </is>
      </c>
      <c r="D3207">
        <f>HYPERLINK("https://www.youtube.com/watch?v=55smhC3ASvI&amp;t=141s", "Go to time")</f>
        <v/>
      </c>
    </row>
    <row r="3208">
      <c r="A3208">
        <f>HYPERLINK("https://www.youtube.com/watch?v=RlDMZX69Aoc", "Video")</f>
        <v/>
      </c>
      <c r="B3208" t="inlineStr">
        <is>
          <t>11:19</t>
        </is>
      </c>
      <c r="C3208" t="inlineStr">
        <is>
          <t>No. It's going in a different direction than</t>
        </is>
      </c>
      <c r="D3208">
        <f>HYPERLINK("https://www.youtube.com/watch?v=RlDMZX69Aoc&amp;t=679s", "Go to time")</f>
        <v/>
      </c>
    </row>
    <row r="3209">
      <c r="A3209">
        <f>HYPERLINK("https://www.youtube.com/watch?v=tAd7etm6yP4", "Video")</f>
        <v/>
      </c>
      <c r="B3209" t="inlineStr">
        <is>
          <t>2:38</t>
        </is>
      </c>
      <c r="C3209" t="inlineStr">
        <is>
          <t>director we're in a creative director</t>
        </is>
      </c>
      <c r="D3209">
        <f>HYPERLINK("https://www.youtube.com/watch?v=tAd7etm6yP4&amp;t=158s", "Go to time")</f>
        <v/>
      </c>
    </row>
    <row r="3210">
      <c r="A3210">
        <f>HYPERLINK("https://www.youtube.com/watch?v=tAd7etm6yP4", "Video")</f>
        <v/>
      </c>
      <c r="B3210" t="inlineStr">
        <is>
          <t>2:41</t>
        </is>
      </c>
      <c r="C3210" t="inlineStr">
        <is>
          <t>director now and gun to my head I don't</t>
        </is>
      </c>
      <c r="D3210">
        <f>HYPERLINK("https://www.youtube.com/watch?v=tAd7etm6yP4&amp;t=161s", "Go to time")</f>
        <v/>
      </c>
    </row>
    <row r="3211">
      <c r="A3211">
        <f>HYPERLINK("https://www.youtube.com/watch?v=JAV2kU-rJ8E", "Video")</f>
        <v/>
      </c>
      <c r="B3211" t="inlineStr">
        <is>
          <t>1:39</t>
        </is>
      </c>
      <c r="C3211" t="inlineStr">
        <is>
          <t>have a direct conversation just make</t>
        </is>
      </c>
      <c r="D3211">
        <f>HYPERLINK("https://www.youtube.com/watch?v=JAV2kU-rJ8E&amp;t=99s", "Go to time")</f>
        <v/>
      </c>
    </row>
    <row r="3212">
      <c r="A3212">
        <f>HYPERLINK("https://www.youtube.com/watch?v=l-pwIXMp9K8", "Video")</f>
        <v/>
      </c>
      <c r="B3212" t="inlineStr">
        <is>
          <t>7:44</t>
        </is>
      </c>
      <c r="C3212" t="inlineStr">
        <is>
          <t>over he cannot the board of directors</t>
        </is>
      </c>
      <c r="D3212">
        <f>HYPERLINK("https://www.youtube.com/watch?v=l-pwIXMp9K8&amp;t=464s", "Go to time")</f>
        <v/>
      </c>
    </row>
    <row r="3213">
      <c r="A3213">
        <f>HYPERLINK("https://www.youtube.com/watch?v=Kpk6opDp3_8", "Video")</f>
        <v/>
      </c>
      <c r="B3213" t="inlineStr">
        <is>
          <t>0:26</t>
        </is>
      </c>
      <c r="C3213" t="inlineStr">
        <is>
          <t>produced by or written by or directed by,
um, her husband.</t>
        </is>
      </c>
      <c r="D3213">
        <f>HYPERLINK("https://www.youtube.com/watch?v=Kpk6opDp3_8&amp;t=26s", "Go to time")</f>
        <v/>
      </c>
    </row>
    <row r="3214">
      <c r="A3214">
        <f>HYPERLINK("https://www.youtube.com/watch?v=IjZPAkz0GSs", "Video")</f>
        <v/>
      </c>
      <c r="B3214" t="inlineStr">
        <is>
          <t>2:29</t>
        </is>
      </c>
      <c r="C3214" t="inlineStr">
        <is>
          <t>I told the director, I said, can you start</t>
        </is>
      </c>
      <c r="D3214">
        <f>HYPERLINK("https://www.youtube.com/watch?v=IjZPAkz0GSs&amp;t=149s", "Go to time")</f>
        <v/>
      </c>
    </row>
    <row r="3215">
      <c r="A3215">
        <f>HYPERLINK("https://www.youtube.com/watch?v=1J9kC7WNbt0", "Video")</f>
        <v/>
      </c>
      <c r="B3215" t="inlineStr">
        <is>
          <t>9:50</t>
        </is>
      </c>
      <c r="C3215" t="inlineStr">
        <is>
          <t>they asked me to lead a unit directing</t>
        </is>
      </c>
      <c r="D3215">
        <f>HYPERLINK("https://www.youtube.com/watch?v=1J9kC7WNbt0&amp;t=590s", "Go to time")</f>
        <v/>
      </c>
    </row>
    <row r="3216">
      <c r="A3216">
        <f>HYPERLINK("https://www.youtube.com/watch?v=jhF1BM1EVAA", "Video")</f>
        <v/>
      </c>
      <c r="B3216" t="inlineStr">
        <is>
          <t>1:28</t>
        </is>
      </c>
      <c r="C3216" t="inlineStr">
        <is>
          <t>director told you about me</t>
        </is>
      </c>
      <c r="D3216">
        <f>HYPERLINK("https://www.youtube.com/watch?v=jhF1BM1EVAA&amp;t=88s", "Go to time")</f>
        <v/>
      </c>
    </row>
    <row r="3217">
      <c r="A3217">
        <f>HYPERLINK("https://www.youtube.com/watch?v=dhj5rZk9tmg", "Video")</f>
        <v/>
      </c>
      <c r="B3217" t="inlineStr">
        <is>
          <t>6:28</t>
        </is>
      </c>
      <c r="C3217" t="inlineStr">
        <is>
          <t>but I wanted to be like
a Hollywood director.</t>
        </is>
      </c>
      <c r="D3217">
        <f>HYPERLINK("https://www.youtube.com/watch?v=dhj5rZk9tmg&amp;t=388s", "Go to time")</f>
        <v/>
      </c>
    </row>
    <row r="3218">
      <c r="A3218">
        <f>HYPERLINK("https://www.youtube.com/watch?v=x8xwm-qo51A", "Video")</f>
        <v/>
      </c>
      <c r="B3218" t="inlineStr">
        <is>
          <t>0:04</t>
        </is>
      </c>
      <c r="C3218" t="inlineStr">
        <is>
          <t>rewind live and direct from New York</t>
        </is>
      </c>
      <c r="D3218">
        <f>HYPERLINK("https://www.youtube.com/watch?v=x8xwm-qo51A&amp;t=4s", "Go to time")</f>
        <v/>
      </c>
    </row>
    <row r="3219">
      <c r="A3219">
        <f>HYPERLINK("https://www.youtube.com/watch?v=-HDLYb81kXo", "Video")</f>
        <v/>
      </c>
      <c r="B3219" t="inlineStr">
        <is>
          <t>12:07</t>
        </is>
      </c>
      <c r="C3219" t="inlineStr">
        <is>
          <t>farmer directly into the central cone</t>
        </is>
      </c>
      <c r="D3219">
        <f>HYPERLINK("https://www.youtube.com/watch?v=-HDLYb81kXo&amp;t=727s", "Go to time")</f>
        <v/>
      </c>
    </row>
    <row r="3220">
      <c r="A3220">
        <f>HYPERLINK("https://www.youtube.com/watch?v=4JiGuxd7AWw", "Video")</f>
        <v/>
      </c>
      <c r="B3220" t="inlineStr">
        <is>
          <t>6:36</t>
        </is>
      </c>
      <c r="C3220" t="inlineStr">
        <is>
          <t>meline be sure not to look directly into</t>
        </is>
      </c>
      <c r="D3220">
        <f>HYPERLINK("https://www.youtube.com/watch?v=4JiGuxd7AWw&amp;t=396s", "Go to time")</f>
        <v/>
      </c>
    </row>
    <row r="3221">
      <c r="A3221">
        <f>HYPERLINK("https://www.youtube.com/watch?v=88y_HARZERM", "Video")</f>
        <v/>
      </c>
      <c r="B3221" t="inlineStr">
        <is>
          <t>11:37</t>
        </is>
      </c>
      <c r="C3221" t="inlineStr">
        <is>
          <t>the deputy director presley go home</t>
        </is>
      </c>
      <c r="D3221">
        <f>HYPERLINK("https://www.youtube.com/watch?v=88y_HARZERM&amp;t=697s", "Go to time")</f>
        <v/>
      </c>
    </row>
    <row r="3222">
      <c r="A3222">
        <f>HYPERLINK("https://www.youtube.com/watch?v=5CRaqOh_AFI", "Video")</f>
        <v/>
      </c>
      <c r="B3222" t="inlineStr">
        <is>
          <t>6:06</t>
        </is>
      </c>
      <c r="C3222" t="inlineStr">
        <is>
          <t>and now our museum associate director</t>
        </is>
      </c>
      <c r="D3222">
        <f>HYPERLINK("https://www.youtube.com/watch?v=5CRaqOh_AFI&amp;t=366s", "Go to time")</f>
        <v/>
      </c>
    </row>
    <row r="3223">
      <c r="A3223">
        <f>HYPERLINK("https://www.youtube.com/watch?v=A_DOS9QzXBg", "Video")</f>
        <v/>
      </c>
      <c r="B3223" t="inlineStr">
        <is>
          <t>1:44</t>
        </is>
      </c>
      <c r="C3223" t="inlineStr">
        <is>
          <t>in the wrong direction,</t>
        </is>
      </c>
      <c r="D3223">
        <f>HYPERLINK("https://www.youtube.com/watch?v=A_DOS9QzXBg&amp;t=104s", "Go to time")</f>
        <v/>
      </c>
    </row>
    <row r="3224">
      <c r="A3224">
        <f>HYPERLINK("https://www.youtube.com/watch?v=pGiIvLHmuwE", "Video")</f>
        <v/>
      </c>
      <c r="B3224" t="inlineStr">
        <is>
          <t>0:27</t>
        </is>
      </c>
      <c r="C3224" t="inlineStr">
        <is>
          <t>I want to go in this direction and this</t>
        </is>
      </c>
      <c r="D3224">
        <f>HYPERLINK("https://www.youtube.com/watch?v=pGiIvLHmuwE&amp;t=27s", "Go to time")</f>
        <v/>
      </c>
    </row>
    <row r="3225">
      <c r="A3225">
        <f>HYPERLINK("https://www.youtube.com/watch?v=iHjAe80ylEg", "Video")</f>
        <v/>
      </c>
      <c r="B3225" t="inlineStr">
        <is>
          <t>2:19</t>
        </is>
      </c>
      <c r="C3225" t="inlineStr">
        <is>
          <t>department and our great director of</t>
        </is>
      </c>
      <c r="D3225">
        <f>HYPERLINK("https://www.youtube.com/watch?v=iHjAe80ylEg&amp;t=139s", "Go to time")</f>
        <v/>
      </c>
    </row>
    <row r="3226">
      <c r="A3226">
        <f>HYPERLINK("https://www.youtube.com/watch?v=3OJ4C1r-qiM", "Video")</f>
        <v/>
      </c>
      <c r="B3226" t="inlineStr">
        <is>
          <t>1:25</t>
        </is>
      </c>
      <c r="C3226" t="inlineStr">
        <is>
          <t>importance of trusting in the director</t>
        </is>
      </c>
      <c r="D3226">
        <f>HYPERLINK("https://www.youtube.com/watch?v=3OJ4C1r-qiM&amp;t=85s", "Go to time")</f>
        <v/>
      </c>
    </row>
    <row r="3227">
      <c r="A3227">
        <f>HYPERLINK("https://www.youtube.com/watch?v=3OJ4C1r-qiM", "Video")</f>
        <v/>
      </c>
      <c r="B3227" t="inlineStr">
        <is>
          <t>1:57</t>
        </is>
      </c>
      <c r="C3227" t="inlineStr">
        <is>
          <t>he's a porn director so he's telling</t>
        </is>
      </c>
      <c r="D3227">
        <f>HYPERLINK("https://www.youtube.com/watch?v=3OJ4C1r-qiM&amp;t=117s", "Go to time")</f>
        <v/>
      </c>
    </row>
    <row r="3228">
      <c r="A3228">
        <f>HYPERLINK("https://www.youtube.com/watch?v=uXRwPZ75990", "Video")</f>
        <v/>
      </c>
      <c r="B3228" t="inlineStr">
        <is>
          <t>0:01</t>
        </is>
      </c>
      <c r="C3228" t="inlineStr">
        <is>
          <t>I like photography, I like cameras, and I
was like, I want to direct.</t>
        </is>
      </c>
      <c r="D3228">
        <f>HYPERLINK("https://www.youtube.com/watch?v=uXRwPZ75990&amp;t=1s", "Go to time")</f>
        <v/>
      </c>
    </row>
    <row r="3229">
      <c r="A3229">
        <f>HYPERLINK("https://www.youtube.com/watch?v=uXRwPZ75990", "Video")</f>
        <v/>
      </c>
      <c r="B3229" t="inlineStr">
        <is>
          <t>0:04</t>
        </is>
      </c>
      <c r="C3229" t="inlineStr">
        <is>
          <t>I directed like I worked my way up.</t>
        </is>
      </c>
      <c r="D3229">
        <f>HYPERLINK("https://www.youtube.com/watch?v=uXRwPZ75990&amp;t=4s", "Go to time")</f>
        <v/>
      </c>
    </row>
    <row r="3230">
      <c r="A3230">
        <f>HYPERLINK("https://www.youtube.com/watch?v=uXRwPZ75990", "Video")</f>
        <v/>
      </c>
      <c r="B3230" t="inlineStr">
        <is>
          <t>0:07</t>
        </is>
      </c>
      <c r="C3230" t="inlineStr">
        <is>
          <t>Like short films like students, people
coming out, I directed I know the f*** I was</t>
        </is>
      </c>
      <c r="D3230">
        <f>HYPERLINK("https://www.youtube.com/watch?v=uXRwPZ75990&amp;t=7s", "Go to time")</f>
        <v/>
      </c>
    </row>
    <row r="3231">
      <c r="A3231">
        <f>HYPERLINK("https://www.youtube.com/watch?v=uXRwPZ75990", "Video")</f>
        <v/>
      </c>
      <c r="B3231" t="inlineStr">
        <is>
          <t>2:40</t>
        </is>
      </c>
      <c r="C3231" t="inlineStr">
        <is>
          <t>And that's the way I approached my acting
career throughout to learn how to direct was</t>
        </is>
      </c>
      <c r="D3231">
        <f>HYPERLINK("https://www.youtube.com/watch?v=uXRwPZ75990&amp;t=160s", "Go to time")</f>
        <v/>
      </c>
    </row>
    <row r="3232">
      <c r="A3232">
        <f>HYPERLINK("https://www.youtube.com/watch?v=uXRwPZ75990", "Video")</f>
        <v/>
      </c>
      <c r="B3232" t="inlineStr">
        <is>
          <t>2:45</t>
        </is>
      </c>
      <c r="C3232" t="inlineStr">
        <is>
          <t>like, if I the closer I can be to the
director, the more I can learn, the more I'll</t>
        </is>
      </c>
      <c r="D3232">
        <f>HYPERLINK("https://www.youtube.com/watch?v=uXRwPZ75990&amp;t=165s", "Go to time")</f>
        <v/>
      </c>
    </row>
    <row r="3233">
      <c r="A3233">
        <f>HYPERLINK("https://www.youtube.com/watch?v=X7wPYYMFGlw", "Video")</f>
        <v/>
      </c>
      <c r="B3233" t="inlineStr">
        <is>
          <t>3:57</t>
        </is>
      </c>
      <c r="C3233" t="inlineStr">
        <is>
          <t>asking directions security was going to</t>
        </is>
      </c>
      <c r="D3233">
        <f>HYPERLINK("https://www.youtube.com/watch?v=X7wPYYMFGlw&amp;t=237s", "Go to time")</f>
        <v/>
      </c>
    </row>
    <row r="3234">
      <c r="A3234">
        <f>HYPERLINK("https://www.youtube.com/watch?v=ZHX9QaTvItU", "Video")</f>
        <v/>
      </c>
      <c r="B3234" t="inlineStr">
        <is>
          <t>1:53</t>
        </is>
      </c>
      <c r="C3234" t="inlineStr">
        <is>
          <t>which direction she will go</t>
        </is>
      </c>
      <c r="D3234">
        <f>HYPERLINK("https://www.youtube.com/watch?v=ZHX9QaTvItU&amp;t=113s", "Go to time")</f>
        <v/>
      </c>
    </row>
    <row r="3235">
      <c r="A3235">
        <f>HYPERLINK("https://www.youtube.com/watch?v=RtWn8SAGFLg", "Video")</f>
        <v/>
      </c>
      <c r="B3235" t="inlineStr">
        <is>
          <t>0:54</t>
        </is>
      </c>
      <c r="C3235" t="inlineStr">
        <is>
          <t>merging of the producer the director the</t>
        </is>
      </c>
      <c r="D3235">
        <f>HYPERLINK("https://www.youtube.com/watch?v=RtWn8SAGFLg&amp;t=54s", "Go to time")</f>
        <v/>
      </c>
    </row>
    <row r="3236">
      <c r="A3236">
        <f>HYPERLINK("https://www.youtube.com/watch?v=W1WF63MA5nU", "Video")</f>
        <v/>
      </c>
      <c r="B3236" t="inlineStr">
        <is>
          <t>4:12</t>
        </is>
      </c>
      <c r="C3236" t="inlineStr">
        <is>
          <t>And I said to the director, um, I've never</t>
        </is>
      </c>
      <c r="D3236">
        <f>HYPERLINK("https://www.youtube.com/watch?v=W1WF63MA5nU&amp;t=252s", "Go to time")</f>
        <v/>
      </c>
    </row>
    <row r="3237">
      <c r="A3237">
        <f>HYPERLINK("https://www.youtube.com/watch?v=rDZF8lKCwZI", "Video")</f>
        <v/>
      </c>
      <c r="B3237" t="inlineStr">
        <is>
          <t>3:12</t>
        </is>
      </c>
      <c r="C3237" t="inlineStr">
        <is>
          <t>in terms of direction.</t>
        </is>
      </c>
      <c r="D3237">
        <f>HYPERLINK("https://www.youtube.com/watch?v=rDZF8lKCwZI&amp;t=192s", "Go to time")</f>
        <v/>
      </c>
    </row>
    <row r="3238">
      <c r="A3238">
        <f>HYPERLINK("https://www.youtube.com/watch?v=2eJtS1Kfz2s", "Video")</f>
        <v/>
      </c>
      <c r="B3238" t="inlineStr">
        <is>
          <t>2:43</t>
        </is>
      </c>
      <c r="C3238" t="inlineStr">
        <is>
          <t>networks so whether an issue directs</t>
        </is>
      </c>
      <c r="D3238">
        <f>HYPERLINK("https://www.youtube.com/watch?v=2eJtS1Kfz2s&amp;t=163s", "Go to time")</f>
        <v/>
      </c>
    </row>
    <row r="3239">
      <c r="A3239">
        <f>HYPERLINK("https://www.youtube.com/watch?v=2eJtS1Kfz2s", "Video")</f>
        <v/>
      </c>
      <c r="B3239" t="inlineStr">
        <is>
          <t>2:45</t>
        </is>
      </c>
      <c r="C3239" t="inlineStr">
        <is>
          <t>like directly affects us we have more of</t>
        </is>
      </c>
      <c r="D3239">
        <f>HYPERLINK("https://www.youtube.com/watch?v=2eJtS1Kfz2s&amp;t=165s", "Go to time")</f>
        <v/>
      </c>
    </row>
    <row r="3240">
      <c r="A3240">
        <f>HYPERLINK("https://www.youtube.com/watch?v=2eJtS1Kfz2s", "Video")</f>
        <v/>
      </c>
      <c r="B3240" t="inlineStr">
        <is>
          <t>9:03</t>
        </is>
      </c>
      <c r="C3240" t="inlineStr">
        <is>
          <t>be inclusive is a pressing and dire</t>
        </is>
      </c>
      <c r="D3240">
        <f>HYPERLINK("https://www.youtube.com/watch?v=2eJtS1Kfz2s&amp;t=543s", "Go to time")</f>
        <v/>
      </c>
    </row>
    <row r="3241">
      <c r="A3241">
        <f>HYPERLINK("https://www.youtube.com/watch?v=1iyzgmvmsM0", "Video")</f>
        <v/>
      </c>
      <c r="B3241" t="inlineStr">
        <is>
          <t>3:43</t>
        </is>
      </c>
      <c r="C3241" t="inlineStr">
        <is>
          <t>directly under it</t>
        </is>
      </c>
      <c r="D3241">
        <f>HYPERLINK("https://www.youtube.com/watch?v=1iyzgmvmsM0&amp;t=223s", "Go to time")</f>
        <v/>
      </c>
    </row>
    <row r="3242">
      <c r="A3242">
        <f>HYPERLINK("https://www.youtube.com/watch?v=PyOS37BzIMA", "Video")</f>
        <v/>
      </c>
      <c r="B3242" t="inlineStr">
        <is>
          <t>4:30</t>
        </is>
      </c>
      <c r="C3242" t="inlineStr">
        <is>
          <t>direction</t>
        </is>
      </c>
      <c r="D3242">
        <f>HYPERLINK("https://www.youtube.com/watch?v=PyOS37BzIMA&amp;t=270s", "Go to time")</f>
        <v/>
      </c>
    </row>
    <row r="3243">
      <c r="A3243">
        <f>HYPERLINK("https://www.youtube.com/watch?v=kMzk9n1sIrU", "Video")</f>
        <v/>
      </c>
      <c r="B3243" t="inlineStr">
        <is>
          <t>2:31</t>
        </is>
      </c>
      <c r="C3243" t="inlineStr">
        <is>
          <t>money were really more so directed at</t>
        </is>
      </c>
      <c r="D3243">
        <f>HYPERLINK("https://www.youtube.com/watch?v=kMzk9n1sIrU&amp;t=151s", "Go to time")</f>
        <v/>
      </c>
    </row>
    <row r="3244">
      <c r="A3244">
        <f>HYPERLINK("https://www.youtube.com/watch?v=VYUY2scgN-Q", "Video")</f>
        <v/>
      </c>
      <c r="B3244" t="inlineStr">
        <is>
          <t>2:16</t>
        </is>
      </c>
      <c r="C3244" t="inlineStr">
        <is>
          <t>hey house open up this is a direct order</t>
        </is>
      </c>
      <c r="D3244">
        <f>HYPERLINK("https://www.youtube.com/watch?v=VYUY2scgN-Q&amp;t=136s", "Go to time")</f>
        <v/>
      </c>
    </row>
    <row r="3245">
      <c r="A3245">
        <f>HYPERLINK("https://www.youtube.com/watch?v=VYUY2scgN-Q", "Video")</f>
        <v/>
      </c>
      <c r="B3245" t="inlineStr">
        <is>
          <t>2:21</t>
        </is>
      </c>
      <c r="C3245" t="inlineStr">
        <is>
          <t>it's always a direct order few months</t>
        </is>
      </c>
      <c r="D3245">
        <f>HYPERLINK("https://www.youtube.com/watch?v=VYUY2scgN-Q&amp;t=141s", "Go to time")</f>
        <v/>
      </c>
    </row>
    <row r="3246">
      <c r="A3246">
        <f>HYPERLINK("https://www.youtube.com/watch?v=VYUY2scgN-Q", "Video")</f>
        <v/>
      </c>
      <c r="B3246" t="inlineStr">
        <is>
          <t>2:23</t>
        </is>
      </c>
      <c r="C3246" t="inlineStr">
        <is>
          <t>heard an indirect order in here Dr Adams</t>
        </is>
      </c>
      <c r="D3246">
        <f>HYPERLINK("https://www.youtube.com/watch?v=VYUY2scgN-Q&amp;t=143s", "Go to time")</f>
        <v/>
      </c>
    </row>
    <row r="3247">
      <c r="A3247">
        <f>HYPERLINK("https://www.youtube.com/watch?v=t7CNldc_Utc", "Video")</f>
        <v/>
      </c>
      <c r="B3247" t="inlineStr">
        <is>
          <t>2:48</t>
        </is>
      </c>
      <c r="C3247" t="inlineStr">
        <is>
          <t>go directly to tony's brother tommy</t>
        </is>
      </c>
      <c r="D3247">
        <f>HYPERLINK("https://www.youtube.com/watch?v=t7CNldc_Utc&amp;t=168s", "Go to time")</f>
        <v/>
      </c>
    </row>
    <row r="3248">
      <c r="A3248">
        <f>HYPERLINK("https://www.youtube.com/watch?v=sH8fwCQ3ZC8", "Video")</f>
        <v/>
      </c>
      <c r="B3248" t="inlineStr">
        <is>
          <t>1:17</t>
        </is>
      </c>
      <c r="C3248" t="inlineStr">
        <is>
          <t>director was amazing he just basically</t>
        </is>
      </c>
      <c r="D3248">
        <f>HYPERLINK("https://www.youtube.com/watch?v=sH8fwCQ3ZC8&amp;t=77s", "Go to time")</f>
        <v/>
      </c>
    </row>
    <row r="3249">
      <c r="A3249">
        <f>HYPERLINK("https://www.youtube.com/watch?v=cAjw_Eihbt4", "Video")</f>
        <v/>
      </c>
      <c r="B3249" t="inlineStr">
        <is>
          <t>0:31</t>
        </is>
      </c>
      <c r="C3249" t="inlineStr">
        <is>
          <t>was a director called terence malik and</t>
        </is>
      </c>
      <c r="D3249">
        <f>HYPERLINK("https://www.youtube.com/watch?v=cAjw_Eihbt4&amp;t=31s", "Go to time")</f>
        <v/>
      </c>
    </row>
    <row r="3250">
      <c r="A3250">
        <f>HYPERLINK("https://www.youtube.com/watch?v=cAjw_Eihbt4", "Video")</f>
        <v/>
      </c>
      <c r="B3250" t="inlineStr">
        <is>
          <t>0:34</t>
        </is>
      </c>
      <c r="C3250" t="inlineStr">
        <is>
          <t>he directed um very important films in</t>
        </is>
      </c>
      <c r="D3250">
        <f>HYPERLINK("https://www.youtube.com/watch?v=cAjw_Eihbt4&amp;t=34s", "Go to time")</f>
        <v/>
      </c>
    </row>
    <row r="3251">
      <c r="A3251">
        <f>HYPERLINK("https://www.youtube.com/watch?v=I3CtWXecFBk", "Video")</f>
        <v/>
      </c>
      <c r="B3251" t="inlineStr">
        <is>
          <t>3:54</t>
        </is>
      </c>
      <c r="C3251" t="inlineStr">
        <is>
          <t>ultrasound the heart directly and see if</t>
        </is>
      </c>
      <c r="D3251">
        <f>HYPERLINK("https://www.youtube.com/watch?v=I3CtWXecFBk&amp;t=234s", "Go to time")</f>
        <v/>
      </c>
    </row>
    <row r="3252">
      <c r="A3252">
        <f>HYPERLINK("https://www.youtube.com/watch?v=Br5LWd8s2YQ", "Video")</f>
        <v/>
      </c>
      <c r="B3252" t="inlineStr">
        <is>
          <t>0:23</t>
        </is>
      </c>
      <c r="C3252" t="inlineStr">
        <is>
          <t>previous medical director i actually</t>
        </is>
      </c>
      <c r="D3252">
        <f>HYPERLINK("https://www.youtube.com/watch?v=Br5LWd8s2YQ&amp;t=23s", "Go to time")</f>
        <v/>
      </c>
    </row>
    <row r="3253">
      <c r="A3253">
        <f>HYPERLINK("https://www.youtube.com/watch?v=Br5LWd8s2YQ", "Video")</f>
        <v/>
      </c>
      <c r="B3253" t="inlineStr">
        <is>
          <t>2:50</t>
        </is>
      </c>
      <c r="C3253" t="inlineStr">
        <is>
          <t>the same medical director you really</t>
        </is>
      </c>
      <c r="D3253">
        <f>HYPERLINK("https://www.youtube.com/watch?v=Br5LWd8s2YQ&amp;t=170s", "Go to time")</f>
        <v/>
      </c>
    </row>
    <row r="3254">
      <c r="A3254">
        <f>HYPERLINK("https://www.youtube.com/watch?v=Br5LWd8s2YQ", "Video")</f>
        <v/>
      </c>
      <c r="B3254" t="inlineStr">
        <is>
          <t>3:31</t>
        </is>
      </c>
      <c r="C3254" t="inlineStr">
        <is>
          <t>sane medical director</t>
        </is>
      </c>
      <c r="D3254">
        <f>HYPERLINK("https://www.youtube.com/watch?v=Br5LWd8s2YQ&amp;t=211s", "Go to time")</f>
        <v/>
      </c>
    </row>
    <row r="3255">
      <c r="A3255">
        <f>HYPERLINK("https://www.youtube.com/watch?v=Af8X0vPlL-8", "Video")</f>
        <v/>
      </c>
      <c r="B3255" t="inlineStr">
        <is>
          <t>0:14</t>
        </is>
      </c>
      <c r="C3255" t="inlineStr">
        <is>
          <t>directors like what where where do you</t>
        </is>
      </c>
      <c r="D3255">
        <f>HYPERLINK("https://www.youtube.com/watch?v=Af8X0vPlL-8&amp;t=14s", "Go to time")</f>
        <v/>
      </c>
    </row>
    <row r="3256">
      <c r="A3256">
        <f>HYPERLINK("https://www.youtube.com/watch?v=0OlxmaPZeO0", "Video")</f>
        <v/>
      </c>
      <c r="B3256" t="inlineStr">
        <is>
          <t>1:15</t>
        </is>
      </c>
      <c r="C3256" t="inlineStr">
        <is>
          <t>director was like you know we actually</t>
        </is>
      </c>
      <c r="D3256">
        <f>HYPERLINK("https://www.youtube.com/watch?v=0OlxmaPZeO0&amp;t=75s", "Go to time")</f>
        <v/>
      </c>
    </row>
    <row r="3257">
      <c r="A3257">
        <f>HYPERLINK("https://www.youtube.com/watch?v=0OlxmaPZeO0", "Video")</f>
        <v/>
      </c>
      <c r="B3257" t="inlineStr">
        <is>
          <t>3:14</t>
        </is>
      </c>
      <c r="C3257" t="inlineStr">
        <is>
          <t>you know give our director Owen Harris</t>
        </is>
      </c>
      <c r="D3257">
        <f>HYPERLINK("https://www.youtube.com/watch?v=0OlxmaPZeO0&amp;t=194s", "Go to time")</f>
        <v/>
      </c>
    </row>
    <row r="3258">
      <c r="A3258">
        <f>HYPERLINK("https://www.youtube.com/watch?v=k4NqnaW59L4", "Video")</f>
        <v/>
      </c>
      <c r="B3258" t="inlineStr">
        <is>
          <t>0:46</t>
        </is>
      </c>
      <c r="C3258" t="inlineStr">
        <is>
          <t>back the other direction</t>
        </is>
      </c>
      <c r="D3258">
        <f>HYPERLINK("https://www.youtube.com/watch?v=k4NqnaW59L4&amp;t=46s", "Go to time")</f>
        <v/>
      </c>
    </row>
    <row r="3259">
      <c r="A3259">
        <f>HYPERLINK("https://www.youtube.com/watch?v=ZULcbeLUREI", "Video")</f>
        <v/>
      </c>
      <c r="B3259" t="inlineStr">
        <is>
          <t>1:24</t>
        </is>
      </c>
      <c r="C3259" t="inlineStr">
        <is>
          <t>showbiz but it could also be direct</t>
        </is>
      </c>
      <c r="D3259">
        <f>HYPERLINK("https://www.youtube.com/watch?v=ZULcbeLUREI&amp;t=84s", "Go to time")</f>
        <v/>
      </c>
    </row>
    <row r="3260">
      <c r="A3260">
        <f>HYPERLINK("https://www.youtube.com/watch?v=ZULcbeLUREI", "Video")</f>
        <v/>
      </c>
      <c r="B3260" t="inlineStr">
        <is>
          <t>1:33</t>
        </is>
      </c>
      <c r="C3260" t="inlineStr">
        <is>
          <t>directly at home</t>
        </is>
      </c>
      <c r="D3260">
        <f>HYPERLINK("https://www.youtube.com/watch?v=ZULcbeLUREI&amp;t=93s", "Go to time")</f>
        <v/>
      </c>
    </row>
    <row r="3261">
      <c r="A3261">
        <f>HYPERLINK("https://www.youtube.com/watch?v=2K8hRVTl330", "Video")</f>
        <v/>
      </c>
      <c r="B3261" t="inlineStr">
        <is>
          <t>0:28</t>
        </is>
      </c>
      <c r="C3261" t="inlineStr">
        <is>
          <t>director of site security at GCHQ no way</t>
        </is>
      </c>
      <c r="D3261">
        <f>HYPERLINK("https://www.youtube.com/watch?v=2K8hRVTl330&amp;t=28s", "Go to time")</f>
        <v/>
      </c>
    </row>
    <row r="3262">
      <c r="A3262">
        <f>HYPERLINK("https://www.youtube.com/watch?v=YP9ioPU4v8Y", "Video")</f>
        <v/>
      </c>
      <c r="B3262" t="inlineStr">
        <is>
          <t>6:25</t>
        </is>
      </c>
      <c r="C3262" t="inlineStr">
        <is>
          <t>been gone and it's not in direct</t>
        </is>
      </c>
      <c r="D3262">
        <f>HYPERLINK("https://www.youtube.com/watch?v=YP9ioPU4v8Y&amp;t=385s", "Go to time")</f>
        <v/>
      </c>
    </row>
    <row r="3263">
      <c r="A3263">
        <f>HYPERLINK("https://www.youtube.com/watch?v=TDVgfG2Iqs8", "Video")</f>
        <v/>
      </c>
      <c r="B3263" t="inlineStr">
        <is>
          <t>3:33</t>
        </is>
      </c>
      <c r="C3263" t="inlineStr">
        <is>
          <t>shadforth who is directing these</t>
        </is>
      </c>
      <c r="D3263">
        <f>HYPERLINK("https://www.youtube.com/watch?v=TDVgfG2Iqs8&amp;t=213s", "Go to time")</f>
        <v/>
      </c>
    </row>
    <row r="3264">
      <c r="A3264">
        <f>HYPERLINK("https://www.youtube.com/watch?v=TDVgfG2Iqs8", "Video")</f>
        <v/>
      </c>
      <c r="B3264" t="inlineStr">
        <is>
          <t>4:53</t>
        </is>
      </c>
      <c r="C3264" t="inlineStr">
        <is>
          <t>I really benefit from a director going</t>
        </is>
      </c>
      <c r="D3264">
        <f>HYPERLINK("https://www.youtube.com/watch?v=TDVgfG2Iqs8&amp;t=293s", "Go to time")</f>
        <v/>
      </c>
    </row>
    <row r="3265">
      <c r="A3265">
        <f>HYPERLINK("https://www.youtube.com/watch?v=96nZqtZWJE0", "Video")</f>
        <v/>
      </c>
      <c r="B3265" t="inlineStr">
        <is>
          <t>5:22</t>
        </is>
      </c>
      <c r="C3265" t="inlineStr">
        <is>
          <t>direction. He solved the case and rocked it</t>
        </is>
      </c>
      <c r="D3265">
        <f>HYPERLINK("https://www.youtube.com/watch?v=96nZqtZWJE0&amp;t=322s", "Go to time")</f>
        <v/>
      </c>
    </row>
    <row r="3266">
      <c r="A3266">
        <f>HYPERLINK("https://www.youtube.com/watch?v=c1sAbrTVL3o", "Video")</f>
        <v/>
      </c>
      <c r="B3266" t="inlineStr">
        <is>
          <t>11:34</t>
        </is>
      </c>
      <c r="C3266" t="inlineStr">
        <is>
          <t>already directing okay just put that</t>
        </is>
      </c>
      <c r="D3266">
        <f>HYPERLINK("https://www.youtube.com/watch?v=c1sAbrTVL3o&amp;t=694s", "Go to time")</f>
        <v/>
      </c>
    </row>
    <row r="3267">
      <c r="A3267">
        <f>HYPERLINK("https://www.youtube.com/watch?v=rlxkBUppXVc", "Video")</f>
        <v/>
      </c>
      <c r="B3267" t="inlineStr">
        <is>
          <t>3:04</t>
        </is>
      </c>
      <c r="C3267" t="inlineStr">
        <is>
          <t>Just and and going along with the direction of the conversation.</t>
        </is>
      </c>
      <c r="D3267">
        <f>HYPERLINK("https://www.youtube.com/watch?v=rlxkBUppXVc&amp;t=184s", "Go to time")</f>
        <v/>
      </c>
    </row>
    <row r="3268">
      <c r="A3268">
        <f>HYPERLINK("https://www.youtube.com/watch?v=0u2w6JhycoM", "Video")</f>
        <v/>
      </c>
      <c r="B3268" t="inlineStr">
        <is>
          <t>0:24</t>
        </is>
      </c>
      <c r="C3268" t="inlineStr">
        <is>
          <t>level it's great to direct action that</t>
        </is>
      </c>
      <c r="D3268">
        <f>HYPERLINK("https://www.youtube.com/watch?v=0u2w6JhycoM&amp;t=24s", "Go to time")</f>
        <v/>
      </c>
    </row>
    <row r="3269">
      <c r="A3269">
        <f>HYPERLINK("https://www.youtube.com/watch?v=M5gTs7w85W8", "Video")</f>
        <v/>
      </c>
      <c r="B3269" t="inlineStr">
        <is>
          <t>1:05</t>
        </is>
      </c>
      <c r="C3269" t="inlineStr">
        <is>
          <t>Right. I mean, we could be going in one
direction on a project, and then the</t>
        </is>
      </c>
      <c r="D3269">
        <f>HYPERLINK("https://www.youtube.com/watch?v=M5gTs7w85W8&amp;t=65s", "Go to time")</f>
        <v/>
      </c>
    </row>
    <row r="3270">
      <c r="A3270">
        <f>HYPERLINK("https://www.youtube.com/watch?v=W_NznKr3h_Q", "Video")</f>
        <v/>
      </c>
      <c r="B3270" t="inlineStr">
        <is>
          <t>7:11</t>
        </is>
      </c>
      <c r="C3270" t="inlineStr">
        <is>
          <t>own which means randy is the only direct</t>
        </is>
      </c>
      <c r="D3270">
        <f>HYPERLINK("https://www.youtube.com/watch?v=W_NznKr3h_Q&amp;t=431s", "Go to time")</f>
        <v/>
      </c>
    </row>
    <row r="3271">
      <c r="A3271">
        <f>HYPERLINK("https://www.youtube.com/watch?v=WDQot_QAe3o", "Video")</f>
        <v/>
      </c>
      <c r="B3271" t="inlineStr">
        <is>
          <t>3:31</t>
        </is>
      </c>
      <c r="C3271" t="inlineStr">
        <is>
          <t>direct correlation on my mother's</t>
        </is>
      </c>
      <c r="D3271">
        <f>HYPERLINK("https://www.youtube.com/watch?v=WDQot_QAe3o&amp;t=211s", "Go to time")</f>
        <v/>
      </c>
    </row>
    <row r="3272">
      <c r="A3272">
        <f>HYPERLINK("https://www.youtube.com/watch?v=O1whGHtAJuo", "Video")</f>
        <v/>
      </c>
      <c r="B3272" t="inlineStr">
        <is>
          <t>1:12</t>
        </is>
      </c>
      <c r="C3272" t="inlineStr">
        <is>
          <t>so Zeta is spoke to me directly said</t>
        </is>
      </c>
      <c r="D3272">
        <f>HYPERLINK("https://www.youtube.com/watch?v=O1whGHtAJuo&amp;t=72s", "Go to time")</f>
        <v/>
      </c>
    </row>
    <row r="3273">
      <c r="A3273">
        <f>HYPERLINK("https://www.youtube.com/watch?v=f7WvckWdv1A", "Video")</f>
        <v/>
      </c>
      <c r="B3273" t="inlineStr">
        <is>
          <t>2:26</t>
        </is>
      </c>
      <c r="C3273" t="inlineStr">
        <is>
          <t>leaves in various directions life guides</t>
        </is>
      </c>
      <c r="D3273">
        <f>HYPERLINK("https://www.youtube.com/watch?v=f7WvckWdv1A&amp;t=146s", "Go to time")</f>
        <v/>
      </c>
    </row>
    <row r="3274">
      <c r="A3274">
        <f>HYPERLINK("https://www.youtube.com/watch?v=Rbncvb9BBkQ", "Video")</f>
        <v/>
      </c>
      <c r="B3274" t="inlineStr">
        <is>
          <t>1:00</t>
        </is>
      </c>
      <c r="C3274" t="inlineStr">
        <is>
          <t>direction let's look at some real</t>
        </is>
      </c>
      <c r="D3274">
        <f>HYPERLINK("https://www.youtube.com/watch?v=Rbncvb9BBkQ&amp;t=60s", "Go to time")</f>
        <v/>
      </c>
    </row>
    <row r="3275">
      <c r="A3275">
        <f>HYPERLINK("https://www.youtube.com/watch?v=dyRfK_j98-M", "Video")</f>
        <v/>
      </c>
      <c r="B3275" t="inlineStr">
        <is>
          <t>2:40</t>
        </is>
      </c>
      <c r="C3275" t="inlineStr">
        <is>
          <t>nowhere near as dire you have no idea</t>
        </is>
      </c>
      <c r="D3275">
        <f>HYPERLINK("https://www.youtube.com/watch?v=dyRfK_j98-M&amp;t=160s", "Go to time")</f>
        <v/>
      </c>
    </row>
    <row r="3276">
      <c r="A3276">
        <f>HYPERLINK("https://www.youtube.com/watch?v=zQA8-dUL0-k", "Video")</f>
        <v/>
      </c>
      <c r="B3276" t="inlineStr">
        <is>
          <t>16:32</t>
        </is>
      </c>
      <c r="C3276" t="inlineStr">
        <is>
          <t>a radio announcer and producer director</t>
        </is>
      </c>
      <c r="D3276">
        <f>HYPERLINK("https://www.youtube.com/watch?v=zQA8-dUL0-k&amp;t=992s", "Go to time")</f>
        <v/>
      </c>
    </row>
    <row r="3277">
      <c r="A3277">
        <f>HYPERLINK("https://www.youtube.com/watch?v=CMqQIhoYihk", "Video")</f>
        <v/>
      </c>
      <c r="B3277" t="inlineStr">
        <is>
          <t>12:14</t>
        </is>
      </c>
      <c r="C3277" t="inlineStr">
        <is>
          <t>direct towards resources I think as well</t>
        </is>
      </c>
      <c r="D3277">
        <f>HYPERLINK("https://www.youtube.com/watch?v=CMqQIhoYihk&amp;t=734s", "Go to time")</f>
        <v/>
      </c>
    </row>
    <row r="3278">
      <c r="A3278">
        <f>HYPERLINK("https://www.youtube.com/watch?v=CMqQIhoYihk", "Video")</f>
        <v/>
      </c>
      <c r="B3278" t="inlineStr">
        <is>
          <t>14:48</t>
        </is>
      </c>
      <c r="C3278" t="inlineStr">
        <is>
          <t>pushing people in a certain direction</t>
        </is>
      </c>
      <c r="D3278">
        <f>HYPERLINK("https://www.youtube.com/watch?v=CMqQIhoYihk&amp;t=888s", "Go to time")</f>
        <v/>
      </c>
    </row>
    <row r="3279">
      <c r="A3279">
        <f>HYPERLINK("https://www.youtube.com/watch?v=CMqQIhoYihk", "Video")</f>
        <v/>
      </c>
      <c r="B3279" t="inlineStr">
        <is>
          <t>15:26</t>
        </is>
      </c>
      <c r="C3279" t="inlineStr">
        <is>
          <t>getting too prescriptive or directive</t>
        </is>
      </c>
      <c r="D3279">
        <f>HYPERLINK("https://www.youtube.com/watch?v=CMqQIhoYihk&amp;t=926s", "Go to time")</f>
        <v/>
      </c>
    </row>
    <row r="3280">
      <c r="A3280">
        <f>HYPERLINK("https://www.youtube.com/watch?v=CMqQIhoYihk", "Video")</f>
        <v/>
      </c>
      <c r="B3280" t="inlineStr">
        <is>
          <t>15:35</t>
        </is>
      </c>
      <c r="C3280" t="inlineStr">
        <is>
          <t>direction</t>
        </is>
      </c>
      <c r="D3280">
        <f>HYPERLINK("https://www.youtube.com/watch?v=CMqQIhoYihk&amp;t=935s", "Go to time")</f>
        <v/>
      </c>
    </row>
    <row r="3281">
      <c r="A3281">
        <f>HYPERLINK("https://www.youtube.com/watch?v=CMqQIhoYihk", "Video")</f>
        <v/>
      </c>
      <c r="B3281" t="inlineStr">
        <is>
          <t>24:22</t>
        </is>
      </c>
      <c r="C3281" t="inlineStr">
        <is>
          <t>directing you where to go I think is</t>
        </is>
      </c>
      <c r="D3281">
        <f>HYPERLINK("https://www.youtube.com/watch?v=CMqQIhoYihk&amp;t=1462s", "Go to time")</f>
        <v/>
      </c>
    </row>
    <row r="3282">
      <c r="A3282">
        <f>HYPERLINK("https://www.youtube.com/watch?v=CMqQIhoYihk", "Video")</f>
        <v/>
      </c>
      <c r="B3282" t="inlineStr">
        <is>
          <t>30:41</t>
        </is>
      </c>
      <c r="C3282" t="inlineStr">
        <is>
          <t>really quickly and it's directed towards</t>
        </is>
      </c>
      <c r="D3282">
        <f>HYPERLINK("https://www.youtube.com/watch?v=CMqQIhoYihk&amp;t=1841s", "Go to time")</f>
        <v/>
      </c>
    </row>
    <row r="3283">
      <c r="A3283">
        <f>HYPERLINK("https://www.youtube.com/watch?v=CMqQIhoYihk", "Video")</f>
        <v/>
      </c>
      <c r="B3283" t="inlineStr">
        <is>
          <t>38:30</t>
        </is>
      </c>
      <c r="C3283" t="inlineStr">
        <is>
          <t>direct them in a certain direction it</t>
        </is>
      </c>
      <c r="D3283">
        <f>HYPERLINK("https://www.youtube.com/watch?v=CMqQIhoYihk&amp;t=2310s", "Go to time")</f>
        <v/>
      </c>
    </row>
    <row r="3284">
      <c r="A3284">
        <f>HYPERLINK("https://www.youtube.com/watch?v=CMqQIhoYihk", "Video")</f>
        <v/>
      </c>
      <c r="B3284" t="inlineStr">
        <is>
          <t>41:29</t>
        </is>
      </c>
      <c r="C3284" t="inlineStr">
        <is>
          <t>direction that I want this relationship</t>
        </is>
      </c>
      <c r="D3284">
        <f>HYPERLINK("https://www.youtube.com/watch?v=CMqQIhoYihk&amp;t=2489s", "Go to time")</f>
        <v/>
      </c>
    </row>
    <row r="3285">
      <c r="A3285">
        <f>HYPERLINK("https://www.youtube.com/watch?v=-0S4I18NumI", "Video")</f>
        <v/>
      </c>
      <c r="B3285" t="inlineStr">
        <is>
          <t>2:15</t>
        </is>
      </c>
      <c r="C3285" t="inlineStr">
        <is>
          <t>crosses the line by giving you direct</t>
        </is>
      </c>
      <c r="D3285">
        <f>HYPERLINK("https://www.youtube.com/watch?v=-0S4I18NumI&amp;t=135s", "Go to time")</f>
        <v/>
      </c>
    </row>
    <row r="3286">
      <c r="A3286">
        <f>HYPERLINK("https://www.youtube.com/watch?v=Vl5Kg-Pw3aE", "Video")</f>
        <v/>
      </c>
      <c r="B3286" t="inlineStr">
        <is>
          <t>1:40</t>
        </is>
      </c>
      <c r="C3286" t="inlineStr">
        <is>
          <t>sound like a direct path to a personal</t>
        </is>
      </c>
      <c r="D3286">
        <f>HYPERLINK("https://www.youtube.com/watch?v=Vl5Kg-Pw3aE&amp;t=100s", "Go to time")</f>
        <v/>
      </c>
    </row>
    <row r="3287">
      <c r="A3287">
        <f>HYPERLINK("https://www.youtube.com/watch?v=L7CnRgnceW4", "Video")</f>
        <v/>
      </c>
      <c r="B3287" t="inlineStr">
        <is>
          <t>5:02</t>
        </is>
      </c>
      <c r="C3287" t="inlineStr">
        <is>
          <t>in a slightly different direction</t>
        </is>
      </c>
      <c r="D3287">
        <f>HYPERLINK("https://www.youtube.com/watch?v=L7CnRgnceW4&amp;t=302s", "Go to time")</f>
        <v/>
      </c>
    </row>
    <row r="3288">
      <c r="A3288">
        <f>HYPERLINK("https://www.youtube.com/watch?v=H9F_cUUORVE", "Video")</f>
        <v/>
      </c>
      <c r="B3288" t="inlineStr">
        <is>
          <t>6:38</t>
        </is>
      </c>
      <c r="C3288" t="inlineStr">
        <is>
          <t>and redirect your focus to your own growth</t>
        </is>
      </c>
      <c r="D3288">
        <f>HYPERLINK("https://www.youtube.com/watch?v=H9F_cUUORVE&amp;t=398s", "Go to time")</f>
        <v/>
      </c>
    </row>
    <row r="3289">
      <c r="A3289">
        <f>HYPERLINK("https://www.youtube.com/watch?v=ic8cgJoGksQ", "Video")</f>
        <v/>
      </c>
      <c r="B3289" t="inlineStr">
        <is>
          <t>2:02</t>
        </is>
      </c>
      <c r="C3289" t="inlineStr">
        <is>
          <t>include ironic compliments direct and</t>
        </is>
      </c>
      <c r="D3289">
        <f>HYPERLINK("https://www.youtube.com/watch?v=ic8cgJoGksQ&amp;t=122s", "Go to time")</f>
        <v/>
      </c>
    </row>
    <row r="3290">
      <c r="A3290">
        <f>HYPERLINK("https://www.youtube.com/watch?v=3mPnWwxaRq0", "Video")</f>
        <v/>
      </c>
      <c r="B3290" t="inlineStr">
        <is>
          <t>3:46</t>
        </is>
      </c>
      <c r="C3290" t="inlineStr">
        <is>
          <t>direct with their feelings of
en this can come in the form</t>
        </is>
      </c>
      <c r="D3290">
        <f>HYPERLINK("https://www.youtube.com/watch?v=3mPnWwxaRq0&amp;t=226s", "Go to time")</f>
        <v/>
      </c>
    </row>
    <row r="3291">
      <c r="A3291">
        <f>HYPERLINK("https://www.youtube.com/watch?v=AdIaRGT50LI", "Video")</f>
        <v/>
      </c>
      <c r="B3291" t="inlineStr">
        <is>
          <t>6:42</t>
        </is>
      </c>
      <c r="C3291" t="inlineStr">
        <is>
          <t>or updates that are not directed to</t>
        </is>
      </c>
      <c r="D3291">
        <f>HYPERLINK("https://www.youtube.com/watch?v=AdIaRGT50LI&amp;t=402s", "Go to time")</f>
        <v/>
      </c>
    </row>
    <row r="3292">
      <c r="A3292">
        <f>HYPERLINK("https://www.youtube.com/watch?v=7IsdSZGsXiE", "Video")</f>
        <v/>
      </c>
      <c r="B3292" t="inlineStr">
        <is>
          <t>0:12</t>
        </is>
      </c>
      <c r="C3292" t="inlineStr">
        <is>
          <t>One Direction when you think about</t>
        </is>
      </c>
      <c r="D3292">
        <f>HYPERLINK("https://www.youtube.com/watch?v=7IsdSZGsXiE&amp;t=12s", "Go to time")</f>
        <v/>
      </c>
    </row>
    <row r="3293">
      <c r="A3293">
        <f>HYPERLINK("https://www.youtube.com/watch?v=7IsdSZGsXiE", "Video")</f>
        <v/>
      </c>
      <c r="B3293" t="inlineStr">
        <is>
          <t>0:21</t>
        </is>
      </c>
      <c r="C3293" t="inlineStr">
        <is>
          <t>direction your crush is facing could be</t>
        </is>
      </c>
      <c r="D3293">
        <f>HYPERLINK("https://www.youtube.com/watch?v=7IsdSZGsXiE&amp;t=21s", "Go to time")</f>
        <v/>
      </c>
    </row>
    <row r="3294">
      <c r="A3294">
        <f>HYPERLINK("https://www.youtube.com/watch?v=7IsdSZGsXiE", "Video")</f>
        <v/>
      </c>
      <c r="B3294" t="inlineStr">
        <is>
          <t>0:29</t>
        </is>
      </c>
      <c r="C3294" t="inlineStr">
        <is>
          <t>Clinical Director at Mind by Design says</t>
        </is>
      </c>
      <c r="D3294">
        <f>HYPERLINK("https://www.youtube.com/watch?v=7IsdSZGsXiE&amp;t=29s", "Go to time")</f>
        <v/>
      </c>
    </row>
    <row r="3295">
      <c r="A3295">
        <f>HYPERLINK("https://www.youtube.com/watch?v=7IsdSZGsXiE", "Video")</f>
        <v/>
      </c>
      <c r="B3295" t="inlineStr">
        <is>
          <t>0:44</t>
        </is>
      </c>
      <c r="C3295" t="inlineStr">
        <is>
          <t>direction as someone shows that you're</t>
        </is>
      </c>
      <c r="D3295">
        <f>HYPERLINK("https://www.youtube.com/watch?v=7IsdSZGsXiE&amp;t=44s", "Go to time")</f>
        <v/>
      </c>
    </row>
    <row r="3296">
      <c r="A3296">
        <f>HYPERLINK("https://www.youtube.com/watch?v=7IsdSZGsXiE", "Video")</f>
        <v/>
      </c>
      <c r="B3296" t="inlineStr">
        <is>
          <t>2:16</t>
        </is>
      </c>
      <c r="C3296" t="inlineStr">
        <is>
          <t>the psychological bulletin direct body</t>
        </is>
      </c>
      <c r="D3296">
        <f>HYPERLINK("https://www.youtube.com/watch?v=7IsdSZGsXiE&amp;t=136s", "Go to time")</f>
        <v/>
      </c>
    </row>
    <row r="3297">
      <c r="A3297">
        <f>HYPERLINK("https://www.youtube.com/watch?v=7IsdSZGsXiE", "Video")</f>
        <v/>
      </c>
      <c r="B3297" t="inlineStr">
        <is>
          <t>2:26</t>
        </is>
      </c>
      <c r="C3297" t="inlineStr">
        <is>
          <t>attraction than indirect behaviors like</t>
        </is>
      </c>
      <c r="D3297">
        <f>HYPERLINK("https://www.youtube.com/watch?v=7IsdSZGsXiE&amp;t=146s", "Go to time")</f>
        <v/>
      </c>
    </row>
    <row r="3298">
      <c r="A3298">
        <f>HYPERLINK("https://www.youtube.com/watch?v=l_eQsQcc-l8", "Video")</f>
        <v/>
      </c>
      <c r="B3298" t="inlineStr">
        <is>
          <t>3:54</t>
        </is>
      </c>
      <c r="C3298" t="inlineStr">
        <is>
          <t>helpful direct communication is always</t>
        </is>
      </c>
      <c r="D3298">
        <f>HYPERLINK("https://www.youtube.com/watch?v=l_eQsQcc-l8&amp;t=234s", "Go to time")</f>
        <v/>
      </c>
    </row>
    <row r="3299">
      <c r="A3299">
        <f>HYPERLINK("https://www.youtube.com/watch?v=0pzu-OTmKIE", "Video")</f>
        <v/>
      </c>
      <c r="B3299" t="inlineStr">
        <is>
          <t>0:11</t>
        </is>
      </c>
      <c r="C3299" t="inlineStr">
        <is>
          <t>blunt and tell you directly which in</t>
        </is>
      </c>
      <c r="D3299">
        <f>HYPERLINK("https://www.youtube.com/watch?v=0pzu-OTmKIE&amp;t=11s", "Go to time")</f>
        <v/>
      </c>
    </row>
    <row r="3300">
      <c r="A3300">
        <f>HYPERLINK("https://www.youtube.com/watch?v=jLnx9NO0VoA", "Video")</f>
        <v/>
      </c>
      <c r="B3300" t="inlineStr">
        <is>
          <t>1:49</t>
        </is>
      </c>
      <c r="C3300" t="inlineStr">
        <is>
          <t>directly against your beliefs and</t>
        </is>
      </c>
      <c r="D3300">
        <f>HYPERLINK("https://www.youtube.com/watch?v=jLnx9NO0VoA&amp;t=109s", "Go to time")</f>
        <v/>
      </c>
    </row>
    <row r="3301">
      <c r="A3301">
        <f>HYPERLINK("https://www.youtube.com/watch?v=EaK54Et_xQw", "Video")</f>
        <v/>
      </c>
      <c r="B3301" t="inlineStr">
        <is>
          <t>1:22</t>
        </is>
      </c>
      <c r="C3301" t="inlineStr">
        <is>
          <t>conversation's direction the problem is</t>
        </is>
      </c>
      <c r="D3301">
        <f>HYPERLINK("https://www.youtube.com/watch?v=EaK54Et_xQw&amp;t=82s", "Go to time")</f>
        <v/>
      </c>
    </row>
    <row r="3302">
      <c r="A3302">
        <f>HYPERLINK("https://www.youtube.com/watch?v=EaK54Et_xQw", "Video")</f>
        <v/>
      </c>
      <c r="B3302" t="inlineStr">
        <is>
          <t>1:42</t>
        </is>
      </c>
      <c r="C3302" t="inlineStr">
        <is>
          <t>film directors CEOs and Retail managers</t>
        </is>
      </c>
      <c r="D3302">
        <f>HYPERLINK("https://www.youtube.com/watch?v=EaK54Et_xQw&amp;t=102s", "Go to time")</f>
        <v/>
      </c>
    </row>
    <row r="3303">
      <c r="A3303">
        <f>HYPERLINK("https://www.youtube.com/watch?v=DrwnDjB2buI", "Video")</f>
        <v/>
      </c>
      <c r="B3303" t="inlineStr">
        <is>
          <t>0:15</t>
        </is>
      </c>
      <c r="C3303" t="inlineStr">
        <is>
          <t>dire consequences for our well-being</t>
        </is>
      </c>
      <c r="D3303">
        <f>HYPERLINK("https://www.youtube.com/watch?v=DrwnDjB2buI&amp;t=15s", "Go to time")</f>
        <v/>
      </c>
    </row>
    <row r="3304">
      <c r="A3304">
        <f>HYPERLINK("https://www.youtube.com/watch?v=-pnZFAX4pDU", "Video")</f>
        <v/>
      </c>
      <c r="B3304" t="inlineStr">
        <is>
          <t>3:41</t>
        </is>
      </c>
      <c r="C3304" t="inlineStr">
        <is>
          <t>what happens when you can't directly</t>
        </is>
      </c>
      <c r="D3304">
        <f>HYPERLINK("https://www.youtube.com/watch?v=-pnZFAX4pDU&amp;t=221s", "Go to time")</f>
        <v/>
      </c>
    </row>
    <row r="3305">
      <c r="A3305">
        <f>HYPERLINK("https://www.youtube.com/watch?v=-pnZFAX4pDU", "Video")</f>
        <v/>
      </c>
      <c r="B3305" t="inlineStr">
        <is>
          <t>3:46</t>
        </is>
      </c>
      <c r="C3305" t="inlineStr">
        <is>
          <t>solution can sometimes be indirectly</t>
        </is>
      </c>
      <c r="D3305">
        <f>HYPERLINK("https://www.youtube.com/watch?v=-pnZFAX4pDU&amp;t=226s", "Go to time")</f>
        <v/>
      </c>
    </row>
    <row r="3306">
      <c r="A3306">
        <f>HYPERLINK("https://www.youtube.com/watch?v=f1M4pQy3_fE", "Video")</f>
        <v/>
      </c>
      <c r="B3306" t="inlineStr">
        <is>
          <t>4:28</t>
        </is>
      </c>
      <c r="C3306" t="inlineStr">
        <is>
          <t>one who's directly impacted by it seeing</t>
        </is>
      </c>
      <c r="D3306">
        <f>HYPERLINK("https://www.youtube.com/watch?v=f1M4pQy3_fE&amp;t=268s", "Go to time")</f>
        <v/>
      </c>
    </row>
    <row r="3307">
      <c r="A3307">
        <f>HYPERLINK("https://www.youtube.com/watch?v=_w6lso6YZRs", "Video")</f>
        <v/>
      </c>
      <c r="B3307" t="inlineStr">
        <is>
          <t>0:36</t>
        </is>
      </c>
      <c r="C3307" t="inlineStr">
        <is>
          <t>direction such as having their
feet pointed towards you?</t>
        </is>
      </c>
      <c r="D3307">
        <f>HYPERLINK("https://www.youtube.com/watch?v=_w6lso6YZRs&amp;t=36s", "Go to time")</f>
        <v/>
      </c>
    </row>
    <row r="3308">
      <c r="A3308">
        <f>HYPERLINK("https://www.youtube.com/watch?v=vK0UjNH2Y10", "Video")</f>
        <v/>
      </c>
      <c r="B3308" t="inlineStr">
        <is>
          <t>2:39</t>
        </is>
      </c>
      <c r="C3308" t="inlineStr">
        <is>
          <t>direction couple's therapist Terry</t>
        </is>
      </c>
      <c r="D3308">
        <f>HYPERLINK("https://www.youtube.com/watch?v=vK0UjNH2Y10&amp;t=159s", "Go to time")</f>
        <v/>
      </c>
    </row>
    <row r="3309">
      <c r="A3309">
        <f>HYPERLINK("https://www.youtube.com/watch?v=QHq_MEfl3IM", "Video")</f>
        <v/>
      </c>
      <c r="B3309" t="inlineStr">
        <is>
          <t>2:43</t>
        </is>
      </c>
      <c r="C3309" t="inlineStr">
        <is>
          <t>often directed away from themselves</t>
        </is>
      </c>
      <c r="D3309">
        <f>HYPERLINK("https://www.youtube.com/watch?v=QHq_MEfl3IM&amp;t=163s", "Go to time")</f>
        <v/>
      </c>
    </row>
    <row r="3310">
      <c r="A3310">
        <f>HYPERLINK("https://www.youtube.com/watch?v=V0vW9Uzk-k8", "Video")</f>
        <v/>
      </c>
      <c r="B3310" t="inlineStr">
        <is>
          <t>1:31</t>
        </is>
      </c>
      <c r="C3310" t="inlineStr">
        <is>
          <t>particular directions but you are the</t>
        </is>
      </c>
      <c r="D3310">
        <f>HYPERLINK("https://www.youtube.com/watch?v=V0vW9Uzk-k8&amp;t=91s", "Go to time")</f>
        <v/>
      </c>
    </row>
    <row r="3311">
      <c r="A3311">
        <f>HYPERLINK("https://www.youtube.com/watch?v=V0vW9Uzk-k8", "Video")</f>
        <v/>
      </c>
      <c r="B3311" t="inlineStr">
        <is>
          <t>4:09</t>
        </is>
      </c>
      <c r="C3311" t="inlineStr">
        <is>
          <t>right direction giving some general but</t>
        </is>
      </c>
      <c r="D3311">
        <f>HYPERLINK("https://www.youtube.com/watch?v=V0vW9Uzk-k8&amp;t=249s", "Go to time")</f>
        <v/>
      </c>
    </row>
    <row r="3312">
      <c r="A3312">
        <f>HYPERLINK("https://www.youtube.com/watch?v=8adZkUt6oZk", "Video")</f>
        <v/>
      </c>
      <c r="B3312" t="inlineStr">
        <is>
          <t>2:41</t>
        </is>
      </c>
      <c r="C3312" t="inlineStr">
        <is>
          <t>grow and change in different directions</t>
        </is>
      </c>
      <c r="D3312">
        <f>HYPERLINK("https://www.youtube.com/watch?v=8adZkUt6oZk&amp;t=161s", "Go to time")</f>
        <v/>
      </c>
    </row>
    <row r="3313">
      <c r="A3313">
        <f>HYPERLINK("https://www.youtube.com/watch?v=7R9MaGHAfUs", "Video")</f>
        <v/>
      </c>
      <c r="B3313" t="inlineStr">
        <is>
          <t>1:46</t>
        </is>
      </c>
      <c r="C3313" t="inlineStr">
        <is>
          <t>necessary it also works as a direct</t>
        </is>
      </c>
      <c r="D3313">
        <f>HYPERLINK("https://www.youtube.com/watch?v=7R9MaGHAfUs&amp;t=106s", "Go to time")</f>
        <v/>
      </c>
    </row>
    <row r="3314">
      <c r="A3314">
        <f>HYPERLINK("https://www.youtube.com/watch?v=SNLGu_NA2EE", "Video")</f>
        <v/>
      </c>
      <c r="B3314" t="inlineStr">
        <is>
          <t>4:24</t>
        </is>
      </c>
      <c r="C3314" t="inlineStr">
        <is>
          <t>could this truly possibly be directly my</t>
        </is>
      </c>
      <c r="D3314">
        <f>HYPERLINK("https://www.youtube.com/watch?v=SNLGu_NA2EE&amp;t=264s", "Go to time")</f>
        <v/>
      </c>
    </row>
    <row r="3315">
      <c r="A3315">
        <f>HYPERLINK("https://www.youtube.com/watch?v=FCLaCswy6lI", "Video")</f>
        <v/>
      </c>
      <c r="B3315" t="inlineStr">
        <is>
          <t>1:37</t>
        </is>
      </c>
      <c r="C3315" t="inlineStr">
        <is>
          <t>anxieties are directed towards whether</t>
        </is>
      </c>
      <c r="D3315">
        <f>HYPERLINK("https://www.youtube.com/watch?v=FCLaCswy6lI&amp;t=97s", "Go to time")</f>
        <v/>
      </c>
    </row>
    <row r="3316">
      <c r="A3316">
        <f>HYPERLINK("https://www.youtube.com/watch?v=HvwZ-npV1vQ", "Video")</f>
        <v/>
      </c>
      <c r="B3316" t="inlineStr">
        <is>
          <t>2:33</t>
        </is>
      </c>
      <c r="C3316" t="inlineStr">
        <is>
          <t>Pay close attention to the
direction their body is facing.</t>
        </is>
      </c>
      <c r="D3316">
        <f>HYPERLINK("https://www.youtube.com/watch?v=HvwZ-npV1vQ&amp;t=153s", "Go to time")</f>
        <v/>
      </c>
    </row>
    <row r="3317">
      <c r="A3317">
        <f>HYPERLINK("https://www.youtube.com/watch?v=yj9KvpJfmp4", "Video")</f>
        <v/>
      </c>
      <c r="B3317" t="inlineStr">
        <is>
          <t>0:15</t>
        </is>
      </c>
      <c r="C3317" t="inlineStr">
        <is>
          <t>direct</t>
        </is>
      </c>
      <c r="D3317">
        <f>HYPERLINK("https://www.youtube.com/watch?v=yj9KvpJfmp4&amp;t=15s", "Go to time")</f>
        <v/>
      </c>
    </row>
    <row r="3318">
      <c r="A3318">
        <f>HYPERLINK("https://www.youtube.com/watch?v=yj9KvpJfmp4", "Video")</f>
        <v/>
      </c>
      <c r="B3318" t="inlineStr">
        <is>
          <t>2:06</t>
        </is>
      </c>
      <c r="C3318" t="inlineStr">
        <is>
          <t>directly in front of them results showed</t>
        </is>
      </c>
      <c r="D3318">
        <f>HYPERLINK("https://www.youtube.com/watch?v=yj9KvpJfmp4&amp;t=126s", "Go to time")</f>
        <v/>
      </c>
    </row>
    <row r="3319">
      <c r="A3319">
        <f>HYPERLINK("https://www.youtube.com/watch?v=alc1NLeYTco", "Video")</f>
        <v/>
      </c>
      <c r="B3319" t="inlineStr">
        <is>
          <t>2:26</t>
        </is>
      </c>
      <c r="C3319" t="inlineStr">
        <is>
          <t>Memories by directing your anger and</t>
        </is>
      </c>
      <c r="D3319">
        <f>HYPERLINK("https://www.youtube.com/watch?v=alc1NLeYTco&amp;t=146s", "Go to time")</f>
        <v/>
      </c>
    </row>
    <row r="3320">
      <c r="A3320">
        <f>HYPERLINK("https://www.youtube.com/watch?v=SSQfMePNIOg", "Video")</f>
        <v/>
      </c>
      <c r="B3320" t="inlineStr">
        <is>
          <t>2:18</t>
        </is>
      </c>
      <c r="C3320" t="inlineStr">
        <is>
          <t>growing in different directions</t>
        </is>
      </c>
      <c r="D3320">
        <f>HYPERLINK("https://www.youtube.com/watch?v=SSQfMePNIOg&amp;t=138s", "Go to time")</f>
        <v/>
      </c>
    </row>
    <row r="3321">
      <c r="A3321">
        <f>HYPERLINK("https://www.youtube.com/watch?v=aOFjwx3ccug", "Video")</f>
        <v/>
      </c>
      <c r="B3321" t="inlineStr">
        <is>
          <t>2:37</t>
        </is>
      </c>
      <c r="C3321" t="inlineStr">
        <is>
          <t>as you all head off in
your own directions.</t>
        </is>
      </c>
      <c r="D3321">
        <f>HYPERLINK("https://www.youtube.com/watch?v=aOFjwx3ccug&amp;t=157s", "Go to time")</f>
        <v/>
      </c>
    </row>
    <row r="3322">
      <c r="A3322">
        <f>HYPERLINK("https://www.youtube.com/watch?v=nDscMFj-XuQ", "Video")</f>
        <v/>
      </c>
      <c r="B3322" t="inlineStr">
        <is>
          <t>0:59</t>
        </is>
      </c>
      <c r="C3322" t="inlineStr">
        <is>
          <t>directly confronted with it they might</t>
        </is>
      </c>
      <c r="D3322">
        <f>HYPERLINK("https://www.youtube.com/watch?v=nDscMFj-XuQ&amp;t=59s", "Go to time")</f>
        <v/>
      </c>
    </row>
    <row r="3323">
      <c r="A3323">
        <f>HYPERLINK("https://www.youtube.com/watch?v=3Z2LZ-qouhQ", "Video")</f>
        <v/>
      </c>
      <c r="B3323" t="inlineStr">
        <is>
          <t>5:35</t>
        </is>
      </c>
      <c r="C3323" t="inlineStr">
        <is>
          <t>to indirectly support our videos</t>
        </is>
      </c>
      <c r="D3323">
        <f>HYPERLINK("https://www.youtube.com/watch?v=3Z2LZ-qouhQ&amp;t=335s", "Go to time")</f>
        <v/>
      </c>
    </row>
    <row r="3324">
      <c r="A3324">
        <f>HYPERLINK("https://www.youtube.com/watch?v=jtkJoapTA4Y", "Video")</f>
        <v/>
      </c>
      <c r="B3324" t="inlineStr">
        <is>
          <t>4:03</t>
        </is>
      </c>
      <c r="C3324" t="inlineStr">
        <is>
          <t>directly without using silence as a</t>
        </is>
      </c>
      <c r="D3324">
        <f>HYPERLINK("https://www.youtube.com/watch?v=jtkJoapTA4Y&amp;t=243s", "Go to time")</f>
        <v/>
      </c>
    </row>
    <row r="3325">
      <c r="A3325">
        <f>HYPERLINK("https://www.youtube.com/watch?v=vfhQvGWpNsQ", "Video")</f>
        <v/>
      </c>
      <c r="B3325" t="inlineStr">
        <is>
          <t>2:16</t>
        </is>
      </c>
      <c r="C3325" t="inlineStr">
        <is>
          <t>steps in the right direction you're</t>
        </is>
      </c>
      <c r="D3325">
        <f>HYPERLINK("https://www.youtube.com/watch?v=vfhQvGWpNsQ&amp;t=136s", "Go to time")</f>
        <v/>
      </c>
    </row>
    <row r="3326">
      <c r="A3326">
        <f>HYPERLINK("https://www.youtube.com/watch?v=vfhQvGWpNsQ", "Video")</f>
        <v/>
      </c>
      <c r="B3326" t="inlineStr">
        <is>
          <t>4:43</t>
        </is>
      </c>
      <c r="C3326" t="inlineStr">
        <is>
          <t>direction</t>
        </is>
      </c>
      <c r="D3326">
        <f>HYPERLINK("https://www.youtube.com/watch?v=vfhQvGWpNsQ&amp;t=283s", "Go to time")</f>
        <v/>
      </c>
    </row>
    <row r="3327">
      <c r="A3327">
        <f>HYPERLINK("https://www.youtube.com/watch?v=2CmQV8Sie5o", "Video")</f>
        <v/>
      </c>
      <c r="B3327" t="inlineStr">
        <is>
          <t>3:06</t>
        </is>
      </c>
      <c r="C3327" t="inlineStr">
        <is>
          <t>way to direct attention onto themselves</t>
        </is>
      </c>
      <c r="D3327">
        <f>HYPERLINK("https://www.youtube.com/watch?v=2CmQV8Sie5o&amp;t=186s", "Go to time")</f>
        <v/>
      </c>
    </row>
    <row r="3328">
      <c r="A3328">
        <f>HYPERLINK("https://www.youtube.com/watch?v=2CmQV8Sie5o", "Video")</f>
        <v/>
      </c>
      <c r="B3328" t="inlineStr">
        <is>
          <t>5:10</t>
        </is>
      </c>
      <c r="C3328" t="inlineStr">
        <is>
          <t>depression is not only directly caused</t>
        </is>
      </c>
      <c r="D3328">
        <f>HYPERLINK("https://www.youtube.com/watch?v=2CmQV8Sie5o&amp;t=310s", "Go to time")</f>
        <v/>
      </c>
    </row>
    <row r="3329">
      <c r="A3329">
        <f>HYPERLINK("https://www.youtube.com/watch?v=b87lz13Tv9Q", "Video")</f>
        <v/>
      </c>
      <c r="B3329" t="inlineStr">
        <is>
          <t>2:48</t>
        </is>
      </c>
      <c r="C3329" t="inlineStr">
        <is>
          <t>a sense of direction so you're not left</t>
        </is>
      </c>
      <c r="D3329">
        <f>HYPERLINK("https://www.youtube.com/watch?v=b87lz13Tv9Q&amp;t=168s", "Go to time")</f>
        <v/>
      </c>
    </row>
    <row r="3330">
      <c r="A3330">
        <f>HYPERLINK("https://www.youtube.com/watch?v=5jR6oIewZjo", "Video")</f>
        <v/>
      </c>
      <c r="B3330" t="inlineStr">
        <is>
          <t>3:07</t>
        </is>
      </c>
      <c r="C3330" t="inlineStr">
        <is>
          <t>direction wondering how find meaning in</t>
        </is>
      </c>
      <c r="D3330">
        <f>HYPERLINK("https://www.youtube.com/watch?v=5jR6oIewZjo&amp;t=187s", "Go to time")</f>
        <v/>
      </c>
    </row>
    <row r="3331">
      <c r="A3331">
        <f>HYPERLINK("https://www.youtube.com/watch?v=9AFdVOI0jdw", "Video")</f>
        <v/>
      </c>
      <c r="B3331" t="inlineStr">
        <is>
          <t>3:13</t>
        </is>
      </c>
      <c r="C3331" t="inlineStr">
        <is>
          <t>that directly speak to your interests.</t>
        </is>
      </c>
      <c r="D3331">
        <f>HYPERLINK("https://www.youtube.com/watch?v=9AFdVOI0jdw&amp;t=193s", "Go to time")</f>
        <v/>
      </c>
    </row>
    <row r="3332">
      <c r="A3332">
        <f>HYPERLINK("https://www.youtube.com/watch?v=OBnD6vHliqY", "Video")</f>
        <v/>
      </c>
      <c r="B3332" t="inlineStr">
        <is>
          <t>8:34</t>
        </is>
      </c>
      <c r="C3332" t="inlineStr">
        <is>
          <t>redirecting your energy towards</t>
        </is>
      </c>
      <c r="D3332">
        <f>HYPERLINK("https://www.youtube.com/watch?v=OBnD6vHliqY&amp;t=514s", "Go to time")</f>
        <v/>
      </c>
    </row>
    <row r="3333">
      <c r="A3333">
        <f>HYPERLINK("https://www.youtube.com/watch?v=1_RW96MBGME", "Video")</f>
        <v/>
      </c>
      <c r="B3333" t="inlineStr">
        <is>
          <t>3:53</t>
        </is>
      </c>
      <c r="C3333" t="inlineStr">
        <is>
          <t>the therapy should directly address</t>
        </is>
      </c>
      <c r="D3333">
        <f>HYPERLINK("https://www.youtube.com/watch?v=1_RW96MBGME&amp;t=233s", "Go to time")</f>
        <v/>
      </c>
    </row>
    <row r="3334">
      <c r="A3334">
        <f>HYPERLINK("https://www.youtube.com/watch?v=1_RW96MBGME", "Video")</f>
        <v/>
      </c>
      <c r="B3334" t="inlineStr">
        <is>
          <t>4:08</t>
        </is>
      </c>
      <c r="C3334" t="inlineStr">
        <is>
          <t>patients because they deal directly with</t>
        </is>
      </c>
      <c r="D3334">
        <f>HYPERLINK("https://www.youtube.com/watch?v=1_RW96MBGME&amp;t=248s", "Go to time")</f>
        <v/>
      </c>
    </row>
    <row r="3335">
      <c r="A3335">
        <f>HYPERLINK("https://www.youtube.com/watch?v=GDG5ymmucqc", "Video")</f>
        <v/>
      </c>
      <c r="B3335" t="inlineStr">
        <is>
          <t>3:28</t>
        </is>
      </c>
      <c r="C3335" t="inlineStr">
        <is>
          <t>she might not have changed Jack directly</t>
        </is>
      </c>
      <c r="D3335">
        <f>HYPERLINK("https://www.youtube.com/watch?v=GDG5ymmucqc&amp;t=208s", "Go to time")</f>
        <v/>
      </c>
    </row>
    <row r="3336">
      <c r="A3336">
        <f>HYPERLINK("https://www.youtube.com/watch?v=GDG5ymmucqc", "Video")</f>
        <v/>
      </c>
      <c r="B3336" t="inlineStr">
        <is>
          <t>4:39</t>
        </is>
      </c>
      <c r="C3336" t="inlineStr">
        <is>
          <t>someone directly but it could Inspire</t>
        </is>
      </c>
      <c r="D3336">
        <f>HYPERLINK("https://www.youtube.com/watch?v=GDG5ymmucqc&amp;t=279s", "Go to time")</f>
        <v/>
      </c>
    </row>
    <row r="3337">
      <c r="A3337">
        <f>HYPERLINK("https://www.youtube.com/watch?v=oiKPcqR2rcA", "Video")</f>
        <v/>
      </c>
      <c r="B3337" t="inlineStr">
        <is>
          <t>0:21</t>
        </is>
      </c>
      <c r="C3337" t="inlineStr">
        <is>
          <t>from our issues to
redirecting the attention</t>
        </is>
      </c>
      <c r="D3337">
        <f>HYPERLINK("https://www.youtube.com/watch?v=oiKPcqR2rcA&amp;t=21s", "Go to time")</f>
        <v/>
      </c>
    </row>
    <row r="3338">
      <c r="A3338">
        <f>HYPERLINK("https://www.youtube.com/watch?v=LfFBAW6SHtQ", "Video")</f>
        <v/>
      </c>
      <c r="B3338" t="inlineStr">
        <is>
          <t>3:39</t>
        </is>
      </c>
      <c r="C3338" t="inlineStr">
        <is>
          <t>and give us Direction in life ironically</t>
        </is>
      </c>
      <c r="D3338">
        <f>HYPERLINK("https://www.youtube.com/watch?v=LfFBAW6SHtQ&amp;t=219s", "Go to time")</f>
        <v/>
      </c>
    </row>
    <row r="3339">
      <c r="A3339">
        <f>HYPERLINK("https://www.youtube.com/watch?v=FJfrQl7zSrE", "Video")</f>
        <v/>
      </c>
      <c r="B3339" t="inlineStr">
        <is>
          <t>4:08</t>
        </is>
      </c>
      <c r="C3339" t="inlineStr">
        <is>
          <t>associate director at the University of</t>
        </is>
      </c>
      <c r="D3339">
        <f>HYPERLINK("https://www.youtube.com/watch?v=FJfrQl7zSrE&amp;t=248s", "Go to time")</f>
        <v/>
      </c>
    </row>
    <row r="3340">
      <c r="A3340">
        <f>HYPERLINK("https://www.youtube.com/watch?v=FJfrQl7zSrE", "Video")</f>
        <v/>
      </c>
      <c r="B3340" t="inlineStr">
        <is>
          <t>5:01</t>
        </is>
      </c>
      <c r="C3340" t="inlineStr">
        <is>
          <t>positive affirmations can redirect the</t>
        </is>
      </c>
      <c r="D3340">
        <f>HYPERLINK("https://www.youtube.com/watch?v=FJfrQl7zSrE&amp;t=301s", "Go to time")</f>
        <v/>
      </c>
    </row>
    <row r="3341">
      <c r="A3341">
        <f>HYPERLINK("https://www.youtube.com/watch?v=kwI0fzEXxD8", "Video")</f>
        <v/>
      </c>
      <c r="B3341" t="inlineStr">
        <is>
          <t>4:44</t>
        </is>
      </c>
      <c r="C3341" t="inlineStr">
        <is>
          <t>direction and find some things to be</t>
        </is>
      </c>
      <c r="D3341">
        <f>HYPERLINK("https://www.youtube.com/watch?v=kwI0fzEXxD8&amp;t=284s", "Go to time")</f>
        <v/>
      </c>
    </row>
    <row r="3342">
      <c r="A3342">
        <f>HYPERLINK("https://www.youtube.com/watch?v=0w1XnCh5H0k", "Video")</f>
        <v/>
      </c>
      <c r="B3342" t="inlineStr">
        <is>
          <t>2:32</t>
        </is>
      </c>
      <c r="C3342" t="inlineStr">
        <is>
          <t>director of geriatric Psychiatry at the</t>
        </is>
      </c>
      <c r="D3342">
        <f>HYPERLINK("https://www.youtube.com/watch?v=0w1XnCh5H0k&amp;t=152s", "Go to time")</f>
        <v/>
      </c>
    </row>
    <row r="3343">
      <c r="A3343">
        <f>HYPERLINK("https://www.youtube.com/watch?v=d_o5yZ79pAI", "Video")</f>
        <v/>
      </c>
      <c r="B3343" t="inlineStr">
        <is>
          <t>1:17</t>
        </is>
      </c>
      <c r="C3343" t="inlineStr">
        <is>
          <t>that direct your actions and choices so</t>
        </is>
      </c>
      <c r="D3343">
        <f>HYPERLINK("https://www.youtube.com/watch?v=d_o5yZ79pAI&amp;t=77s", "Go to time")</f>
        <v/>
      </c>
    </row>
    <row r="3344">
      <c r="A3344">
        <f>HYPERLINK("https://www.youtube.com/watch?v=qEaGSIL7lUU", "Video")</f>
        <v/>
      </c>
      <c r="B3344" t="inlineStr">
        <is>
          <t>2:16</t>
        </is>
      </c>
      <c r="C3344" t="inlineStr">
        <is>
          <t>direct and practical kind of person</t>
        </is>
      </c>
      <c r="D3344">
        <f>HYPERLINK("https://www.youtube.com/watch?v=qEaGSIL7lUU&amp;t=136s", "Go to time")</f>
        <v/>
      </c>
    </row>
    <row r="3345">
      <c r="A3345">
        <f>HYPERLINK("https://www.youtube.com/watch?v=qEaGSIL7lUU", "Video")</f>
        <v/>
      </c>
      <c r="B3345" t="inlineStr">
        <is>
          <t>3:54</t>
        </is>
      </c>
      <c r="C3345" t="inlineStr">
        <is>
          <t>with a strong will they're direct</t>
        </is>
      </c>
      <c r="D3345">
        <f>HYPERLINK("https://www.youtube.com/watch?v=qEaGSIL7lUU&amp;t=234s", "Go to time")</f>
        <v/>
      </c>
    </row>
    <row r="3346">
      <c r="A3346">
        <f>HYPERLINK("https://www.youtube.com/watch?v=U9mRMNAEmk8", "Video")</f>
        <v/>
      </c>
      <c r="B3346" t="inlineStr">
        <is>
          <t>0:37</t>
        </is>
      </c>
      <c r="C3346" t="inlineStr">
        <is>
          <t>without direct experience with</t>
        </is>
      </c>
      <c r="D3346">
        <f>HYPERLINK("https://www.youtube.com/watch?v=U9mRMNAEmk8&amp;t=37s", "Go to time")</f>
        <v/>
      </c>
    </row>
    <row r="3347">
      <c r="A3347">
        <f>HYPERLINK("https://www.youtube.com/watch?v=_qObeWQIiAs", "Video")</f>
        <v/>
      </c>
      <c r="B3347" t="inlineStr">
        <is>
          <t>3:45</t>
        </is>
      </c>
      <c r="C3347" t="inlineStr">
        <is>
          <t>loving relationships,directly contributing</t>
        </is>
      </c>
      <c r="D3347">
        <f>HYPERLINK("https://www.youtube.com/watch?v=_qObeWQIiAs&amp;t=225s", "Go to time")</f>
        <v/>
      </c>
    </row>
    <row r="3348">
      <c r="A3348">
        <f>HYPERLINK("https://www.youtube.com/watch?v=pinjY_9GF9k", "Video")</f>
        <v/>
      </c>
      <c r="B3348" t="inlineStr">
        <is>
          <t>4:32</t>
        </is>
      </c>
      <c r="C3348" t="inlineStr">
        <is>
          <t>of thoughts directed towards you with</t>
        </is>
      </c>
      <c r="D3348">
        <f>HYPERLINK("https://www.youtube.com/watch?v=pinjY_9GF9k&amp;t=272s", "Go to time")</f>
        <v/>
      </c>
    </row>
    <row r="3349">
      <c r="A3349">
        <f>HYPERLINK("https://www.youtube.com/watch?v=XTJMT0Mbmsw", "Video")</f>
        <v/>
      </c>
      <c r="B3349" t="inlineStr">
        <is>
          <t>0:44</t>
        </is>
      </c>
      <c r="C3349" t="inlineStr">
        <is>
          <t>directly such as social status kindness</t>
        </is>
      </c>
      <c r="D3349">
        <f>HYPERLINK("https://www.youtube.com/watch?v=XTJMT0Mbmsw&amp;t=44s", "Go to time")</f>
        <v/>
      </c>
    </row>
    <row r="3350">
      <c r="A3350">
        <f>HYPERLINK("https://www.youtube.com/watch?v=cTkTD8gccCo", "Video")</f>
        <v/>
      </c>
      <c r="B3350" t="inlineStr">
        <is>
          <t>2:52</t>
        </is>
      </c>
      <c r="C3350" t="inlineStr">
        <is>
          <t>or even treat you like
they're giving you directions</t>
        </is>
      </c>
      <c r="D3350">
        <f>HYPERLINK("https://www.youtube.com/watch?v=cTkTD8gccCo&amp;t=172s", "Go to time")</f>
        <v/>
      </c>
    </row>
    <row r="3351">
      <c r="A3351">
        <f>HYPERLINK("https://www.youtube.com/watch?v=n5dJ6unjAFc", "Video")</f>
        <v/>
      </c>
      <c r="B3351" t="inlineStr">
        <is>
          <t>5:08</t>
        </is>
      </c>
      <c r="C3351" t="inlineStr">
        <is>
          <t>looking directly into someone's eyes and</t>
        </is>
      </c>
      <c r="D3351">
        <f>HYPERLINK("https://www.youtube.com/watch?v=n5dJ6unjAFc&amp;t=308s", "Go to time")</f>
        <v/>
      </c>
    </row>
    <row r="3352">
      <c r="A3352">
        <f>HYPERLINK("https://www.youtube.com/watch?v=Q16GMp65LCE", "Video")</f>
        <v/>
      </c>
      <c r="B3352" t="inlineStr">
        <is>
          <t>0:55</t>
        </is>
      </c>
      <c r="C3352" t="inlineStr">
        <is>
          <t>This is most directly seen</t>
        </is>
      </c>
      <c r="D3352">
        <f>HYPERLINK("https://www.youtube.com/watch?v=Q16GMp65LCE&amp;t=55s", "Go to time")</f>
        <v/>
      </c>
    </row>
    <row r="3353">
      <c r="A3353">
        <f>HYPERLINK("https://www.youtube.com/watch?v=OvivMMU6ruQ", "Video")</f>
        <v/>
      </c>
      <c r="B3353" t="inlineStr">
        <is>
          <t>2:46</t>
        </is>
      </c>
      <c r="C3353" t="inlineStr">
        <is>
          <t>trying to indirectly tell you about how</t>
        </is>
      </c>
      <c r="D3353">
        <f>HYPERLINK("https://www.youtube.com/watch?v=OvivMMU6ruQ&amp;t=166s", "Go to time")</f>
        <v/>
      </c>
    </row>
    <row r="3354">
      <c r="A3354">
        <f>HYPERLINK("https://www.youtube.com/watch?v=BLyI0HVPrB4", "Video")</f>
        <v/>
      </c>
      <c r="B3354" t="inlineStr">
        <is>
          <t>3:34</t>
        </is>
      </c>
      <c r="C3354" t="inlineStr">
        <is>
          <t>will direct your life and you will call</t>
        </is>
      </c>
      <c r="D3354">
        <f>HYPERLINK("https://www.youtube.com/watch?v=BLyI0HVPrB4&amp;t=214s", "Go to time")</f>
        <v/>
      </c>
    </row>
    <row r="3355">
      <c r="A3355">
        <f>HYPERLINK("https://www.youtube.com/watch?v=Q7C0FoDVbRM", "Video")</f>
        <v/>
      </c>
      <c r="B3355" t="inlineStr">
        <is>
          <t>0:47</t>
        </is>
      </c>
      <c r="C3355" t="inlineStr">
        <is>
          <t>some may direct it all inwards the</t>
        </is>
      </c>
      <c r="D3355">
        <f>HYPERLINK("https://www.youtube.com/watch?v=Q7C0FoDVbRM&amp;t=47s", "Go to time")</f>
        <v/>
      </c>
    </row>
    <row r="3356">
      <c r="A3356">
        <f>HYPERLINK("https://www.youtube.com/watch?v=Q8zqHQ1hY08", "Video")</f>
        <v/>
      </c>
      <c r="B3356" t="inlineStr">
        <is>
          <t>2:31</t>
        </is>
      </c>
      <c r="C3356" t="inlineStr">
        <is>
          <t>versus they're communicative,
direct and honest.</t>
        </is>
      </c>
      <c r="D3356">
        <f>HYPERLINK("https://www.youtube.com/watch?v=Q8zqHQ1hY08&amp;t=151s", "Go to time")</f>
        <v/>
      </c>
    </row>
    <row r="3357">
      <c r="A3357">
        <f>HYPERLINK("https://www.youtube.com/watch?v=Q8zqHQ1hY08", "Video")</f>
        <v/>
      </c>
      <c r="B3357" t="inlineStr">
        <is>
          <t>2:39</t>
        </is>
      </c>
      <c r="C3357" t="inlineStr">
        <is>
          <t>by being honest and direct
instead of sneaky and untruthful?</t>
        </is>
      </c>
      <c r="D3357">
        <f>HYPERLINK("https://www.youtube.com/watch?v=Q8zqHQ1hY08&amp;t=159s", "Go to time")</f>
        <v/>
      </c>
    </row>
    <row r="3358">
      <c r="A3358">
        <f>HYPERLINK("https://www.youtube.com/watch?v=Q8zqHQ1hY08", "Video")</f>
        <v/>
      </c>
      <c r="B3358" t="inlineStr">
        <is>
          <t>2:46</t>
        </is>
      </c>
      <c r="C3358" t="inlineStr">
        <is>
          <t>that, "When people speak directly,</t>
        </is>
      </c>
      <c r="D3358">
        <f>HYPERLINK("https://www.youtube.com/watch?v=Q8zqHQ1hY08&amp;t=166s", "Go to time")</f>
        <v/>
      </c>
    </row>
    <row r="3359">
      <c r="A3359">
        <f>HYPERLINK("https://www.youtube.com/watch?v=fVPcgakI_t4", "Video")</f>
        <v/>
      </c>
      <c r="B3359" t="inlineStr">
        <is>
          <t>1:42</t>
        </is>
      </c>
      <c r="C3359" t="inlineStr">
        <is>
          <t>having a direct conversation with your</t>
        </is>
      </c>
      <c r="D3359">
        <f>HYPERLINK("https://www.youtube.com/watch?v=fVPcgakI_t4&amp;t=102s", "Go to time")</f>
        <v/>
      </c>
    </row>
    <row r="3360">
      <c r="A3360">
        <f>HYPERLINK("https://www.youtube.com/watch?v=QgTEZtIQDOQ", "Video")</f>
        <v/>
      </c>
      <c r="B3360" t="inlineStr">
        <is>
          <t>6:38</t>
        </is>
      </c>
      <c r="C3360" t="inlineStr">
        <is>
          <t>an important step in the right direction</t>
        </is>
      </c>
      <c r="D3360">
        <f>HYPERLINK("https://www.youtube.com/watch?v=QgTEZtIQDOQ&amp;t=398s", "Go to time")</f>
        <v/>
      </c>
    </row>
    <row r="3361">
      <c r="A3361">
        <f>HYPERLINK("https://www.youtube.com/watch?v=Q7YuwwL_VHs", "Video")</f>
        <v/>
      </c>
      <c r="B3361" t="inlineStr">
        <is>
          <t>1:09</t>
        </is>
      </c>
      <c r="C3361" t="inlineStr">
        <is>
          <t>asking directly for a date they're using</t>
        </is>
      </c>
      <c r="D3361">
        <f>HYPERLINK("https://www.youtube.com/watch?v=Q7YuwwL_VHs&amp;t=69s", "Go to time")</f>
        <v/>
      </c>
    </row>
    <row r="3362">
      <c r="A3362">
        <f>HYPERLINK("https://www.youtube.com/watch?v=Q7YuwwL_VHs", "Video")</f>
        <v/>
      </c>
      <c r="B3362" t="inlineStr">
        <is>
          <t>1:21</t>
        </is>
      </c>
      <c r="C3362" t="inlineStr">
        <is>
          <t>built on direct communication Partners</t>
        </is>
      </c>
      <c r="D3362">
        <f>HYPERLINK("https://www.youtube.com/watch?v=Q7YuwwL_VHs&amp;t=81s", "Go to time")</f>
        <v/>
      </c>
    </row>
    <row r="3363">
      <c r="A3363">
        <f>HYPERLINK("https://www.youtube.com/watch?v=Q7YuwwL_VHs", "Video")</f>
        <v/>
      </c>
      <c r="B3363" t="inlineStr">
        <is>
          <t>3:47</t>
        </is>
      </c>
      <c r="C3363" t="inlineStr">
        <is>
          <t>directly Express their needs instead</t>
        </is>
      </c>
      <c r="D3363">
        <f>HYPERLINK("https://www.youtube.com/watch?v=Q7YuwwL_VHs&amp;t=227s", "Go to time")</f>
        <v/>
      </c>
    </row>
    <row r="3364">
      <c r="A3364">
        <f>HYPERLINK("https://www.youtube.com/watch?v=_SIj6fUnG2Y", "Video")</f>
        <v/>
      </c>
      <c r="B3364" t="inlineStr">
        <is>
          <t>6:25</t>
        </is>
      </c>
      <c r="C3364" t="inlineStr">
        <is>
          <t>directly associated with general anxiety</t>
        </is>
      </c>
      <c r="D3364">
        <f>HYPERLINK("https://www.youtube.com/watch?v=_SIj6fUnG2Y&amp;t=385s", "Go to time")</f>
        <v/>
      </c>
    </row>
    <row r="3365">
      <c r="A3365">
        <f>HYPERLINK("https://www.youtube.com/watch?v=VW22HdkfAj4", "Video")</f>
        <v/>
      </c>
      <c r="B3365" t="inlineStr">
        <is>
          <t>0:31</t>
        </is>
      </c>
      <c r="C3365" t="inlineStr">
        <is>
          <t>directing your energy and attention</t>
        </is>
      </c>
      <c r="D3365">
        <f>HYPERLINK("https://www.youtube.com/watch?v=VW22HdkfAj4&amp;t=31s", "Go to time")</f>
        <v/>
      </c>
    </row>
    <row r="3366">
      <c r="A3366">
        <f>HYPERLINK("https://www.youtube.com/watch?v=VW22HdkfAj4", "Video")</f>
        <v/>
      </c>
      <c r="B3366" t="inlineStr">
        <is>
          <t>1:52</t>
        </is>
      </c>
      <c r="C3366" t="inlineStr">
        <is>
          <t>and actions have a direct impact on the</t>
        </is>
      </c>
      <c r="D3366">
        <f>HYPERLINK("https://www.youtube.com/watch?v=VW22HdkfAj4&amp;t=112s", "Go to time")</f>
        <v/>
      </c>
    </row>
    <row r="3367">
      <c r="A3367">
        <f>HYPERLINK("https://www.youtube.com/watch?v=nSzZfHqNuRs", "Video")</f>
        <v/>
      </c>
      <c r="B3367" t="inlineStr">
        <is>
          <t>2:13</t>
        </is>
      </c>
      <c r="C3367" t="inlineStr">
        <is>
          <t>directly especially on first meeting</t>
        </is>
      </c>
      <c r="D3367">
        <f>HYPERLINK("https://www.youtube.com/watch?v=nSzZfHqNuRs&amp;t=133s", "Go to time")</f>
        <v/>
      </c>
    </row>
    <row r="3368">
      <c r="A3368">
        <f>HYPERLINK("https://www.youtube.com/watch?v=e17_oC0tnNQ", "Video")</f>
        <v/>
      </c>
      <c r="B3368" t="inlineStr">
        <is>
          <t>3:23</t>
        </is>
      </c>
      <c r="C3368" t="inlineStr">
        <is>
          <t>or even directly to a professional.</t>
        </is>
      </c>
      <c r="D3368">
        <f>HYPERLINK("https://www.youtube.com/watch?v=e17_oC0tnNQ&amp;t=203s", "Go to time")</f>
        <v/>
      </c>
    </row>
    <row r="3369">
      <c r="A3369">
        <f>HYPERLINK("https://www.youtube.com/watch?v=e17_oC0tnNQ", "Video")</f>
        <v/>
      </c>
      <c r="B3369" t="inlineStr">
        <is>
          <t>4:31</t>
        </is>
      </c>
      <c r="C3369" t="inlineStr">
        <is>
          <t>This ties in directly
to the previous point.</t>
        </is>
      </c>
      <c r="D3369">
        <f>HYPERLINK("https://www.youtube.com/watch?v=e17_oC0tnNQ&amp;t=271s", "Go to time")</f>
        <v/>
      </c>
    </row>
    <row r="3370">
      <c r="A3370">
        <f>HYPERLINK("https://www.youtube.com/watch?v=0DrFPGQ_f20", "Video")</f>
        <v/>
      </c>
      <c r="B3370" t="inlineStr">
        <is>
          <t>3:55</t>
        </is>
      </c>
      <c r="C3370" t="inlineStr">
        <is>
          <t>redirect your energy from scarcity to</t>
        </is>
      </c>
      <c r="D3370">
        <f>HYPERLINK("https://www.youtube.com/watch?v=0DrFPGQ_f20&amp;t=235s", "Go to time")</f>
        <v/>
      </c>
    </row>
    <row r="3371">
      <c r="A3371">
        <f>HYPERLINK("https://www.youtube.com/watch?v=y-8mwFfZuM0", "Video")</f>
        <v/>
      </c>
      <c r="B3371" t="inlineStr">
        <is>
          <t>3:30</t>
        </is>
      </c>
      <c r="C3371" t="inlineStr">
        <is>
          <t>We hope we've helped you
steer in the right direction.</t>
        </is>
      </c>
      <c r="D3371">
        <f>HYPERLINK("https://www.youtube.com/watch?v=y-8mwFfZuM0&amp;t=210s", "Go to time")</f>
        <v/>
      </c>
    </row>
    <row r="3372">
      <c r="A3372">
        <f>HYPERLINK("https://www.youtube.com/watch?v=1Xps2hiNsqw", "Video")</f>
        <v/>
      </c>
      <c r="B3372" t="inlineStr">
        <is>
          <t>4:03</t>
        </is>
      </c>
      <c r="C3372" t="inlineStr">
        <is>
          <t>type 8 protector think lawyers directors</t>
        </is>
      </c>
      <c r="D3372">
        <f>HYPERLINK("https://www.youtube.com/watch?v=1Xps2hiNsqw&amp;t=243s", "Go to time")</f>
        <v/>
      </c>
    </row>
    <row r="3373">
      <c r="A3373">
        <f>HYPERLINK("https://www.youtube.com/watch?v=YGMwUfL0lrE", "Video")</f>
        <v/>
      </c>
      <c r="B3373" t="inlineStr">
        <is>
          <t>1:31</t>
        </is>
      </c>
      <c r="C3373" t="inlineStr">
        <is>
          <t>in particular directions,</t>
        </is>
      </c>
      <c r="D3373">
        <f>HYPERLINK("https://www.youtube.com/watch?v=YGMwUfL0lrE&amp;t=91s", "Go to time")</f>
        <v/>
      </c>
    </row>
    <row r="3374">
      <c r="A3374">
        <f>HYPERLINK("https://www.youtube.com/watch?v=YGMwUfL0lrE", "Video")</f>
        <v/>
      </c>
      <c r="B3374" t="inlineStr">
        <is>
          <t>4:07</t>
        </is>
      </c>
      <c r="C3374" t="inlineStr">
        <is>
          <t>will help steer interactions
in the right direction.</t>
        </is>
      </c>
      <c r="D3374">
        <f>HYPERLINK("https://www.youtube.com/watch?v=YGMwUfL0lrE&amp;t=247s", "Go to time")</f>
        <v/>
      </c>
    </row>
    <row r="3375">
      <c r="A3375">
        <f>HYPERLINK("https://www.youtube.com/watch?v=aU2xO1EuGis", "Video")</f>
        <v/>
      </c>
      <c r="B3375" t="inlineStr">
        <is>
          <t>1:52</t>
        </is>
      </c>
      <c r="C3375" t="inlineStr">
        <is>
          <t>instead of being direct and asking a</t>
        </is>
      </c>
      <c r="D3375">
        <f>HYPERLINK("https://www.youtube.com/watch?v=aU2xO1EuGis&amp;t=112s", "Go to time")</f>
        <v/>
      </c>
    </row>
    <row r="3376">
      <c r="A3376">
        <f>HYPERLINK("https://www.youtube.com/watch?v=aU2xO1EuGis", "Video")</f>
        <v/>
      </c>
      <c r="B3376" t="inlineStr">
        <is>
          <t>2:07</t>
        </is>
      </c>
      <c r="C3376" t="inlineStr">
        <is>
          <t>these statements don't directly tell</t>
        </is>
      </c>
      <c r="D3376">
        <f>HYPERLINK("https://www.youtube.com/watch?v=aU2xO1EuGis&amp;t=127s", "Go to time")</f>
        <v/>
      </c>
    </row>
    <row r="3377">
      <c r="A3377">
        <f>HYPERLINK("https://www.youtube.com/watch?v=yt-PZKOwsiA", "Video")</f>
        <v/>
      </c>
      <c r="B3377" t="inlineStr">
        <is>
          <t>2:30</t>
        </is>
      </c>
      <c r="C3377" t="inlineStr">
        <is>
          <t>empath of infidelity or redirect</t>
        </is>
      </c>
      <c r="D3377">
        <f>HYPERLINK("https://www.youtube.com/watch?v=yt-PZKOwsiA&amp;t=150s", "Go to time")</f>
        <v/>
      </c>
    </row>
    <row r="3378">
      <c r="A3378">
        <f>HYPERLINK("https://www.youtube.com/watch?v=AG39mtnvcVY", "Video")</f>
        <v/>
      </c>
      <c r="B3378" t="inlineStr">
        <is>
          <t>2:28</t>
        </is>
      </c>
      <c r="C3378" t="inlineStr">
        <is>
          <t>and boundaries directly instead</t>
        </is>
      </c>
      <c r="D3378">
        <f>HYPERLINK("https://www.youtube.com/watch?v=AG39mtnvcVY&amp;t=148s", "Go to time")</f>
        <v/>
      </c>
    </row>
    <row r="3379">
      <c r="A3379">
        <f>HYPERLINK("https://www.youtube.com/watch?v=z-bWCklLVXk", "Video")</f>
        <v/>
      </c>
      <c r="B3379" t="inlineStr">
        <is>
          <t>3:34</t>
        </is>
      </c>
      <c r="C3379" t="inlineStr">
        <is>
          <t>addresses a problem directly as a means</t>
        </is>
      </c>
      <c r="D3379">
        <f>HYPERLINK("https://www.youtube.com/watch?v=z-bWCklLVXk&amp;t=214s", "Go to time")</f>
        <v/>
      </c>
    </row>
    <row r="3380">
      <c r="A3380">
        <f>HYPERLINK("https://www.youtube.com/watch?v=ipoDtteAkU4", "Video")</f>
        <v/>
      </c>
      <c r="B3380" t="inlineStr">
        <is>
          <t>4:50</t>
        </is>
      </c>
      <c r="C3380" t="inlineStr">
        <is>
          <t>direction of the relationship and you</t>
        </is>
      </c>
      <c r="D3380">
        <f>HYPERLINK("https://www.youtube.com/watch?v=ipoDtteAkU4&amp;t=290s", "Go to time")</f>
        <v/>
      </c>
    </row>
    <row r="3381">
      <c r="A3381">
        <f>HYPERLINK("https://www.youtube.com/watch?v=epSGxfW7a9I", "Video")</f>
        <v/>
      </c>
      <c r="B3381" t="inlineStr">
        <is>
          <t>2:38</t>
        </is>
      </c>
      <c r="C3381" t="inlineStr">
        <is>
          <t>introduce themselves to them directly a</t>
        </is>
      </c>
      <c r="D3381">
        <f>HYPERLINK("https://www.youtube.com/watch?v=epSGxfW7a9I&amp;t=158s", "Go to time")</f>
        <v/>
      </c>
    </row>
    <row r="3382">
      <c r="A3382">
        <f>HYPERLINK("https://www.youtube.com/watch?v=epSGxfW7a9I", "Video")</f>
        <v/>
      </c>
      <c r="B3382" t="inlineStr">
        <is>
          <t>3:03</t>
        </is>
      </c>
      <c r="C3382" t="inlineStr">
        <is>
          <t>directly giving a compliment cracking a</t>
        </is>
      </c>
      <c r="D3382">
        <f>HYPERLINK("https://www.youtube.com/watch?v=epSGxfW7a9I&amp;t=183s", "Go to time")</f>
        <v/>
      </c>
    </row>
    <row r="3383">
      <c r="A3383">
        <f>HYPERLINK("https://www.youtube.com/watch?v=epSGxfW7a9I", "Video")</f>
        <v/>
      </c>
      <c r="B3383" t="inlineStr">
        <is>
          <t>3:14</t>
        </is>
      </c>
      <c r="C3383" t="inlineStr">
        <is>
          <t>effective and direct and third party</t>
        </is>
      </c>
      <c r="D3383">
        <f>HYPERLINK("https://www.youtube.com/watch?v=epSGxfW7a9I&amp;t=194s", "Go to time")</f>
        <v/>
      </c>
    </row>
    <row r="3384">
      <c r="A3384">
        <f>HYPERLINK("https://www.youtube.com/watch?v=gKHnpiTWx78", "Video")</f>
        <v/>
      </c>
      <c r="B3384" t="inlineStr">
        <is>
          <t>0:48</t>
        </is>
      </c>
      <c r="C3384" t="inlineStr">
        <is>
          <t>concerns or issues directly with the</t>
        </is>
      </c>
      <c r="D3384">
        <f>HYPERLINK("https://www.youtube.com/watch?v=gKHnpiTWx78&amp;t=48s", "Go to time")</f>
        <v/>
      </c>
    </row>
    <row r="3385">
      <c r="A3385">
        <f>HYPERLINK("https://www.youtube.com/watch?v=gKHnpiTWx78", "Video")</f>
        <v/>
      </c>
      <c r="B3385" t="inlineStr">
        <is>
          <t>8:51</t>
        </is>
      </c>
      <c r="C3385" t="inlineStr">
        <is>
          <t>promises breaking commitments directly</t>
        </is>
      </c>
      <c r="D3385">
        <f>HYPERLINK("https://www.youtube.com/watch?v=gKHnpiTWx78&amp;t=531s", "Go to time")</f>
        <v/>
      </c>
    </row>
    <row r="3386">
      <c r="A3386">
        <f>HYPERLINK("https://www.youtube.com/watch?v=sUBYnvCbQoA", "Video")</f>
        <v/>
      </c>
      <c r="B3386" t="inlineStr">
        <is>
          <t>0:25</t>
        </is>
      </c>
      <c r="C3386" t="inlineStr">
        <is>
          <t>directly related to the foods that you</t>
        </is>
      </c>
      <c r="D3386">
        <f>HYPERLINK("https://www.youtube.com/watch?v=sUBYnvCbQoA&amp;t=25s", "Go to time")</f>
        <v/>
      </c>
    </row>
    <row r="3387">
      <c r="A3387">
        <f>HYPERLINK("https://www.youtube.com/watch?v=1KKoTccxniE", "Video")</f>
        <v/>
      </c>
      <c r="B3387" t="inlineStr">
        <is>
          <t>0:05</t>
        </is>
      </c>
      <c r="C3387" t="inlineStr">
        <is>
          <t>conscious it will direct your life and</t>
        </is>
      </c>
      <c r="D3387">
        <f>HYPERLINK("https://www.youtube.com/watch?v=1KKoTccxniE&amp;t=5s", "Go to time")</f>
        <v/>
      </c>
    </row>
    <row r="3388">
      <c r="A3388">
        <f>HYPERLINK("https://www.youtube.com/watch?v=ma9SZPVSv7Y", "Video")</f>
        <v/>
      </c>
      <c r="B3388" t="inlineStr">
        <is>
          <t>6:27</t>
        </is>
      </c>
      <c r="C3388" t="inlineStr">
        <is>
          <t>employers when working with directors</t>
        </is>
      </c>
      <c r="D3388">
        <f>HYPERLINK("https://www.youtube.com/watch?v=ma9SZPVSv7Y&amp;t=387s", "Go to time")</f>
        <v/>
      </c>
    </row>
    <row r="3389">
      <c r="A3389">
        <f>HYPERLINK("https://www.youtube.com/watch?v=yA5OkdZnAPg", "Video")</f>
        <v/>
      </c>
      <c r="B3389" t="inlineStr">
        <is>
          <t>0:21</t>
        </is>
      </c>
      <c r="C3389" t="inlineStr">
        <is>
          <t>helping you be more assertive and direct</t>
        </is>
      </c>
      <c r="D3389">
        <f>HYPERLINK("https://www.youtube.com/watch?v=yA5OkdZnAPg&amp;t=21s", "Go to time")</f>
        <v/>
      </c>
    </row>
    <row r="3390">
      <c r="A3390">
        <f>HYPERLINK("https://www.youtube.com/watch?v=yA5OkdZnAPg", "Video")</f>
        <v/>
      </c>
      <c r="B3390" t="inlineStr">
        <is>
          <t>2:28</t>
        </is>
      </c>
      <c r="C3390" t="inlineStr">
        <is>
          <t>your intentions by speaking directly</t>
        </is>
      </c>
      <c r="D3390">
        <f>HYPERLINK("https://www.youtube.com/watch?v=yA5OkdZnAPg&amp;t=148s", "Go to time")</f>
        <v/>
      </c>
    </row>
    <row r="3391">
      <c r="A3391">
        <f>HYPERLINK("https://www.youtube.com/watch?v=yA5OkdZnAPg", "Video")</f>
        <v/>
      </c>
      <c r="B3391" t="inlineStr">
        <is>
          <t>2:50</t>
        </is>
      </c>
      <c r="C3391" t="inlineStr">
        <is>
          <t>should always be sincere and direct</t>
        </is>
      </c>
      <c r="D3391">
        <f>HYPERLINK("https://www.youtube.com/watch?v=yA5OkdZnAPg&amp;t=170s", "Go to time")</f>
        <v/>
      </c>
    </row>
    <row r="3392">
      <c r="A3392">
        <f>HYPERLINK("https://www.youtube.com/watch?v=yA5OkdZnAPg", "Video")</f>
        <v/>
      </c>
      <c r="B3392" t="inlineStr">
        <is>
          <t>3:02</t>
        </is>
      </c>
      <c r="C3392" t="inlineStr">
        <is>
          <t>direct with your grievances be clear</t>
        </is>
      </c>
      <c r="D3392">
        <f>HYPERLINK("https://www.youtube.com/watch?v=yA5OkdZnAPg&amp;t=182s", "Go to time")</f>
        <v/>
      </c>
    </row>
    <row r="3393">
      <c r="A3393">
        <f>HYPERLINK("https://www.youtube.com/watch?v=yA5OkdZnAPg", "Video")</f>
        <v/>
      </c>
      <c r="B3393" t="inlineStr">
        <is>
          <t>3:09</t>
        </is>
      </c>
      <c r="C3393" t="inlineStr">
        <is>
          <t>charge and speak directly try proposing</t>
        </is>
      </c>
      <c r="D3393">
        <f>HYPERLINK("https://www.youtube.com/watch?v=yA5OkdZnAPg&amp;t=189s", "Go to time")</f>
        <v/>
      </c>
    </row>
    <row r="3394">
      <c r="A3394">
        <f>HYPERLINK("https://www.youtube.com/watch?v=t8WLMeYPSBA", "Video")</f>
        <v/>
      </c>
      <c r="B3394" t="inlineStr">
        <is>
          <t>5:18</t>
        </is>
      </c>
      <c r="C3394" t="inlineStr">
        <is>
          <t>directed her question towards their</t>
        </is>
      </c>
      <c r="D3394">
        <f>HYPERLINK("https://www.youtube.com/watch?v=t8WLMeYPSBA&amp;t=318s", "Go to time")</f>
        <v/>
      </c>
    </row>
    <row r="3395">
      <c r="A3395">
        <f>HYPERLINK("https://www.youtube.com/watch?v=t8WLMeYPSBA", "Video")</f>
        <v/>
      </c>
      <c r="B3395" t="inlineStr">
        <is>
          <t>5:27</t>
        </is>
      </c>
      <c r="C3395" t="inlineStr">
        <is>
          <t>request when it was directly addressed</t>
        </is>
      </c>
      <c r="D3395">
        <f>HYPERLINK("https://www.youtube.com/watch?v=t8WLMeYPSBA&amp;t=327s", "Go to time")</f>
        <v/>
      </c>
    </row>
    <row r="3396">
      <c r="A3396">
        <f>HYPERLINK("https://www.youtube.com/watch?v=CCo47zEONP8", "Video")</f>
        <v/>
      </c>
      <c r="B3396" t="inlineStr">
        <is>
          <t>0:22</t>
        </is>
      </c>
      <c r="C3396" t="inlineStr">
        <is>
          <t>guided in the right direction every</t>
        </is>
      </c>
      <c r="D3396">
        <f>HYPERLINK("https://www.youtube.com/watch?v=CCo47zEONP8&amp;t=22s", "Go to time")</f>
        <v/>
      </c>
    </row>
    <row r="3397">
      <c r="A3397">
        <f>HYPERLINK("https://www.youtube.com/watch?v=mfdS_yzn2Bg", "Video")</f>
        <v/>
      </c>
      <c r="B3397" t="inlineStr">
        <is>
          <t>0:22</t>
        </is>
      </c>
      <c r="C3397" t="inlineStr">
        <is>
          <t>direct or indirect social cues sex</t>
        </is>
      </c>
      <c r="D3397">
        <f>HYPERLINK("https://www.youtube.com/watch?v=mfdS_yzn2Bg&amp;t=22s", "Go to time")</f>
        <v/>
      </c>
    </row>
    <row r="3398">
      <c r="A3398">
        <f>HYPERLINK("https://www.youtube.com/watch?v=p3GJTlr-j0U", "Video")</f>
        <v/>
      </c>
      <c r="B3398" t="inlineStr">
        <is>
          <t>0:19</t>
        </is>
      </c>
      <c r="C3398" t="inlineStr">
        <is>
          <t>you do a address the issue directly and</t>
        </is>
      </c>
      <c r="D3398">
        <f>HYPERLINK("https://www.youtube.com/watch?v=p3GJTlr-j0U&amp;t=19s", "Go to time")</f>
        <v/>
      </c>
    </row>
    <row r="3399">
      <c r="A3399">
        <f>HYPERLINK("https://www.youtube.com/watch?v=ufFViR_zCuI", "Video")</f>
        <v/>
      </c>
      <c r="B3399" t="inlineStr">
        <is>
          <t>2:35</t>
        </is>
      </c>
      <c r="C3399" t="inlineStr">
        <is>
          <t>the director of geriatric Psychiatry at</t>
        </is>
      </c>
      <c r="D3399">
        <f>HYPERLINK("https://www.youtube.com/watch?v=ufFViR_zCuI&amp;t=155s", "Go to time")</f>
        <v/>
      </c>
    </row>
    <row r="3400">
      <c r="A3400">
        <f>HYPERLINK("https://www.youtube.com/watch?v=ookUoPu_ZRw", "Video")</f>
        <v/>
      </c>
      <c r="B3400" t="inlineStr">
        <is>
          <t>3:31</t>
        </is>
      </c>
      <c r="C3400" t="inlineStr">
        <is>
          <t>nervous to express it directly these</t>
        </is>
      </c>
      <c r="D3400">
        <f>HYPERLINK("https://www.youtube.com/watch?v=ookUoPu_ZRw&amp;t=211s", "Go to time")</f>
        <v/>
      </c>
    </row>
    <row r="3401">
      <c r="A3401">
        <f>HYPERLINK("https://www.youtube.com/watch?v=ookUoPu_ZRw", "Video")</f>
        <v/>
      </c>
      <c r="B3401" t="inlineStr">
        <is>
          <t>4:11</t>
        </is>
      </c>
      <c r="C3401" t="inlineStr">
        <is>
          <t>use indirect approaches to gauge</t>
        </is>
      </c>
      <c r="D3401">
        <f>HYPERLINK("https://www.youtube.com/watch?v=ookUoPu_ZRw&amp;t=251s", "Go to time")</f>
        <v/>
      </c>
    </row>
    <row r="3402">
      <c r="A3402">
        <f>HYPERLINK("https://www.youtube.com/watch?v=mvlW1UjM0cI", "Video")</f>
        <v/>
      </c>
      <c r="B3402" t="inlineStr">
        <is>
          <t>1:01</t>
        </is>
      </c>
      <c r="C3402" t="inlineStr">
        <is>
          <t>directing their smiles and eye contact</t>
        </is>
      </c>
      <c r="D3402">
        <f>HYPERLINK("https://www.youtube.com/watch?v=mvlW1UjM0cI&amp;t=61s", "Go to time")</f>
        <v/>
      </c>
    </row>
    <row r="3403">
      <c r="A3403">
        <f>HYPERLINK("https://www.youtube.com/watch?v=mvlW1UjM0cI", "Video")</f>
        <v/>
      </c>
      <c r="B3403" t="inlineStr">
        <is>
          <t>4:43</t>
        </is>
      </c>
      <c r="C3403" t="inlineStr">
        <is>
          <t>you can get is by asking them directly</t>
        </is>
      </c>
      <c r="D3403">
        <f>HYPERLINK("https://www.youtube.com/watch?v=mvlW1UjM0cI&amp;t=283s", "Go to time")</f>
        <v/>
      </c>
    </row>
    <row r="3404">
      <c r="A3404">
        <f>HYPERLINK("https://www.youtube.com/watch?v=mvlW1UjM0cI", "Video")</f>
        <v/>
      </c>
      <c r="B3404" t="inlineStr">
        <is>
          <t>4:54</t>
        </is>
      </c>
      <c r="C3404" t="inlineStr">
        <is>
          <t>directly is your best bet did you find</t>
        </is>
      </c>
      <c r="D3404">
        <f>HYPERLINK("https://www.youtube.com/watch?v=mvlW1UjM0cI&amp;t=294s", "Go to time")</f>
        <v/>
      </c>
    </row>
    <row r="3405">
      <c r="A3405">
        <f>HYPERLINK("https://www.youtube.com/watch?v=yIKsb_qTODo", "Video")</f>
        <v/>
      </c>
      <c r="B3405" t="inlineStr">
        <is>
          <t>2:36</t>
        </is>
      </c>
      <c r="C3405" t="inlineStr">
        <is>
          <t>talking since maintaining direct eye</t>
        </is>
      </c>
      <c r="D3405">
        <f>HYPERLINK("https://www.youtube.com/watch?v=yIKsb_qTODo&amp;t=156s", "Go to time")</f>
        <v/>
      </c>
    </row>
    <row r="3406">
      <c r="A3406">
        <f>HYPERLINK("https://www.youtube.com/watch?v=Ggtx6bswhUg", "Video")</f>
        <v/>
      </c>
      <c r="B3406" t="inlineStr">
        <is>
          <t>3:29</t>
        </is>
      </c>
      <c r="C3406" t="inlineStr">
        <is>
          <t>and direct or are you more light and</t>
        </is>
      </c>
      <c r="D3406">
        <f>HYPERLINK("https://www.youtube.com/watch?v=Ggtx6bswhUg&amp;t=209s", "Go to time")</f>
        <v/>
      </c>
    </row>
    <row r="3407">
      <c r="A3407">
        <f>HYPERLINK("https://www.youtube.com/watch?v=Ggtx6bswhUg", "Video")</f>
        <v/>
      </c>
      <c r="B3407" t="inlineStr">
        <is>
          <t>3:38</t>
        </is>
      </c>
      <c r="C3407" t="inlineStr">
        <is>
          <t>assertive aggressive or direct tone this</t>
        </is>
      </c>
      <c r="D3407">
        <f>HYPERLINK("https://www.youtube.com/watch?v=Ggtx6bswhUg&amp;t=218s", "Go to time")</f>
        <v/>
      </c>
    </row>
    <row r="3408">
      <c r="A3408">
        <f>HYPERLINK("https://www.youtube.com/watch?v=XXKLPD9epok", "Video")</f>
        <v/>
      </c>
      <c r="B3408" t="inlineStr">
        <is>
          <t>1:06</t>
        </is>
      </c>
      <c r="C3408" t="inlineStr">
        <is>
          <t>as redirection not a roadblock</t>
        </is>
      </c>
      <c r="D3408">
        <f>HYPERLINK("https://www.youtube.com/watch?v=XXKLPD9epok&amp;t=66s", "Go to time")</f>
        <v/>
      </c>
    </row>
    <row r="3409">
      <c r="A3409">
        <f>HYPERLINK("https://www.youtube.com/watch?v=JldWNQPSIx8", "Video")</f>
        <v/>
      </c>
      <c r="B3409" t="inlineStr">
        <is>
          <t>2:22</t>
        </is>
      </c>
      <c r="C3409" t="inlineStr">
        <is>
          <t>good direction</t>
        </is>
      </c>
      <c r="D3409">
        <f>HYPERLINK("https://www.youtube.com/watch?v=JldWNQPSIx8&amp;t=142s", "Go to time")</f>
        <v/>
      </c>
    </row>
    <row r="3410">
      <c r="A3410">
        <f>HYPERLINK("https://www.youtube.com/watch?v=xKBAZkhI800", "Video")</f>
        <v/>
      </c>
      <c r="B3410" t="inlineStr">
        <is>
          <t>1:56</t>
        </is>
      </c>
      <c r="C3410" t="inlineStr">
        <is>
          <t>really dire but think about it is that</t>
        </is>
      </c>
      <c r="D3410">
        <f>HYPERLINK("https://www.youtube.com/watch?v=xKBAZkhI800&amp;t=116s", "Go to time")</f>
        <v/>
      </c>
    </row>
    <row r="3411">
      <c r="A3411">
        <f>HYPERLINK("https://www.youtube.com/watch?v=soWIfn9eDCE", "Video")</f>
        <v/>
      </c>
      <c r="B3411" t="inlineStr">
        <is>
          <t>7:25</t>
        </is>
      </c>
      <c r="C3411" t="inlineStr">
        <is>
          <t>some direction in your search for the</t>
        </is>
      </c>
      <c r="D3411">
        <f>HYPERLINK("https://www.youtube.com/watch?v=soWIfn9eDCE&amp;t=445s", "Go to time")</f>
        <v/>
      </c>
    </row>
    <row r="3412">
      <c r="A3412">
        <f>HYPERLINK("https://www.youtube.com/watch?v=wbroM1Di-bI", "Video")</f>
        <v/>
      </c>
      <c r="B3412" t="inlineStr">
        <is>
          <t>1:46</t>
        </is>
      </c>
      <c r="C3412" t="inlineStr">
        <is>
          <t>directly involves or affects them once</t>
        </is>
      </c>
      <c r="D3412">
        <f>HYPERLINK("https://www.youtube.com/watch?v=wbroM1Di-bI&amp;t=106s", "Go to time")</f>
        <v/>
      </c>
    </row>
    <row r="3413">
      <c r="A3413">
        <f>HYPERLINK("https://www.youtube.com/watch?v=L-JUR7nqYTU", "Video")</f>
        <v/>
      </c>
      <c r="B3413" t="inlineStr">
        <is>
          <t>2:11</t>
        </is>
      </c>
      <c r="C3413" t="inlineStr">
        <is>
          <t>although many people realize the direct</t>
        </is>
      </c>
      <c r="D3413">
        <f>HYPERLINK("https://www.youtube.com/watch?v=L-JUR7nqYTU&amp;t=131s", "Go to time")</f>
        <v/>
      </c>
    </row>
    <row r="3414">
      <c r="A3414">
        <f>HYPERLINK("https://www.youtube.com/watch?v=Swp5K_BU8m4", "Video")</f>
        <v/>
      </c>
      <c r="B3414" t="inlineStr">
        <is>
          <t>5:20</t>
        </is>
      </c>
      <c r="C3414" t="inlineStr">
        <is>
          <t>brain these mood swings can be directed</t>
        </is>
      </c>
      <c r="D3414">
        <f>HYPERLINK("https://www.youtube.com/watch?v=Swp5K_BU8m4&amp;t=320s", "Go to time")</f>
        <v/>
      </c>
    </row>
    <row r="3415">
      <c r="A3415">
        <f>HYPERLINK("https://www.youtube.com/watch?v=zRos2vXPOUA", "Video")</f>
        <v/>
      </c>
      <c r="B3415" t="inlineStr">
        <is>
          <t>4:16</t>
        </is>
      </c>
      <c r="C3415" t="inlineStr">
        <is>
          <t>published in current directions in</t>
        </is>
      </c>
      <c r="D3415">
        <f>HYPERLINK("https://www.youtube.com/watch?v=zRos2vXPOUA&amp;t=256s", "Go to time")</f>
        <v/>
      </c>
    </row>
    <row r="3416">
      <c r="A3416">
        <f>HYPERLINK("https://www.youtube.com/watch?v=TzbK_izLKTQ", "Video")</f>
        <v/>
      </c>
      <c r="B3416" t="inlineStr">
        <is>
          <t>5:40</t>
        </is>
      </c>
      <c r="C3416" t="inlineStr">
        <is>
          <t>Reaching out to a mental health professional
is a step in the right direction towards healing.</t>
        </is>
      </c>
      <c r="D3416">
        <f>HYPERLINK("https://www.youtube.com/watch?v=TzbK_izLKTQ&amp;t=340s", "Go to time")</f>
        <v/>
      </c>
    </row>
    <row r="3417">
      <c r="A3417">
        <f>HYPERLINK("https://www.youtube.com/watch?v=vklH1IKRusA", "Video")</f>
        <v/>
      </c>
      <c r="B3417" t="inlineStr">
        <is>
          <t>5:05</t>
        </is>
      </c>
      <c r="C3417" t="inlineStr">
        <is>
          <t>friends who are not directly involved</t>
        </is>
      </c>
      <c r="D3417">
        <f>HYPERLINK("https://www.youtube.com/watch?v=vklH1IKRusA&amp;t=305s", "Go to time")</f>
        <v/>
      </c>
    </row>
    <row r="3418">
      <c r="A3418">
        <f>HYPERLINK("https://www.youtube.com/watch?v=N_FQ3zfIIqA", "Video")</f>
        <v/>
      </c>
      <c r="B3418" t="inlineStr">
        <is>
          <t>33:31</t>
        </is>
      </c>
      <c r="C3418" t="inlineStr">
        <is>
          <t>directly at hi Monica Miranda</t>
        </is>
      </c>
      <c r="D3418">
        <f>HYPERLINK("https://www.youtube.com/watch?v=N_FQ3zfIIqA&amp;t=2011s", "Go to time")</f>
        <v/>
      </c>
    </row>
    <row r="3419">
      <c r="A3419">
        <f>HYPERLINK("https://www.youtube.com/watch?v=QhlGnXYMskM", "Video")</f>
        <v/>
      </c>
      <c r="B3419" t="inlineStr">
        <is>
          <t>4:35</t>
        </is>
      </c>
      <c r="C3419" t="inlineStr">
        <is>
          <t>your semen flows in the wrong direction</t>
        </is>
      </c>
      <c r="D3419">
        <f>HYPERLINK("https://www.youtube.com/watch?v=QhlGnXYMskM&amp;t=275s", "Go to time")</f>
        <v/>
      </c>
    </row>
    <row r="3420">
      <c r="A3420">
        <f>HYPERLINK("https://www.youtube.com/watch?v=a_3wPKVZbeQ", "Video")</f>
        <v/>
      </c>
      <c r="B3420" t="inlineStr">
        <is>
          <t>2:25</t>
        </is>
      </c>
      <c r="C3420" t="inlineStr">
        <is>
          <t>sense of purpose and direction in life</t>
        </is>
      </c>
      <c r="D3420">
        <f>HYPERLINK("https://www.youtube.com/watch?v=a_3wPKVZbeQ&amp;t=145s", "Go to time")</f>
        <v/>
      </c>
    </row>
    <row r="3421">
      <c r="A3421">
        <f>HYPERLINK("https://www.youtube.com/watch?v=VBJ1NfxJV2c", "Video")</f>
        <v/>
      </c>
      <c r="B3421" t="inlineStr">
        <is>
          <t>6:32</t>
        </is>
      </c>
      <c r="C3421" t="inlineStr">
        <is>
          <t>used to avoid a direct conversation</t>
        </is>
      </c>
      <c r="D3421">
        <f>HYPERLINK("https://www.youtube.com/watch?v=VBJ1NfxJV2c&amp;t=392s", "Go to time")</f>
        <v/>
      </c>
    </row>
    <row r="3422">
      <c r="A3422">
        <f>HYPERLINK("https://www.youtube.com/watch?v=y4A1p0v3w0c", "Video")</f>
        <v/>
      </c>
      <c r="B3422" t="inlineStr">
        <is>
          <t>4:17</t>
        </is>
      </c>
      <c r="C3422" t="inlineStr">
        <is>
          <t>directly and move on well it's all about</t>
        </is>
      </c>
      <c r="D3422">
        <f>HYPERLINK("https://www.youtube.com/watch?v=y4A1p0v3w0c&amp;t=257s", "Go to time")</f>
        <v/>
      </c>
    </row>
    <row r="3423">
      <c r="A3423">
        <f>HYPERLINK("https://www.youtube.com/watch?v=y4A1p0v3w0c", "Video")</f>
        <v/>
      </c>
      <c r="B3423" t="inlineStr">
        <is>
          <t>4:43</t>
        </is>
      </c>
      <c r="C3423" t="inlineStr">
        <is>
          <t>hovering stage six direct</t>
        </is>
      </c>
      <c r="D3423">
        <f>HYPERLINK("https://www.youtube.com/watch?v=y4A1p0v3w0c&amp;t=283s", "Go to time")</f>
        <v/>
      </c>
    </row>
    <row r="3424">
      <c r="A3424">
        <f>HYPERLINK("https://www.youtube.com/watch?v=y4A1p0v3w0c", "Video")</f>
        <v/>
      </c>
      <c r="B3424" t="inlineStr">
        <is>
          <t>4:53</t>
        </is>
      </c>
      <c r="C3424" t="inlineStr">
        <is>
          <t>discard you directly as a final Resort</t>
        </is>
      </c>
      <c r="D3424">
        <f>HYPERLINK("https://www.youtube.com/watch?v=y4A1p0v3w0c&amp;t=293s", "Go to time")</f>
        <v/>
      </c>
    </row>
    <row r="3425">
      <c r="A3425">
        <f>HYPERLINK("https://www.youtube.com/watch?v=_uazvJZHuzM", "Video")</f>
        <v/>
      </c>
      <c r="B3425" t="inlineStr">
        <is>
          <t>4:32</t>
        </is>
      </c>
      <c r="C3425" t="inlineStr">
        <is>
          <t>directors young actors are often coerced</t>
        </is>
      </c>
      <c r="D3425">
        <f>HYPERLINK("https://www.youtube.com/watch?v=_uazvJZHuzM&amp;t=272s", "Go to time")</f>
        <v/>
      </c>
    </row>
    <row r="3426">
      <c r="A3426">
        <f>HYPERLINK("https://www.youtube.com/watch?v=TNgRbaACerE", "Video")</f>
        <v/>
      </c>
      <c r="B3426" t="inlineStr">
        <is>
          <t>1:12</t>
        </is>
      </c>
      <c r="C3426" t="inlineStr">
        <is>
          <t>or the flu directly Studies have shown</t>
        </is>
      </c>
      <c r="D3426">
        <f>HYPERLINK("https://www.youtube.com/watch?v=TNgRbaACerE&amp;t=72s", "Go to time")</f>
        <v/>
      </c>
    </row>
    <row r="3427">
      <c r="A3427">
        <f>HYPERLINK("https://www.youtube.com/watch?v=JXcjLYRbdws", "Video")</f>
        <v/>
      </c>
      <c r="B3427" t="inlineStr">
        <is>
          <t>1:16</t>
        </is>
      </c>
      <c r="C3427" t="inlineStr">
        <is>
          <t>person with dpd will feel directionless</t>
        </is>
      </c>
      <c r="D3427">
        <f>HYPERLINK("https://www.youtube.com/watch?v=JXcjLYRbdws&amp;t=76s", "Go to time")</f>
        <v/>
      </c>
    </row>
    <row r="3428">
      <c r="A3428">
        <f>HYPERLINK("https://www.youtube.com/watch?v=emCubQ-Y6j8", "Video")</f>
        <v/>
      </c>
      <c r="B3428" t="inlineStr">
        <is>
          <t>3:41</t>
        </is>
      </c>
      <c r="C3428" t="inlineStr">
        <is>
          <t>talking about their problems directly</t>
        </is>
      </c>
      <c r="D3428">
        <f>HYPERLINK("https://www.youtube.com/watch?v=emCubQ-Y6j8&amp;t=221s", "Go to time")</f>
        <v/>
      </c>
    </row>
    <row r="3429">
      <c r="A3429">
        <f>HYPERLINK("https://www.youtube.com/watch?v=cNimH0ex0WA", "Video")</f>
        <v/>
      </c>
      <c r="B3429" t="inlineStr">
        <is>
          <t>3:08</t>
        </is>
      </c>
      <c r="C3429" t="inlineStr">
        <is>
          <t>and those who experience them directly</t>
        </is>
      </c>
      <c r="D3429">
        <f>HYPERLINK("https://www.youtube.com/watch?v=cNimH0ex0WA&amp;t=188s", "Go to time")</f>
        <v/>
      </c>
    </row>
    <row r="3430">
      <c r="A3430">
        <f>HYPERLINK("https://www.youtube.com/watch?v=8i0rcuv8I6I", "Video")</f>
        <v/>
      </c>
      <c r="B3430" t="inlineStr">
        <is>
          <t>3:53</t>
        </is>
      </c>
      <c r="C3430" t="inlineStr">
        <is>
          <t>prison we can also acknowledge the dire</t>
        </is>
      </c>
      <c r="D3430">
        <f>HYPERLINK("https://www.youtube.com/watch?v=8i0rcuv8I6I&amp;t=233s", "Go to time")</f>
        <v/>
      </c>
    </row>
    <row r="3431">
      <c r="A3431">
        <f>HYPERLINK("https://www.youtube.com/watch?v=6KJouMO9UJ8", "Video")</f>
        <v/>
      </c>
      <c r="B3431" t="inlineStr">
        <is>
          <t>3:18</t>
        </is>
      </c>
      <c r="C3431" t="inlineStr">
        <is>
          <t>corollary not direct meaning variables</t>
        </is>
      </c>
      <c r="D3431">
        <f>HYPERLINK("https://www.youtube.com/watch?v=6KJouMO9UJ8&amp;t=198s", "Go to time")</f>
        <v/>
      </c>
    </row>
    <row r="3432">
      <c r="A3432">
        <f>HYPERLINK("https://www.youtube.com/watch?v=caVBwUUZDj4", "Video")</f>
        <v/>
      </c>
      <c r="B3432" t="inlineStr">
        <is>
          <t>2:13</t>
        </is>
      </c>
      <c r="C3432" t="inlineStr">
        <is>
          <t>in their direct logical and reliable</t>
        </is>
      </c>
      <c r="D3432">
        <f>HYPERLINK("https://www.youtube.com/watch?v=caVBwUUZDj4&amp;t=133s", "Go to time")</f>
        <v/>
      </c>
    </row>
    <row r="3433">
      <c r="A3433">
        <f>HYPERLINK("https://www.youtube.com/watch?v=caVBwUUZDj4", "Video")</f>
        <v/>
      </c>
      <c r="B3433" t="inlineStr">
        <is>
          <t>5:15</t>
        </is>
      </c>
      <c r="C3433" t="inlineStr">
        <is>
          <t>efforts are more directed inwards with</t>
        </is>
      </c>
      <c r="D3433">
        <f>HYPERLINK("https://www.youtube.com/watch?v=caVBwUUZDj4&amp;t=315s", "Go to time")</f>
        <v/>
      </c>
    </row>
    <row r="3434">
      <c r="A3434">
        <f>HYPERLINK("https://www.youtube.com/watch?v=JlAh-d1z3Eo", "Video")</f>
        <v/>
      </c>
      <c r="B3434" t="inlineStr">
        <is>
          <t>2:26</t>
        </is>
      </c>
      <c r="C3434" t="inlineStr">
        <is>
          <t>is directly related to
having a high self-esteem.</t>
        </is>
      </c>
      <c r="D3434">
        <f>HYPERLINK("https://www.youtube.com/watch?v=JlAh-d1z3Eo&amp;t=146s", "Go to time")</f>
        <v/>
      </c>
    </row>
    <row r="3435">
      <c r="A3435">
        <f>HYPERLINK("https://www.youtube.com/watch?v=3ptaeWtZSJs", "Video")</f>
        <v/>
      </c>
      <c r="B3435" t="inlineStr">
        <is>
          <t>1:21</t>
        </is>
      </c>
      <c r="C3435" t="inlineStr">
        <is>
          <t>means indirectly expressing anger then</t>
        </is>
      </c>
      <c r="D3435">
        <f>HYPERLINK("https://www.youtube.com/watch?v=3ptaeWtZSJs&amp;t=81s", "Go to time")</f>
        <v/>
      </c>
    </row>
    <row r="3436">
      <c r="A3436">
        <f>HYPERLINK("https://www.youtube.com/watch?v=3ptaeWtZSJs", "Video")</f>
        <v/>
      </c>
      <c r="B3436" t="inlineStr">
        <is>
          <t>1:23</t>
        </is>
      </c>
      <c r="C3436" t="inlineStr">
        <is>
          <t>instead of directly saying how you feel</t>
        </is>
      </c>
      <c r="D3436">
        <f>HYPERLINK("https://www.youtube.com/watch?v=3ptaeWtZSJs&amp;t=83s", "Go to time")</f>
        <v/>
      </c>
    </row>
    <row r="3437">
      <c r="A3437">
        <f>HYPERLINK("https://www.youtube.com/watch?v=UBmj79x3Jgw", "Video")</f>
        <v/>
      </c>
      <c r="B3437" t="inlineStr">
        <is>
          <t>3:10</t>
        </is>
      </c>
      <c r="C3437" t="inlineStr">
        <is>
          <t>that is directly applicable to you</t>
        </is>
      </c>
      <c r="D3437">
        <f>HYPERLINK("https://www.youtube.com/watch?v=UBmj79x3Jgw&amp;t=190s", "Go to time")</f>
        <v/>
      </c>
    </row>
    <row r="3438">
      <c r="A3438">
        <f>HYPERLINK("https://www.youtube.com/watch?v=UBmj79x3Jgw", "Video")</f>
        <v/>
      </c>
      <c r="B3438" t="inlineStr">
        <is>
          <t>3:46</t>
        </is>
      </c>
      <c r="C3438" t="inlineStr">
        <is>
          <t>that we often associate them
directly with each other.</t>
        </is>
      </c>
      <c r="D3438">
        <f>HYPERLINK("https://www.youtube.com/watch?v=UBmj79x3Jgw&amp;t=226s", "Go to time")</f>
        <v/>
      </c>
    </row>
    <row r="3439">
      <c r="A3439">
        <f>HYPERLINK("https://www.youtube.com/watch?v=KteXMvCev8w", "Video")</f>
        <v/>
      </c>
      <c r="B3439" t="inlineStr">
        <is>
          <t>0:53</t>
        </is>
      </c>
      <c r="C3439" t="inlineStr">
        <is>
          <t>direction you need to go believing you</t>
        </is>
      </c>
      <c r="D3439">
        <f>HYPERLINK("https://www.youtube.com/watch?v=KteXMvCev8w&amp;t=53s", "Go to time")</f>
        <v/>
      </c>
    </row>
    <row r="3440">
      <c r="A3440">
        <f>HYPERLINK("https://www.youtube.com/watch?v=KteXMvCev8w", "Video")</f>
        <v/>
      </c>
      <c r="B3440" t="inlineStr">
        <is>
          <t>1:04</t>
        </is>
      </c>
      <c r="C3440" t="inlineStr">
        <is>
          <t>directed to do whatever others want</t>
        </is>
      </c>
      <c r="D3440">
        <f>HYPERLINK("https://www.youtube.com/watch?v=KteXMvCev8w&amp;t=64s", "Go to time")</f>
        <v/>
      </c>
    </row>
    <row r="3441">
      <c r="A3441">
        <f>HYPERLINK("https://www.youtube.com/watch?v=rKsRS2jljV4", "Video")</f>
        <v/>
      </c>
      <c r="B3441" t="inlineStr">
        <is>
          <t>3:58</t>
        </is>
      </c>
      <c r="C3441" t="inlineStr">
        <is>
          <t>conveying their ROM IC interest directly</t>
        </is>
      </c>
      <c r="D3441">
        <f>HYPERLINK("https://www.youtube.com/watch?v=rKsRS2jljV4&amp;t=238s", "Go to time")</f>
        <v/>
      </c>
    </row>
    <row r="3442">
      <c r="A3442">
        <f>HYPERLINK("https://www.youtube.com/watch?v=WBz74S4hOMY", "Video")</f>
        <v/>
      </c>
      <c r="B3442" t="inlineStr">
        <is>
          <t>3:06</t>
        </is>
      </c>
      <c r="C3442" t="inlineStr">
        <is>
          <t>either escalate or redirect the blame to</t>
        </is>
      </c>
      <c r="D3442">
        <f>HYPERLINK("https://www.youtube.com/watch?v=WBz74S4hOMY&amp;t=186s", "Go to time")</f>
        <v/>
      </c>
    </row>
    <row r="3443">
      <c r="A3443">
        <f>HYPERLINK("https://www.youtube.com/watch?v=saEErVMirqc", "Video")</f>
        <v/>
      </c>
      <c r="B3443" t="inlineStr">
        <is>
          <t>2:14</t>
        </is>
      </c>
      <c r="C3443" t="inlineStr">
        <is>
          <t>directives the bystander effect the</t>
        </is>
      </c>
      <c r="D3443">
        <f>HYPERLINK("https://www.youtube.com/watch?v=saEErVMirqc&amp;t=134s", "Go to time")</f>
        <v/>
      </c>
    </row>
    <row r="3444">
      <c r="A3444">
        <f>HYPERLINK("https://www.youtube.com/watch?v=1U7VpucWznE", "Video")</f>
        <v/>
      </c>
      <c r="B3444" t="inlineStr">
        <is>
          <t>5:57</t>
        </is>
      </c>
      <c r="C3444" t="inlineStr">
        <is>
          <t>extremism is directly related to</t>
        </is>
      </c>
      <c r="D3444">
        <f>HYPERLINK("https://www.youtube.com/watch?v=1U7VpucWznE&amp;t=357s", "Go to time")</f>
        <v/>
      </c>
    </row>
    <row r="3445">
      <c r="A3445">
        <f>HYPERLINK("https://www.youtube.com/watch?v=wuHjQKKR1VY", "Video")</f>
        <v/>
      </c>
      <c r="B3445" t="inlineStr">
        <is>
          <t>3:16</t>
        </is>
      </c>
      <c r="C3445" t="inlineStr">
        <is>
          <t>showed that there's a direct link</t>
        </is>
      </c>
      <c r="D3445">
        <f>HYPERLINK("https://www.youtube.com/watch?v=wuHjQKKR1VY&amp;t=196s", "Go to time")</f>
        <v/>
      </c>
    </row>
    <row r="3446">
      <c r="A3446">
        <f>HYPERLINK("https://www.youtube.com/watch?v=F6GF8DIQP6s", "Video")</f>
        <v/>
      </c>
      <c r="B3446" t="inlineStr">
        <is>
          <t>3:29</t>
        </is>
      </c>
      <c r="C3446" t="inlineStr">
        <is>
          <t>voice that must be directed at putting</t>
        </is>
      </c>
      <c r="D3446">
        <f>HYPERLINK("https://www.youtube.com/watch?v=F6GF8DIQP6s&amp;t=209s", "Go to time")</f>
        <v/>
      </c>
    </row>
    <row r="3447">
      <c r="A3447">
        <f>HYPERLINK("https://www.youtube.com/watch?v=NKBkvInwJIw", "Video")</f>
        <v/>
      </c>
      <c r="B3447" t="inlineStr">
        <is>
          <t>4:24</t>
        </is>
      </c>
      <c r="C3447" t="inlineStr">
        <is>
          <t>control you might redirect that energy</t>
        </is>
      </c>
      <c r="D3447">
        <f>HYPERLINK("https://www.youtube.com/watch?v=NKBkvInwJIw&amp;t=264s", "Go to time")</f>
        <v/>
      </c>
    </row>
    <row r="3448">
      <c r="A3448">
        <f>HYPERLINK("https://www.youtube.com/watch?v=cCYkCxQzpr0", "Video")</f>
        <v/>
      </c>
      <c r="B3448" t="inlineStr">
        <is>
          <t>0:16</t>
        </is>
      </c>
      <c r="C3448" t="inlineStr">
        <is>
          <t>directing your thoughts and beliefs</t>
        </is>
      </c>
      <c r="D3448">
        <f>HYPERLINK("https://www.youtube.com/watch?v=cCYkCxQzpr0&amp;t=16s", "Go to time")</f>
        <v/>
      </c>
    </row>
    <row r="3449">
      <c r="A3449">
        <f>HYPERLINK("https://www.youtube.com/watch?v=YBx7ZT6FIrU", "Video")</f>
        <v/>
      </c>
      <c r="B3449" t="inlineStr">
        <is>
          <t>2:19</t>
        </is>
      </c>
      <c r="C3449" t="inlineStr">
        <is>
          <t>Both direct and indirect
anger, or passive,</t>
        </is>
      </c>
      <c r="D3449">
        <f>HYPERLINK("https://www.youtube.com/watch?v=YBx7ZT6FIrU&amp;t=139s", "Go to time")</f>
        <v/>
      </c>
    </row>
    <row r="3450">
      <c r="A3450">
        <f>HYPERLINK("https://www.youtube.com/watch?v=la0hEHT-TG0", "Video")</f>
        <v/>
      </c>
      <c r="B3450" t="inlineStr">
        <is>
          <t>3:33</t>
        </is>
      </c>
      <c r="C3450" t="inlineStr">
        <is>
          <t>directly when you interact with them but</t>
        </is>
      </c>
      <c r="D3450">
        <f>HYPERLINK("https://www.youtube.com/watch?v=la0hEHT-TG0&amp;t=213s", "Go to time")</f>
        <v/>
      </c>
    </row>
    <row r="3451">
      <c r="A3451">
        <f>HYPERLINK("https://www.youtube.com/watch?v=gGyVD297p4o", "Video")</f>
        <v/>
      </c>
      <c r="B3451" t="inlineStr">
        <is>
          <t>1:00</t>
        </is>
      </c>
      <c r="C3451" t="inlineStr">
        <is>
          <t>little attention to the direction their</t>
        </is>
      </c>
      <c r="D3451">
        <f>HYPERLINK("https://www.youtube.com/watch?v=gGyVD297p4o&amp;t=60s", "Go to time")</f>
        <v/>
      </c>
    </row>
    <row r="3452">
      <c r="A3452">
        <f>HYPERLINK("https://www.youtube.com/watch?v=gGyVD297p4o", "Video")</f>
        <v/>
      </c>
      <c r="B3452" t="inlineStr">
        <is>
          <t>5:07</t>
        </is>
      </c>
      <c r="C3452" t="inlineStr">
        <is>
          <t>pulled directly upwards your eyebrows</t>
        </is>
      </c>
      <c r="D3452">
        <f>HYPERLINK("https://www.youtube.com/watch?v=gGyVD297p4o&amp;t=307s", "Go to time")</f>
        <v/>
      </c>
    </row>
    <row r="3453">
      <c r="A3453">
        <f>HYPERLINK("https://www.youtube.com/watch?v=SZohDMkEXE8", "Video")</f>
        <v/>
      </c>
      <c r="B3453" t="inlineStr">
        <is>
          <t>4:21</t>
        </is>
      </c>
      <c r="C3453" t="inlineStr">
        <is>
          <t>lack Direction and purpose in your life</t>
        </is>
      </c>
      <c r="D3453">
        <f>HYPERLINK("https://www.youtube.com/watch?v=SZohDMkEXE8&amp;t=261s", "Go to time")</f>
        <v/>
      </c>
    </row>
    <row r="3454">
      <c r="A3454">
        <f>HYPERLINK("https://www.youtube.com/watch?v=Kf96WAqY7a0", "Video")</f>
        <v/>
      </c>
      <c r="B3454" t="inlineStr">
        <is>
          <t>0:50</t>
        </is>
      </c>
      <c r="C3454" t="inlineStr">
        <is>
          <t>maybe even redirect the question to the</t>
        </is>
      </c>
      <c r="D3454">
        <f>HYPERLINK("https://www.youtube.com/watch?v=Kf96WAqY7a0&amp;t=50s", "Go to time")</f>
        <v/>
      </c>
    </row>
    <row r="3455">
      <c r="A3455">
        <f>HYPERLINK("https://www.youtube.com/watch?v=Z2SoKY-ezFM", "Video")</f>
        <v/>
      </c>
      <c r="B3455" t="inlineStr">
        <is>
          <t>0:45</t>
        </is>
      </c>
      <c r="C3455" t="inlineStr">
        <is>
          <t>hard to look at someone directly someone</t>
        </is>
      </c>
      <c r="D3455">
        <f>HYPERLINK("https://www.youtube.com/watch?v=Z2SoKY-ezFM&amp;t=45s", "Go to time")</f>
        <v/>
      </c>
    </row>
    <row r="3456">
      <c r="A3456">
        <f>HYPERLINK("https://www.youtube.com/watch?v=Z2SoKY-ezFM", "Video")</f>
        <v/>
      </c>
      <c r="B3456" t="inlineStr">
        <is>
          <t>0:51</t>
        </is>
      </c>
      <c r="C3456" t="inlineStr">
        <is>
          <t>direct eye contact with someone causing</t>
        </is>
      </c>
      <c r="D3456">
        <f>HYPERLINK("https://www.youtube.com/watch?v=Z2SoKY-ezFM&amp;t=51s", "Go to time")</f>
        <v/>
      </c>
    </row>
    <row r="3457">
      <c r="A3457">
        <f>HYPERLINK("https://www.youtube.com/watch?v=Z2SoKY-ezFM", "Video")</f>
        <v/>
      </c>
      <c r="B3457" t="inlineStr">
        <is>
          <t>1:20</t>
        </is>
      </c>
      <c r="C3457" t="inlineStr">
        <is>
          <t>directly at first try to focus on</t>
        </is>
      </c>
      <c r="D3457">
        <f>HYPERLINK("https://www.youtube.com/watch?v=Z2SoKY-ezFM&amp;t=80s", "Go to time")</f>
        <v/>
      </c>
    </row>
    <row r="3458">
      <c r="A3458">
        <f>HYPERLINK("https://www.youtube.com/watch?v=Ib3rtBk0D2s", "Video")</f>
        <v/>
      </c>
      <c r="B3458" t="inlineStr">
        <is>
          <t>0:24</t>
        </is>
      </c>
      <c r="C3458" t="inlineStr">
        <is>
          <t>but did not directly mention his name.</t>
        </is>
      </c>
      <c r="D3458">
        <f>HYPERLINK("https://www.youtube.com/watch?v=Ib3rtBk0D2s&amp;t=24s", "Go to time")</f>
        <v/>
      </c>
    </row>
    <row r="3459">
      <c r="A3459">
        <f>HYPERLINK("https://www.youtube.com/watch?v=dw2V4rJk0HA", "Video")</f>
        <v/>
      </c>
      <c r="B3459" t="inlineStr">
        <is>
          <t>1:01</t>
        </is>
      </c>
      <c r="C3459" t="inlineStr">
        <is>
          <t>Direction after a breakup this same</t>
        </is>
      </c>
      <c r="D3459">
        <f>HYPERLINK("https://www.youtube.com/watch?v=dw2V4rJk0HA&amp;t=61s", "Go to time")</f>
        <v/>
      </c>
    </row>
    <row r="3460">
      <c r="A3460">
        <f>HYPERLINK("https://www.youtube.com/watch?v=Y9UOEHD4ISo", "Video")</f>
        <v/>
      </c>
      <c r="B3460" t="inlineStr">
        <is>
          <t>6:31</t>
        </is>
      </c>
      <c r="C3460" t="inlineStr">
        <is>
          <t>or to direct anxieties at
a common fictional enemy.</t>
        </is>
      </c>
      <c r="D3460">
        <f>HYPERLINK("https://www.youtube.com/watch?v=Y9UOEHD4ISo&amp;t=391s", "Go to time")</f>
        <v/>
      </c>
    </row>
    <row r="3461">
      <c r="A3461">
        <f>HYPERLINK("https://www.youtube.com/watch?v=kYCjxLK_gkg", "Video")</f>
        <v/>
      </c>
      <c r="B3461" t="inlineStr">
        <is>
          <t>0:31</t>
        </is>
      </c>
      <c r="C3461" t="inlineStr">
        <is>
          <t>in a different direction,
a human direction.</t>
        </is>
      </c>
      <c r="D3461">
        <f>HYPERLINK("https://www.youtube.com/watch?v=kYCjxLK_gkg&amp;t=31s", "Go to time")</f>
        <v/>
      </c>
    </row>
    <row r="3462">
      <c r="A3462">
        <f>HYPERLINK("https://www.youtube.com/watch?v=C6NNOOUgHag", "Video")</f>
        <v/>
      </c>
      <c r="B3462" t="inlineStr">
        <is>
          <t>3:06</t>
        </is>
      </c>
      <c r="C3462" t="inlineStr">
        <is>
          <t>Eventually, a group of children 
pointed them in the right direction.</t>
        </is>
      </c>
      <c r="D3462">
        <f>HYPERLINK("https://www.youtube.com/watch?v=C6NNOOUgHag&amp;t=186s", "Go to time")</f>
        <v/>
      </c>
    </row>
    <row r="3463">
      <c r="A3463">
        <f>HYPERLINK("https://www.youtube.com/watch?v=OSswV86uajY", "Video")</f>
        <v/>
      </c>
      <c r="B3463" t="inlineStr">
        <is>
          <t>1:17</t>
        </is>
      </c>
      <c r="C3463" t="inlineStr">
        <is>
          <t>The director, Peter Jackson,
took the story back</t>
        </is>
      </c>
      <c r="D3463">
        <f>HYPERLINK("https://www.youtube.com/watch?v=OSswV86uajY&amp;t=77s", "Go to time")</f>
        <v/>
      </c>
    </row>
    <row r="3464">
      <c r="A3464">
        <f>HYPERLINK("https://www.youtube.com/watch?v=OSswV86uajY", "Video")</f>
        <v/>
      </c>
      <c r="B3464" t="inlineStr">
        <is>
          <t>3:12</t>
        </is>
      </c>
      <c r="C3464" t="inlineStr">
        <is>
          <t>Jackson's film might be a
step in the right direction,</t>
        </is>
      </c>
      <c r="D3464">
        <f>HYPERLINK("https://www.youtube.com/watch?v=OSswV86uajY&amp;t=192s", "Go to time")</f>
        <v/>
      </c>
    </row>
    <row r="3465">
      <c r="A3465">
        <f>HYPERLINK("https://www.youtube.com/watch?v=OSswV86uajY", "Video")</f>
        <v/>
      </c>
      <c r="B3465" t="inlineStr">
        <is>
          <t>3:45</t>
        </is>
      </c>
      <c r="C3465" t="inlineStr">
        <is>
          <t>This director's cut, for example,</t>
        </is>
      </c>
      <c r="D3465">
        <f>HYPERLINK("https://www.youtube.com/watch?v=OSswV86uajY&amp;t=225s", "Go to time")</f>
        <v/>
      </c>
    </row>
    <row r="3466">
      <c r="A3466">
        <f>HYPERLINK("https://www.youtube.com/watch?v=bbrh_t8WhBc", "Video")</f>
        <v/>
      </c>
      <c r="B3466" t="inlineStr">
        <is>
          <t>11:09</t>
        </is>
      </c>
      <c r="C3466" t="inlineStr">
        <is>
          <t>of us need direct instruction to learn it.</t>
        </is>
      </c>
      <c r="D3466">
        <f>HYPERLINK("https://www.youtube.com/watch?v=bbrh_t8WhBc&amp;t=669s", "Go to time")</f>
        <v/>
      </c>
    </row>
    <row r="3467">
      <c r="A3467">
        <f>HYPERLINK("https://www.youtube.com/watch?v=MQUO2AVCUKM", "Video")</f>
        <v/>
      </c>
      <c r="B3467" t="inlineStr">
        <is>
          <t>2:19</t>
        </is>
      </c>
      <c r="C3467" t="inlineStr">
        <is>
          <t>But imagine how efficient it is:
if I point in one direction.</t>
        </is>
      </c>
      <c r="D3467">
        <f>HYPERLINK("https://www.youtube.com/watch?v=MQUO2AVCUKM&amp;t=139s", "Go to time")</f>
        <v/>
      </c>
    </row>
    <row r="3468">
      <c r="A3468">
        <f>HYPERLINK("https://www.youtube.com/watch?v=MQUO2AVCUKM", "Video")</f>
        <v/>
      </c>
      <c r="B3468" t="inlineStr">
        <is>
          <t>2:44</t>
        </is>
      </c>
      <c r="C3468" t="inlineStr">
        <is>
          <t>direction and position of a sign
can change its meaning.</t>
        </is>
      </c>
      <c r="D3468">
        <f>HYPERLINK("https://www.youtube.com/watch?v=MQUO2AVCUKM&amp;t=164s", "Go to time")</f>
        <v/>
      </c>
    </row>
    <row r="3469">
      <c r="A3469">
        <f>HYPERLINK("https://www.youtube.com/watch?v=MQUO2AVCUKM", "Video")</f>
        <v/>
      </c>
      <c r="B3469" t="inlineStr">
        <is>
          <t>10:27</t>
        </is>
      </c>
      <c r="C3469" t="inlineStr">
        <is>
          <t>like giving directions
or remembering faces.</t>
        </is>
      </c>
      <c r="D3469">
        <f>HYPERLINK("https://www.youtube.com/watch?v=MQUO2AVCUKM&amp;t=627s", "Go to time")</f>
        <v/>
      </c>
    </row>
    <row r="3470">
      <c r="A3470">
        <f>HYPERLINK("https://www.youtube.com/watch?v=5LOQxug_XeA", "Video")</f>
        <v/>
      </c>
      <c r="B3470" t="inlineStr">
        <is>
          <t>0:34</t>
        </is>
      </c>
      <c r="C3470" t="inlineStr">
        <is>
          <t>- [Director] And action.</t>
        </is>
      </c>
      <c r="D3470">
        <f>HYPERLINK("https://www.youtube.com/watch?v=5LOQxug_XeA&amp;t=34s", "Go to time")</f>
        <v/>
      </c>
    </row>
    <row r="3471">
      <c r="A3471">
        <f>HYPERLINK("https://www.youtube.com/watch?v=5LOQxug_XeA", "Video")</f>
        <v/>
      </c>
      <c r="B3471" t="inlineStr">
        <is>
          <t>0:44</t>
        </is>
      </c>
      <c r="C3471" t="inlineStr">
        <is>
          <t>- [Director] Cut.</t>
        </is>
      </c>
      <c r="D3471">
        <f>HYPERLINK("https://www.youtube.com/watch?v=5LOQxug_XeA&amp;t=44s", "Go to time")</f>
        <v/>
      </c>
    </row>
    <row r="3472">
      <c r="A3472">
        <f>HYPERLINK("https://www.youtube.com/watch?v=5LOQxug_XeA", "Video")</f>
        <v/>
      </c>
      <c r="B3472" t="inlineStr">
        <is>
          <t>19:16</t>
        </is>
      </c>
      <c r="C3472" t="inlineStr">
        <is>
          <t>"Nightmare on Elm Street"
director Wes Craven</t>
        </is>
      </c>
      <c r="D3472">
        <f>HYPERLINK("https://www.youtube.com/watch?v=5LOQxug_XeA&amp;t=1156s", "Go to time")</f>
        <v/>
      </c>
    </row>
    <row r="3473">
      <c r="A3473">
        <f>HYPERLINK("https://www.youtube.com/watch?v=VUg44ImYIIo", "Video")</f>
        <v/>
      </c>
      <c r="B3473" t="inlineStr">
        <is>
          <t>10:18</t>
        </is>
      </c>
      <c r="C3473" t="inlineStr">
        <is>
          <t>The moral compass in much of Vonnegut’s
work points in a progressive direction, leaning</t>
        </is>
      </c>
      <c r="D3473">
        <f>HYPERLINK("https://www.youtube.com/watch?v=VUg44ImYIIo&amp;t=618s", "Go to time")</f>
        <v/>
      </c>
    </row>
    <row r="3474">
      <c r="A3474">
        <f>HYPERLINK("https://www.youtube.com/watch?v=VUg44ImYIIo", "Video")</f>
        <v/>
      </c>
      <c r="B3474" t="inlineStr">
        <is>
          <t>12:10</t>
        </is>
      </c>
      <c r="C3474" t="inlineStr">
        <is>
          <t>Slaughterhouse-Five also continued Vonnegut’s
trend of directly inserting himself in his</t>
        </is>
      </c>
      <c r="D3474">
        <f>HYPERLINK("https://www.youtube.com/watch?v=VUg44ImYIIo&amp;t=730s", "Go to time")</f>
        <v/>
      </c>
    </row>
    <row r="3475">
      <c r="A3475">
        <f>HYPERLINK("https://www.youtube.com/watch?v=67FpatjHdxo", "Video")</f>
        <v/>
      </c>
      <c r="B3475" t="inlineStr">
        <is>
          <t>2:53</t>
        </is>
      </c>
      <c r="C3475" t="inlineStr">
        <is>
          <t>representing
different directions.</t>
        </is>
      </c>
      <c r="D3475">
        <f>HYPERLINK("https://www.youtube.com/watch?v=67FpatjHdxo&amp;t=173s", "Go to time")</f>
        <v/>
      </c>
    </row>
    <row r="3476">
      <c r="A3476">
        <f>HYPERLINK("https://www.youtube.com/watch?v=EGGFsOPQaAU", "Video")</f>
        <v/>
      </c>
      <c r="B3476" t="inlineStr">
        <is>
          <t>1:17</t>
        </is>
      </c>
      <c r="C3476" t="inlineStr">
        <is>
          <t>And I am the director of the child's lab.</t>
        </is>
      </c>
      <c r="D3476">
        <f>HYPERLINK("https://www.youtube.com/watch?v=EGGFsOPQaAU&amp;t=77s", "Go to time")</f>
        <v/>
      </c>
    </row>
    <row r="3477">
      <c r="A3477">
        <f>HYPERLINK("https://www.youtube.com/watch?v=UjqKcvu3Ycs", "Video")</f>
        <v/>
      </c>
      <c r="B3477" t="inlineStr">
        <is>
          <t>6:31</t>
        </is>
      </c>
      <c r="C3477" t="inlineStr">
        <is>
          <t>and that there is no more
direct means of expression</t>
        </is>
      </c>
      <c r="D3477">
        <f>HYPERLINK("https://www.youtube.com/watch?v=UjqKcvu3Ycs&amp;t=391s", "Go to time")</f>
        <v/>
      </c>
    </row>
    <row r="3478">
      <c r="A3478">
        <f>HYPERLINK("https://www.youtube.com/watch?v=GUpeDwiD64M", "Video")</f>
        <v/>
      </c>
      <c r="B3478" t="inlineStr">
        <is>
          <t>3:25</t>
        </is>
      </c>
      <c r="C3478" t="inlineStr">
        <is>
          <t>This is Denny Bellamy, the Mason County
Visitors Bureau Executive Director. Denny</t>
        </is>
      </c>
      <c r="D3478">
        <f>HYPERLINK("https://www.youtube.com/watch?v=GUpeDwiD64M&amp;t=205s", "Go to time")</f>
        <v/>
      </c>
    </row>
    <row r="3479">
      <c r="A3479">
        <f>HYPERLINK("https://www.youtube.com/watch?v=GUpeDwiD64M", "Video")</f>
        <v/>
      </c>
      <c r="B3479" t="inlineStr">
        <is>
          <t>8:40</t>
        </is>
      </c>
      <c r="C3479" t="inlineStr">
        <is>
          <t>officer directing traffic.There was so
much. Newspapers are often the first</t>
        </is>
      </c>
      <c r="D3479">
        <f>HYPERLINK("https://www.youtube.com/watch?v=GUpeDwiD64M&amp;t=520s", "Go to time")</f>
        <v/>
      </c>
    </row>
    <row r="3480">
      <c r="A3480">
        <f>HYPERLINK("https://www.youtube.com/watch?v=GUpeDwiD64M", "Video")</f>
        <v/>
      </c>
      <c r="B3480" t="inlineStr">
        <is>
          <t>14:17</t>
        </is>
      </c>
      <c r="C3480" t="inlineStr">
        <is>
          <t>discharged directly into the Ohio River
through a pipe located about one foot</t>
        </is>
      </c>
      <c r="D3480">
        <f>HYPERLINK("https://www.youtube.com/watch?v=GUpeDwiD64M&amp;t=857s", "Go to time")</f>
        <v/>
      </c>
    </row>
    <row r="3481">
      <c r="A3481">
        <f>HYPERLINK("https://www.youtube.com/watch?v=k-lNeg9e60c", "Video")</f>
        <v/>
      </c>
      <c r="B3481" t="inlineStr">
        <is>
          <t>11:10</t>
        </is>
      </c>
      <c r="C3481" t="inlineStr">
        <is>
          <t>If one lives long enough, he or she will experience
plague, either directly or indirectly.”</t>
        </is>
      </c>
      <c r="D3481">
        <f>HYPERLINK("https://www.youtube.com/watch?v=k-lNeg9e60c&amp;t=670s", "Go to time")</f>
        <v/>
      </c>
    </row>
    <row r="3482">
      <c r="A3482">
        <f>HYPERLINK("https://www.youtube.com/watch?v=demJo-CfGU0", "Video")</f>
        <v/>
      </c>
      <c r="B3482" t="inlineStr">
        <is>
          <t>11:20</t>
        </is>
      </c>
      <c r="C3482" t="inlineStr">
        <is>
          <t>Director Robert
Eggers' "Nosferatu",</t>
        </is>
      </c>
      <c r="D3482">
        <f>HYPERLINK("https://www.youtube.com/watch?v=demJo-CfGU0&amp;t=680s", "Go to time")</f>
        <v/>
      </c>
    </row>
    <row r="3483">
      <c r="A3483">
        <f>HYPERLINK("https://www.youtube.com/watch?v=qh4Ggbdenws", "Video")</f>
        <v/>
      </c>
      <c r="B3483" t="inlineStr">
        <is>
          <t>1:46</t>
        </is>
      </c>
      <c r="C3483" t="inlineStr">
        <is>
          <t>The King James version of
the Bible directly lifted the</t>
        </is>
      </c>
      <c r="D3483">
        <f>HYPERLINK("https://www.youtube.com/watch?v=qh4Ggbdenws&amp;t=106s", "Go to time")</f>
        <v/>
      </c>
    </row>
    <row r="3484">
      <c r="A3484">
        <f>HYPERLINK("https://www.youtube.com/watch?v=Bs7HnNPgQR0", "Video")</f>
        <v/>
      </c>
      <c r="B3484" t="inlineStr">
        <is>
          <t>2:08</t>
        </is>
      </c>
      <c r="C3484" t="inlineStr">
        <is>
          <t>that on your way home you
ask someone for directions,</t>
        </is>
      </c>
      <c r="D3484">
        <f>HYPERLINK("https://www.youtube.com/watch?v=Bs7HnNPgQR0&amp;t=128s", "Go to time")</f>
        <v/>
      </c>
    </row>
    <row r="3485">
      <c r="A3485">
        <f>HYPERLINK("https://www.youtube.com/watch?v=Bs7HnNPgQR0", "Video")</f>
        <v/>
      </c>
      <c r="B3485" t="inlineStr">
        <is>
          <t>2:24</t>
        </is>
      </c>
      <c r="C3485" t="inlineStr">
        <is>
          <t>which might help with
remembering those directions.</t>
        </is>
      </c>
      <c r="D3485">
        <f>HYPERLINK("https://www.youtube.com/watch?v=Bs7HnNPgQR0&amp;t=144s", "Go to time")</f>
        <v/>
      </c>
    </row>
    <row r="3486">
      <c r="A3486">
        <f>HYPERLINK("https://www.youtube.com/watch?v=4IYisDTeycY", "Video")</f>
        <v/>
      </c>
      <c r="B3486" t="inlineStr">
        <is>
          <t>2:19</t>
        </is>
      </c>
      <c r="C3486" t="inlineStr">
        <is>
          <t>The Sirens hear the ship as it approaches
and in “clear-toned song” sing directly</t>
        </is>
      </c>
      <c r="D3486">
        <f>HYPERLINK("https://www.youtube.com/watch?v=4IYisDTeycY&amp;t=139s", "Go to time")</f>
        <v/>
      </c>
    </row>
    <row r="3487">
      <c r="A3487">
        <f>HYPERLINK("https://www.youtube.com/watch?v=Ir9do-YQoC8", "Video")</f>
        <v/>
      </c>
      <c r="B3487" t="inlineStr">
        <is>
          <t>6:41</t>
        </is>
      </c>
      <c r="C3487" t="inlineStr">
        <is>
          <t>They disorient time and direction.</t>
        </is>
      </c>
      <c r="D3487">
        <f>HYPERLINK("https://www.youtube.com/watch?v=Ir9do-YQoC8&amp;t=401s", "Go to time")</f>
        <v/>
      </c>
    </row>
    <row r="3488">
      <c r="A3488">
        <f>HYPERLINK("https://www.youtube.com/watch?v=FcNUxb_4qbo", "Video")</f>
        <v/>
      </c>
      <c r="B3488" t="inlineStr">
        <is>
          <t>8:34</t>
        </is>
      </c>
      <c r="C3488" t="inlineStr">
        <is>
          <t>1729 by W. Derham who, after observing the
phenomenon over half a decade, directly refuted</t>
        </is>
      </c>
      <c r="D3488">
        <f>HYPERLINK("https://www.youtube.com/watch?v=FcNUxb_4qbo&amp;t=514s", "Go to time")</f>
        <v/>
      </c>
    </row>
    <row r="3489">
      <c r="A3489">
        <f>HYPERLINK("https://www.youtube.com/watch?v=aff9ZQLClcU", "Video")</f>
        <v/>
      </c>
      <c r="B3489" t="inlineStr">
        <is>
          <t>19:50</t>
        </is>
      </c>
      <c r="C3489" t="inlineStr">
        <is>
          <t>The film explicitly portrays werewolfism as
a sexually transferable condition and directly</t>
        </is>
      </c>
      <c r="D3489">
        <f>HYPERLINK("https://www.youtube.com/watch?v=aff9ZQLClcU&amp;t=1190s", "Go to time")</f>
        <v/>
      </c>
    </row>
    <row r="3490">
      <c r="A3490">
        <f>HYPERLINK("https://www.youtube.com/watch?v=aff9ZQLClcU", "Video")</f>
        <v/>
      </c>
      <c r="B3490" t="inlineStr">
        <is>
          <t>20:49</t>
        </is>
      </c>
      <c r="C3490" t="inlineStr">
        <is>
          <t>Ginger is bitten by a werewolf, triggering
a transformation directly linked to her menstrual</t>
        </is>
      </c>
      <c r="D3490">
        <f>HYPERLINK("https://www.youtube.com/watch?v=aff9ZQLClcU&amp;t=1249s", "Go to time")</f>
        <v/>
      </c>
    </row>
    <row r="3491">
      <c r="A3491">
        <f>HYPERLINK("https://www.youtube.com/watch?v=aff9ZQLClcU", "Video")</f>
        <v/>
      </c>
      <c r="B3491" t="inlineStr">
        <is>
          <t>29:24</t>
        </is>
      </c>
      <c r="C3491" t="inlineStr">
        <is>
          <t>Writer directors Juliana Rojas and Marco Dutra,
they use the werewolf mythology to explore</t>
        </is>
      </c>
      <c r="D3491">
        <f>HYPERLINK("https://www.youtube.com/watch?v=aff9ZQLClcU&amp;t=1764s", "Go to time")</f>
        <v/>
      </c>
    </row>
    <row r="3492">
      <c r="A3492">
        <f>HYPERLINK("https://www.youtube.com/watch?v=44A1wAf8P70", "Video")</f>
        <v/>
      </c>
      <c r="B3492" t="inlineStr">
        <is>
          <t>5:20</t>
        </is>
      </c>
      <c r="C3492" t="inlineStr">
        <is>
          <t>that the story is unlikely
a direct translation.</t>
        </is>
      </c>
      <c r="D3492">
        <f>HYPERLINK("https://www.youtube.com/watch?v=44A1wAf8P70&amp;t=320s", "Go to time")</f>
        <v/>
      </c>
    </row>
    <row r="3493">
      <c r="A3493">
        <f>HYPERLINK("https://www.youtube.com/watch?v=44A1wAf8P70", "Video")</f>
        <v/>
      </c>
      <c r="B3493" t="inlineStr">
        <is>
          <t>9:27</t>
        </is>
      </c>
      <c r="C3493" t="inlineStr">
        <is>
          <t>(director)
Assurances.</t>
        </is>
      </c>
      <c r="D3493">
        <f>HYPERLINK("https://www.youtube.com/watch?v=44A1wAf8P70&amp;t=567s", "Go to time")</f>
        <v/>
      </c>
    </row>
    <row r="3494">
      <c r="A3494">
        <f>HYPERLINK("https://www.youtube.com/watch?v=rtqRaKhu1VY", "Video")</f>
        <v/>
      </c>
      <c r="B3494" t="inlineStr">
        <is>
          <t>4:51</t>
        </is>
      </c>
      <c r="C3494" t="inlineStr">
        <is>
          <t>It is also told in the first person, putting
the reader directly into her thoughts and</t>
        </is>
      </c>
      <c r="D3494">
        <f>HYPERLINK("https://www.youtube.com/watch?v=rtqRaKhu1VY&amp;t=291s", "Go to time")</f>
        <v/>
      </c>
    </row>
    <row r="3495">
      <c r="A3495">
        <f>HYPERLINK("https://www.youtube.com/watch?v=scgn2BCcht4", "Video")</f>
        <v/>
      </c>
      <c r="B3495" t="inlineStr">
        <is>
          <t>6:20</t>
        </is>
      </c>
      <c r="C3495" t="inlineStr">
        <is>
          <t>with Márquez alluding to
or directly folding in</t>
        </is>
      </c>
      <c r="D3495">
        <f>HYPERLINK("https://www.youtube.com/watch?v=scgn2BCcht4&amp;t=380s", "Go to time")</f>
        <v/>
      </c>
    </row>
    <row r="3496">
      <c r="A3496">
        <f>HYPERLINK("https://www.youtube.com/watch?v=apSFkSHbuyE", "Video")</f>
        <v/>
      </c>
      <c r="B3496" t="inlineStr">
        <is>
          <t>6:28</t>
        </is>
      </c>
      <c r="C3496" t="inlineStr">
        <is>
          <t>Many comic book artists,
authors, directors,</t>
        </is>
      </c>
      <c r="D3496">
        <f>HYPERLINK("https://www.youtube.com/watch?v=apSFkSHbuyE&amp;t=388s", "Go to time")</f>
        <v/>
      </c>
    </row>
    <row r="3497">
      <c r="A3497">
        <f>HYPERLINK("https://www.youtube.com/watch?v=zHCGdyhHlRs", "Video")</f>
        <v/>
      </c>
      <c r="B3497" t="inlineStr">
        <is>
          <t>0:11</t>
        </is>
      </c>
      <c r="C3497" t="inlineStr">
        <is>
          <t>the Japanese getto suru,
which more directly translates</t>
        </is>
      </c>
      <c r="D3497">
        <f>HYPERLINK("https://www.youtube.com/watch?v=zHCGdyhHlRs&amp;t=11s", "Go to time")</f>
        <v/>
      </c>
    </row>
    <row r="3498">
      <c r="A3498">
        <f>HYPERLINK("https://www.youtube.com/watch?v=7rrK3MHlxz8", "Video")</f>
        <v/>
      </c>
      <c r="B3498" t="inlineStr">
        <is>
          <t>8:40</t>
        </is>
      </c>
      <c r="C3498" t="inlineStr">
        <is>
          <t>(director)
Or, sorry. Right.</t>
        </is>
      </c>
      <c r="D3498">
        <f>HYPERLINK("https://www.youtube.com/watch?v=7rrK3MHlxz8&amp;t=520s", "Go to time")</f>
        <v/>
      </c>
    </row>
    <row r="3499">
      <c r="A3499">
        <f>HYPERLINK("https://www.youtube.com/watch?v=7rrK3MHlxz8", "Video")</f>
        <v/>
      </c>
      <c r="B3499" t="inlineStr">
        <is>
          <t>8:46</t>
        </is>
      </c>
      <c r="C3499" t="inlineStr">
        <is>
          <t>(director)
I mean, even though
you won, Gilgamesh...</t>
        </is>
      </c>
      <c r="D3499">
        <f>HYPERLINK("https://www.youtube.com/watch?v=7rrK3MHlxz8&amp;t=526s", "Go to time")</f>
        <v/>
      </c>
    </row>
    <row r="3500">
      <c r="A3500">
        <f>HYPERLINK("https://www.youtube.com/watch?v=Fe8_13i7wDY", "Video")</f>
        <v/>
      </c>
      <c r="B3500" t="inlineStr">
        <is>
          <t>6:52</t>
        </is>
      </c>
      <c r="C3500" t="inlineStr">
        <is>
          <t>It’s as if seven fishermen have cast their
hooks into her from different directions and</t>
        </is>
      </c>
      <c r="D3500">
        <f>HYPERLINK("https://www.youtube.com/watch?v=Fe8_13i7wDY&amp;t=412s", "Go to time")</f>
        <v/>
      </c>
    </row>
    <row r="3501">
      <c r="A3501">
        <f>HYPERLINK("https://www.youtube.com/watch?v=08ASjs_qt70", "Video")</f>
        <v/>
      </c>
      <c r="B3501" t="inlineStr">
        <is>
          <t>3:58</t>
        </is>
      </c>
      <c r="C3501" t="inlineStr">
        <is>
          <t>Tod Browning was hired as
director and Charles D. Hall</t>
        </is>
      </c>
      <c r="D3501">
        <f>HYPERLINK("https://www.youtube.com/watch?v=08ASjs_qt70&amp;t=238s", "Go to time")</f>
        <v/>
      </c>
    </row>
    <row r="3502">
      <c r="A3502">
        <f>HYPERLINK("https://www.youtube.com/watch?v=08ASjs_qt70", "Video")</f>
        <v/>
      </c>
      <c r="B3502" t="inlineStr">
        <is>
          <t>4:53</t>
        </is>
      </c>
      <c r="C3502" t="inlineStr">
        <is>
          <t>They offered prominent
director James Whale</t>
        </is>
      </c>
      <c r="D3502">
        <f>HYPERLINK("https://www.youtube.com/watch?v=08ASjs_qt70&amp;t=293s", "Go to time")</f>
        <v/>
      </c>
    </row>
    <row r="3503">
      <c r="A3503">
        <f>HYPERLINK("https://www.youtube.com/watch?v=08ASjs_qt70", "Video")</f>
        <v/>
      </c>
      <c r="B3503" t="inlineStr">
        <is>
          <t>11:42</t>
        </is>
      </c>
      <c r="C3503" t="inlineStr">
        <is>
          <t>under the direction
of noted actress</t>
        </is>
      </c>
      <c r="D3503">
        <f>HYPERLINK("https://www.youtube.com/watch?v=08ASjs_qt70&amp;t=702s", "Go to time")</f>
        <v/>
      </c>
    </row>
    <row r="3504">
      <c r="A3504">
        <f>HYPERLINK("https://www.youtube.com/watch?v=08ASjs_qt70", "Video")</f>
        <v/>
      </c>
      <c r="B3504" t="inlineStr">
        <is>
          <t>12:10</t>
        </is>
      </c>
      <c r="C3504" t="inlineStr">
        <is>
          <t>The writers, actors,
directors, cinematographers,</t>
        </is>
      </c>
      <c r="D3504">
        <f>HYPERLINK("https://www.youtube.com/watch?v=08ASjs_qt70&amp;t=730s", "Go to time")</f>
        <v/>
      </c>
    </row>
    <row r="3505">
      <c r="A3505">
        <f>HYPERLINK("https://www.youtube.com/watch?v=Tjf_MOyB0K4", "Video")</f>
        <v/>
      </c>
      <c r="B3505" t="inlineStr">
        <is>
          <t>3:57</t>
        </is>
      </c>
      <c r="C3505" t="inlineStr">
        <is>
          <t>there's no direct contact
between articulators,</t>
        </is>
      </c>
      <c r="D3505">
        <f>HYPERLINK("https://www.youtube.com/watch?v=Tjf_MOyB0K4&amp;t=237s", "Go to time")</f>
        <v/>
      </c>
    </row>
    <row r="3506">
      <c r="A3506">
        <f>HYPERLINK("https://www.youtube.com/watch?v=ORmnbVsyCSY", "Video")</f>
        <v/>
      </c>
      <c r="B3506" t="inlineStr">
        <is>
          <t>10:20</t>
        </is>
      </c>
      <c r="C3506" t="inlineStr">
        <is>
          <t>About a decade later,
a more direct association</t>
        </is>
      </c>
      <c r="D3506">
        <f>HYPERLINK("https://www.youtube.com/watch?v=ORmnbVsyCSY&amp;t=620s", "Go to time")</f>
        <v/>
      </c>
    </row>
    <row r="3507">
      <c r="A3507">
        <f>HYPERLINK("https://www.youtube.com/watch?v=ORmnbVsyCSY", "Video")</f>
        <v/>
      </c>
      <c r="B3507" t="inlineStr">
        <is>
          <t>11:32</t>
        </is>
      </c>
      <c r="C3507" t="inlineStr">
        <is>
          <t>(Director)
Yep, you're perfect.</t>
        </is>
      </c>
      <c r="D3507">
        <f>HYPERLINK("https://www.youtube.com/watch?v=ORmnbVsyCSY&amp;t=692s", "Go to time")</f>
        <v/>
      </c>
    </row>
    <row r="3508">
      <c r="A3508">
        <f>HYPERLINK("https://www.youtube.com/watch?v=y-sYUaWeOyA", "Video")</f>
        <v/>
      </c>
      <c r="B3508" t="inlineStr">
        <is>
          <t>3:45</t>
        </is>
      </c>
      <c r="C3508" t="inlineStr">
        <is>
          <t>also mimic child-directed speech</t>
        </is>
      </c>
      <c r="D3508">
        <f>HYPERLINK("https://www.youtube.com/watch?v=y-sYUaWeOyA&amp;t=225s", "Go to time")</f>
        <v/>
      </c>
    </row>
    <row r="3509">
      <c r="A3509">
        <f>HYPERLINK("https://www.youtube.com/watch?v=y-sYUaWeOyA", "Video")</f>
        <v/>
      </c>
      <c r="B3509" t="inlineStr">
        <is>
          <t>4:33</t>
        </is>
      </c>
      <c r="C3509" t="inlineStr">
        <is>
          <t>who watch child-directed TV shows</t>
        </is>
      </c>
      <c r="D3509">
        <f>HYPERLINK("https://www.youtube.com/watch?v=y-sYUaWeOyA&amp;t=273s", "Go to time")</f>
        <v/>
      </c>
    </row>
    <row r="3510">
      <c r="A3510">
        <f>HYPERLINK("https://www.youtube.com/watch?v=JdFSTQ40rsw", "Video")</f>
        <v/>
      </c>
      <c r="B3510" t="inlineStr">
        <is>
          <t>0:38</t>
        </is>
      </c>
      <c r="C3510" t="inlineStr">
        <is>
          <t>Directly linked to the
gods Isis and Osiris,</t>
        </is>
      </c>
      <c r="D3510">
        <f>HYPERLINK("https://www.youtube.com/watch?v=JdFSTQ40rsw&amp;t=38s", "Go to time")</f>
        <v/>
      </c>
    </row>
    <row r="3511">
      <c r="A3511">
        <f>HYPERLINK("https://www.youtube.com/watch?v=JdFSTQ40rsw", "Video")</f>
        <v/>
      </c>
      <c r="B3511" t="inlineStr">
        <is>
          <t>8:28</t>
        </is>
      </c>
      <c r="C3511" t="inlineStr">
        <is>
          <t>stories circulated that he was
suffering a dire punishment</t>
        </is>
      </c>
      <c r="D3511">
        <f>HYPERLINK("https://www.youtube.com/watch?v=JdFSTQ40rsw&amp;t=508s", "Go to time")</f>
        <v/>
      </c>
    </row>
    <row r="3512">
      <c r="A3512">
        <f>HYPERLINK("https://www.youtube.com/watch?v=utJZ8YmXOnc", "Video")</f>
        <v/>
      </c>
      <c r="B3512" t="inlineStr">
        <is>
          <t>0:25</t>
        </is>
      </c>
      <c r="C3512" t="inlineStr">
        <is>
          <t>know to be the case, the stories all had one 
lesson in common: don’t look directly at it.</t>
        </is>
      </c>
      <c r="D3512">
        <f>HYPERLINK("https://www.youtube.com/watch?v=utJZ8YmXOnc&amp;t=25s", "Go to time")</f>
        <v/>
      </c>
    </row>
    <row r="3513">
      <c r="A3513">
        <f>HYPERLINK("https://www.youtube.com/watch?v=utJZ8YmXOnc", "Video")</f>
        <v/>
      </c>
      <c r="B3513" t="inlineStr">
        <is>
          <t>4:53</t>
        </is>
      </c>
      <c r="C3513" t="inlineStr">
        <is>
          <t>The Incan royal family was said to 
be directly descended from Inti,</t>
        </is>
      </c>
      <c r="D3513">
        <f>HYPERLINK("https://www.youtube.com/watch?v=utJZ8YmXOnc&amp;t=293s", "Go to time")</f>
        <v/>
      </c>
    </row>
    <row r="3514">
      <c r="A3514">
        <f>HYPERLINK("https://www.youtube.com/watch?v=SzJvpmoWQrI", "Video")</f>
        <v/>
      </c>
      <c r="B3514" t="inlineStr">
        <is>
          <t>0:05</t>
        </is>
      </c>
      <c r="C3514" t="inlineStr">
        <is>
          <t>December of this year, we were supposed to
see the arrival of director Denis Villeneuve’s</t>
        </is>
      </c>
      <c r="D3514">
        <f>HYPERLINK("https://www.youtube.com/watch?v=SzJvpmoWQrI&amp;t=5s", "Go to time")</f>
        <v/>
      </c>
    </row>
    <row r="3515">
      <c r="A3515">
        <f>HYPERLINK("https://www.youtube.com/watch?v=SzJvpmoWQrI", "Video")</f>
        <v/>
      </c>
      <c r="B3515" t="inlineStr">
        <is>
          <t>0:30</t>
        </is>
      </c>
      <c r="C3515" t="inlineStr">
        <is>
          <t>directed by Villeneuve, but owing to the ongoing
plague of eternity, the release has been pushed</t>
        </is>
      </c>
      <c r="D3515">
        <f>HYPERLINK("https://www.youtube.com/watch?v=SzJvpmoWQrI&amp;t=30s", "Go to time")</f>
        <v/>
      </c>
    </row>
    <row r="3516">
      <c r="A3516">
        <f>HYPERLINK("https://www.youtube.com/watch?v=Ut2xMSMWCM4", "Video")</f>
        <v/>
      </c>
      <c r="B3516" t="inlineStr">
        <is>
          <t>2:41</t>
        </is>
      </c>
      <c r="C3516" t="inlineStr">
        <is>
          <t>directly related to
 the kappa's life force.</t>
        </is>
      </c>
      <c r="D3516">
        <f>HYPERLINK("https://www.youtube.com/watch?v=Ut2xMSMWCM4&amp;t=161s", "Go to time")</f>
        <v/>
      </c>
    </row>
    <row r="3517">
      <c r="A3517">
        <f>HYPERLINK("https://www.youtube.com/watch?v=bdDIMOehLm8", "Video")</f>
        <v/>
      </c>
      <c r="B3517" t="inlineStr">
        <is>
          <t>8:05</t>
        </is>
      </c>
      <c r="C3517" t="inlineStr">
        <is>
          <t>alternate univere, or AU, featuring Harry
Styles from One Direction as a... bad Harry Styles,</t>
        </is>
      </c>
      <c r="D3517">
        <f>HYPERLINK("https://www.youtube.com/watch?v=bdDIMOehLm8&amp;t=485s", "Go to time")</f>
        <v/>
      </c>
    </row>
    <row r="3518">
      <c r="A3518">
        <f>HYPERLINK("https://www.youtube.com/watch?v=bdDIMOehLm8", "Video")</f>
        <v/>
      </c>
      <c r="B3518" t="inlineStr">
        <is>
          <t>8:12</t>
        </is>
      </c>
      <c r="C3518" t="inlineStr">
        <is>
          <t>but there is a truly staggering amount of One Direction fanfic</t>
        </is>
      </c>
      <c r="D3518">
        <f>HYPERLINK("https://www.youtube.com/watch?v=bdDIMOehLm8&amp;t=492s", "Go to time")</f>
        <v/>
      </c>
    </row>
    <row r="3519">
      <c r="A3519">
        <f>HYPERLINK("https://www.youtube.com/watch?v=3QWizbz1ltE", "Video")</f>
        <v/>
      </c>
      <c r="B3519" t="inlineStr">
        <is>
          <t>6:39</t>
        </is>
      </c>
      <c r="C3519" t="inlineStr">
        <is>
          <t>they'll always follow
your directions.</t>
        </is>
      </c>
      <c r="D3519">
        <f>HYPERLINK("https://www.youtube.com/watch?v=3QWizbz1ltE&amp;t=399s", "Go to time")</f>
        <v/>
      </c>
    </row>
    <row r="3520">
      <c r="A3520">
        <f>HYPERLINK("https://www.youtube.com/watch?v=3QWizbz1ltE", "Video")</f>
        <v/>
      </c>
      <c r="B3520" t="inlineStr">
        <is>
          <t>8:25</t>
        </is>
      </c>
      <c r="C3520" t="inlineStr">
        <is>
          <t>as a vulture could communicate
directly with them.</t>
        </is>
      </c>
      <c r="D3520">
        <f>HYPERLINK("https://www.youtube.com/watch?v=3QWizbz1ltE&amp;t=505s", "Go to time")</f>
        <v/>
      </c>
    </row>
    <row r="3521">
      <c r="A3521">
        <f>HYPERLINK("https://www.youtube.com/watch?v=u-n4ws9EzUU", "Video")</f>
        <v/>
      </c>
      <c r="B3521" t="inlineStr">
        <is>
          <t>0:27</t>
        </is>
      </c>
      <c r="C3521" t="inlineStr">
        <is>
          <t>But this one is the first I’ve seen whose
monstrous nature is directly associated with</t>
        </is>
      </c>
      <c r="D3521">
        <f>HYPERLINK("https://www.youtube.com/watch?v=u-n4ws9EzUU&amp;t=27s", "Go to time")</f>
        <v/>
      </c>
    </row>
    <row r="3522">
      <c r="A3522">
        <f>HYPERLINK("https://www.youtube.com/watch?v=u-n4ws9EzUU", "Video")</f>
        <v/>
      </c>
      <c r="B3522" t="inlineStr">
        <is>
          <t>4:52</t>
        </is>
      </c>
      <c r="C3522" t="inlineStr">
        <is>
          <t>The city of Pontianak in what is now Indonesia
founded in 1771 is said to have been the direct</t>
        </is>
      </c>
      <c r="D3522">
        <f>HYPERLINK("https://www.youtube.com/watch?v=u-n4ws9EzUU&amp;t=292s", "Go to time")</f>
        <v/>
      </c>
    </row>
    <row r="3523">
      <c r="A3523">
        <f>HYPERLINK("https://www.youtube.com/watch?v=u-n4ws9EzUU", "Video")</f>
        <v/>
      </c>
      <c r="B3523" t="inlineStr">
        <is>
          <t>7:40</t>
        </is>
      </c>
      <c r="C3523" t="inlineStr">
        <is>
          <t>They emerged again  in the 1990s, but largely
as direct- to- video films.</t>
        </is>
      </c>
      <c r="D3523">
        <f>HYPERLINK("https://www.youtube.com/watch?v=u-n4ws9EzUU&amp;t=460s", "Go to time")</f>
        <v/>
      </c>
    </row>
    <row r="3524">
      <c r="A3524">
        <f>HYPERLINK("https://www.youtube.com/watch?v=PJfysMnW6O0", "Video")</f>
        <v/>
      </c>
      <c r="B3524" t="inlineStr">
        <is>
          <t>0:58</t>
        </is>
      </c>
      <c r="C3524" t="inlineStr">
        <is>
          <t>and direction of a society.</t>
        </is>
      </c>
      <c r="D3524">
        <f>HYPERLINK("https://www.youtube.com/watch?v=PJfysMnW6O0&amp;t=58s", "Go to time")</f>
        <v/>
      </c>
    </row>
    <row r="3525">
      <c r="A3525">
        <f>HYPERLINK("https://www.youtube.com/watch?v=PJfysMnW6O0", "Video")</f>
        <v/>
      </c>
      <c r="B3525" t="inlineStr">
        <is>
          <t>6:04</t>
        </is>
      </c>
      <c r="C3525" t="inlineStr">
        <is>
          <t>to go in one direction.</t>
        </is>
      </c>
      <c r="D3525">
        <f>HYPERLINK("https://www.youtube.com/watch?v=PJfysMnW6O0&amp;t=364s", "Go to time")</f>
        <v/>
      </c>
    </row>
    <row r="3526">
      <c r="A3526">
        <f>HYPERLINK("https://www.youtube.com/watch?v=swuoSZXQTac", "Video")</f>
        <v/>
      </c>
      <c r="B3526" t="inlineStr">
        <is>
          <t>6:08</t>
        </is>
      </c>
      <c r="C3526" t="inlineStr">
        <is>
          <t>To be clear, there is no direct evidence of PIE. 
It exists only in theory, though that theory is</t>
        </is>
      </c>
      <c r="D3526">
        <f>HYPERLINK("https://www.youtube.com/watch?v=swuoSZXQTac&amp;t=368s", "Go to time")</f>
        <v/>
      </c>
    </row>
    <row r="3527">
      <c r="A3527">
        <f>HYPERLINK("https://www.youtube.com/watch?v=rjbp7dXYHGw", "Video")</f>
        <v/>
      </c>
      <c r="B3527" t="inlineStr">
        <is>
          <t>0:10</t>
        </is>
      </c>
      <c r="C3527" t="inlineStr">
        <is>
          <t>directed an illegal sale of a company</t>
        </is>
      </c>
      <c r="D3527">
        <f>HYPERLINK("https://www.youtube.com/watch?v=rjbp7dXYHGw&amp;t=10s", "Go to time")</f>
        <v/>
      </c>
    </row>
    <row r="3528">
      <c r="A3528">
        <f>HYPERLINK("https://www.youtube.com/watch?v=9492D2W0yZw", "Video")</f>
        <v/>
      </c>
      <c r="B3528" t="inlineStr">
        <is>
          <t>6:45</t>
        </is>
      </c>
      <c r="C3528" t="inlineStr">
        <is>
          <t>directly you want me to get him to give</t>
        </is>
      </c>
      <c r="D3528">
        <f>HYPERLINK("https://www.youtube.com/watch?v=9492D2W0yZw&amp;t=405s", "Go to time")</f>
        <v/>
      </c>
    </row>
    <row r="3529">
      <c r="A3529">
        <f>HYPERLINK("https://www.youtube.com/watch?v=hm9Pet2wkj4", "Video")</f>
        <v/>
      </c>
      <c r="B3529" t="inlineStr">
        <is>
          <t>0:48</t>
        </is>
      </c>
      <c r="C3529" t="inlineStr">
        <is>
          <t>why because Luis had one good direct you</t>
        </is>
      </c>
      <c r="D3529">
        <f>HYPERLINK("https://www.youtube.com/watch?v=hm9Pet2wkj4&amp;t=48s", "Go to time")</f>
        <v/>
      </c>
    </row>
    <row r="3530">
      <c r="A3530">
        <f>HYPERLINK("https://www.youtube.com/watch?v=RpH5axdiGT0", "Video")</f>
        <v/>
      </c>
      <c r="B3530" t="inlineStr">
        <is>
          <t>18:44</t>
        </is>
      </c>
      <c r="C3530" t="inlineStr">
        <is>
          <t>I'll have a board of directors and</t>
        </is>
      </c>
      <c r="D3530">
        <f>HYPERLINK("https://www.youtube.com/watch?v=RpH5axdiGT0&amp;t=1124s", "Go to time")</f>
        <v/>
      </c>
    </row>
    <row r="3531">
      <c r="A3531">
        <f>HYPERLINK("https://www.youtube.com/watch?v=sLHxg38kJLA", "Video")</f>
        <v/>
      </c>
      <c r="B3531" t="inlineStr">
        <is>
          <t>3:59</t>
        </is>
      </c>
      <c r="C3531" t="inlineStr">
        <is>
          <t>has put us directly in his crosshairs</t>
        </is>
      </c>
      <c r="D3531">
        <f>HYPERLINK("https://www.youtube.com/watch?v=sLHxg38kJLA&amp;t=239s", "Go to time")</f>
        <v/>
      </c>
    </row>
    <row r="3532">
      <c r="A3532">
        <f>HYPERLINK("https://www.youtube.com/watch?v=PZ3ztk_l-gQ", "Video")</f>
        <v/>
      </c>
      <c r="B3532" t="inlineStr">
        <is>
          <t>17:16</t>
        </is>
      </c>
      <c r="C3532" t="inlineStr">
        <is>
          <t>clear directive and you defied me do you</t>
        </is>
      </c>
      <c r="D3532">
        <f>HYPERLINK("https://www.youtube.com/watch?v=PZ3ztk_l-gQ&amp;t=1036s", "Go to time")</f>
        <v/>
      </c>
    </row>
    <row r="3533">
      <c r="A3533">
        <f>HYPERLINK("https://www.youtube.com/watch?v=1qOWHnmVDUI", "Video")</f>
        <v/>
      </c>
      <c r="B3533" t="inlineStr">
        <is>
          <t>0:19</t>
        </is>
      </c>
      <c r="C3533" t="inlineStr">
        <is>
          <t>i have the employee directory right here</t>
        </is>
      </c>
      <c r="D3533">
        <f>HYPERLINK("https://www.youtube.com/watch?v=1qOWHnmVDUI&amp;t=19s", "Go to time")</f>
        <v/>
      </c>
    </row>
    <row r="3534">
      <c r="A3534">
        <f>HYPERLINK("https://www.youtube.com/watch?v=6BMU2nVT6IA", "Video")</f>
        <v/>
      </c>
      <c r="B3534" t="inlineStr">
        <is>
          <t>2:53</t>
        </is>
      </c>
      <c r="C3534" t="inlineStr">
        <is>
          <t>Kesler saying it was directly because of</t>
        </is>
      </c>
      <c r="D3534">
        <f>HYPERLINK("https://www.youtube.com/watch?v=6BMU2nVT6IA&amp;t=173s", "Go to time")</f>
        <v/>
      </c>
    </row>
    <row r="3535">
      <c r="A3535">
        <f>HYPERLINK("https://www.youtube.com/watch?v=ybtTZSbNNs4", "Video")</f>
        <v/>
      </c>
      <c r="B3535" t="inlineStr">
        <is>
          <t>5:17</t>
        </is>
      </c>
      <c r="C3535" t="inlineStr">
        <is>
          <t>be direct tell him you're sorry he might</t>
        </is>
      </c>
      <c r="D3535">
        <f>HYPERLINK("https://www.youtube.com/watch?v=ybtTZSbNNs4&amp;t=317s", "Go to time")</f>
        <v/>
      </c>
    </row>
    <row r="3536">
      <c r="A3536">
        <f>HYPERLINK("https://www.youtube.com/watch?v=ybtTZSbNNs4", "Video")</f>
        <v/>
      </c>
      <c r="B3536" t="inlineStr">
        <is>
          <t>6:13</t>
        </is>
      </c>
      <c r="C3536" t="inlineStr">
        <is>
          <t>actively trying to undermine a direct</t>
        </is>
      </c>
      <c r="D3536">
        <f>HYPERLINK("https://www.youtube.com/watch?v=ybtTZSbNNs4&amp;t=373s", "Go to time")</f>
        <v/>
      </c>
    </row>
    <row r="3537">
      <c r="A3537">
        <f>HYPERLINK("https://www.youtube.com/watch?v=WtdhiwGSCas", "Video")</f>
        <v/>
      </c>
      <c r="B3537" t="inlineStr">
        <is>
          <t>1:54</t>
        </is>
      </c>
      <c r="C3537" t="inlineStr">
        <is>
          <t>we never directly asked you the question</t>
        </is>
      </c>
      <c r="D3537">
        <f>HYPERLINK("https://www.youtube.com/watch?v=WtdhiwGSCas&amp;t=114s", "Go to time")</f>
        <v/>
      </c>
    </row>
    <row r="3538">
      <c r="A3538">
        <f>HYPERLINK("https://www.youtube.com/watch?v=NbOyx0hayRk", "Video")</f>
        <v/>
      </c>
      <c r="B3538" t="inlineStr">
        <is>
          <t>1:00</t>
        </is>
      </c>
      <c r="C3538" t="inlineStr">
        <is>
          <t>liberty rail's report directly</t>
        </is>
      </c>
      <c r="D3538">
        <f>HYPERLINK("https://www.youtube.com/watch?v=NbOyx0hayRk&amp;t=60s", "Go to time")</f>
        <v/>
      </c>
    </row>
    <row r="3539">
      <c r="A3539">
        <f>HYPERLINK("https://www.youtube.com/watch?v=aHtLxZpp7uc", "Video")</f>
        <v/>
      </c>
      <c r="B3539" t="inlineStr">
        <is>
          <t>4:04</t>
        </is>
      </c>
      <c r="C3539" t="inlineStr">
        <is>
          <t>keep him safe that is directly from the</t>
        </is>
      </c>
      <c r="D3539">
        <f>HYPERLINK("https://www.youtube.com/watch?v=aHtLxZpp7uc&amp;t=244s", "Go to time")</f>
        <v/>
      </c>
    </row>
    <row r="3540">
      <c r="A3540">
        <f>HYPERLINK("https://www.youtube.com/watch?v=xYzT45LyHSE", "Video")</f>
        <v/>
      </c>
      <c r="B3540" t="inlineStr">
        <is>
          <t>6:15</t>
        </is>
      </c>
      <c r="C3540" t="inlineStr">
        <is>
          <t>direction and in return you'll do what I</t>
        </is>
      </c>
      <c r="D3540">
        <f>HYPERLINK("https://www.youtube.com/watch?v=xYzT45LyHSE&amp;t=375s", "Go to time")</f>
        <v/>
      </c>
    </row>
    <row r="3541">
      <c r="A3541">
        <f>HYPERLINK("https://www.youtube.com/watch?v=sY56_ZthZZs", "Video")</f>
        <v/>
      </c>
      <c r="B3541" t="inlineStr">
        <is>
          <t>0:56</t>
        </is>
      </c>
      <c r="C3541" t="inlineStr">
        <is>
          <t>happen if you didn't hear it directly</t>
        </is>
      </c>
      <c r="D3541">
        <f>HYPERLINK("https://www.youtube.com/watch?v=sY56_ZthZZs&amp;t=56s", "Go to time")</f>
        <v/>
      </c>
    </row>
    <row r="3542">
      <c r="A3542">
        <f>HYPERLINK("https://www.youtube.com/watch?v=znumXVo2dK0", "Video")</f>
        <v/>
      </c>
      <c r="B3542" t="inlineStr">
        <is>
          <t>2:25</t>
        </is>
      </c>
      <c r="C3542" t="inlineStr">
        <is>
          <t>he's been peeing directly into our</t>
        </is>
      </c>
      <c r="D3542">
        <f>HYPERLINK("https://www.youtube.com/watch?v=znumXVo2dK0&amp;t=145s", "Go to time")</f>
        <v/>
      </c>
    </row>
    <row r="3543">
      <c r="A3543">
        <f>HYPERLINK("https://www.youtube.com/watch?v=n8zfXmgh_WA", "Video")</f>
        <v/>
      </c>
      <c r="B3543" t="inlineStr">
        <is>
          <t>8:16</t>
        </is>
      </c>
      <c r="C3543" t="inlineStr">
        <is>
          <t>directly asked you the question and i</t>
        </is>
      </c>
      <c r="D3543">
        <f>HYPERLINK("https://www.youtube.com/watch?v=n8zfXmgh_WA&amp;t=496s", "Go to time")</f>
        <v/>
      </c>
    </row>
    <row r="3544">
      <c r="A3544">
        <f>HYPERLINK("https://www.youtube.com/watch?v=hstQW_CEtsE", "Video")</f>
        <v/>
      </c>
      <c r="B3544" t="inlineStr">
        <is>
          <t>5:38</t>
        </is>
      </c>
      <c r="C3544" t="inlineStr">
        <is>
          <t>director not a no and I'm pretty sure</t>
        </is>
      </c>
      <c r="D3544">
        <f>HYPERLINK("https://www.youtube.com/watch?v=hstQW_CEtsE&amp;t=338s", "Go to time")</f>
        <v/>
      </c>
    </row>
    <row r="3545">
      <c r="A3545">
        <f>HYPERLINK("https://www.youtube.com/watch?v=VFSByToGxMk", "Video")</f>
        <v/>
      </c>
      <c r="B3545" t="inlineStr">
        <is>
          <t>4:14</t>
        </is>
      </c>
      <c r="C3545" t="inlineStr">
        <is>
          <t>a direct order and you spat in my face</t>
        </is>
      </c>
      <c r="D3545">
        <f>HYPERLINK("https://www.youtube.com/watch?v=VFSByToGxMk&amp;t=254s", "Go to time")</f>
        <v/>
      </c>
    </row>
    <row r="3546">
      <c r="A3546">
        <f>HYPERLINK("https://www.youtube.com/watch?v=ZP6eh3WlmqE", "Video")</f>
        <v/>
      </c>
      <c r="B3546" t="inlineStr">
        <is>
          <t>2:58</t>
        </is>
      </c>
      <c r="C3546" t="inlineStr">
        <is>
          <t>information directly from scotty that's</t>
        </is>
      </c>
      <c r="D3546">
        <f>HYPERLINK("https://www.youtube.com/watch?v=ZP6eh3WlmqE&amp;t=178s", "Go to time")</f>
        <v/>
      </c>
    </row>
    <row r="3547">
      <c r="A3547">
        <f>HYPERLINK("https://www.youtube.com/watch?v=ysBohJGg1ec", "Video")</f>
        <v/>
      </c>
      <c r="B3547" t="inlineStr">
        <is>
          <t>3:04</t>
        </is>
      </c>
      <c r="C3547" t="inlineStr">
        <is>
          <t>direct rachel into this</t>
        </is>
      </c>
      <c r="D3547">
        <f>HYPERLINK("https://www.youtube.com/watch?v=ysBohJGg1ec&amp;t=184s", "Go to time")</f>
        <v/>
      </c>
    </row>
    <row r="3548">
      <c r="A3548">
        <f>HYPERLINK("https://www.youtube.com/watch?v=CTmqbNMyC7M", "Video")</f>
        <v/>
      </c>
      <c r="B3548" t="inlineStr">
        <is>
          <t>4:23</t>
        </is>
      </c>
      <c r="C3548" t="inlineStr">
        <is>
          <t>directory every class that graduated for</t>
        </is>
      </c>
      <c r="D3548">
        <f>HYPERLINK("https://www.youtube.com/watch?v=CTmqbNMyC7M&amp;t=263s", "Go to time")</f>
        <v/>
      </c>
    </row>
    <row r="3549">
      <c r="A3549">
        <f>HYPERLINK("https://www.youtube.com/watch?v=Ql3OJ1SZax4", "Video")</f>
        <v/>
      </c>
      <c r="B3549" t="inlineStr">
        <is>
          <t>4:27</t>
        </is>
      </c>
      <c r="C3549" t="inlineStr">
        <is>
          <t>listening Liberty rails reports directly</t>
        </is>
      </c>
      <c r="D3549">
        <f>HYPERLINK("https://www.youtube.com/watch?v=Ql3OJ1SZax4&amp;t=267s", "Go to time")</f>
        <v/>
      </c>
    </row>
    <row r="3550">
      <c r="A3550">
        <f>HYPERLINK("https://www.youtube.com/watch?v=9jw3VRIPIq4", "Video")</f>
        <v/>
      </c>
      <c r="B3550" t="inlineStr">
        <is>
          <t>0:36</t>
        </is>
      </c>
      <c r="C3550" t="inlineStr">
        <is>
          <t>goes in the wrong direction cause this</t>
        </is>
      </c>
      <c r="D3550">
        <f>HYPERLINK("https://www.youtube.com/watch?v=9jw3VRIPIq4&amp;t=36s", "Go to time")</f>
        <v/>
      </c>
    </row>
    <row r="3551">
      <c r="A3551">
        <f>HYPERLINK("https://www.youtube.com/watch?v=L0kTlBe_ymg", "Video")</f>
        <v/>
      </c>
      <c r="B3551" t="inlineStr">
        <is>
          <t>5:51</t>
        </is>
      </c>
      <c r="C3551" t="inlineStr">
        <is>
          <t>very clear directive and you defied me</t>
        </is>
      </c>
      <c r="D3551">
        <f>HYPERLINK("https://www.youtube.com/watch?v=L0kTlBe_ymg&amp;t=351s", "Go to time")</f>
        <v/>
      </c>
    </row>
    <row r="3552">
      <c r="A3552">
        <f>HYPERLINK("https://www.youtube.com/watch?v=IkhGi6RlEcA", "Video")</f>
        <v/>
      </c>
      <c r="B3552" t="inlineStr">
        <is>
          <t>1:58</t>
        </is>
      </c>
      <c r="C3552" t="inlineStr">
        <is>
          <t>that's the direction she came from not</t>
        </is>
      </c>
      <c r="D3552">
        <f>HYPERLINK("https://www.youtube.com/watch?v=IkhGi6RlEcA&amp;t=118s", "Go to time")</f>
        <v/>
      </c>
    </row>
    <row r="3553">
      <c r="A3553">
        <f>HYPERLINK("https://www.youtube.com/watch?v=5oeZfcQydnY", "Video")</f>
        <v/>
      </c>
      <c r="B3553" t="inlineStr">
        <is>
          <t>7:25</t>
        </is>
      </c>
      <c r="C3553" t="inlineStr">
        <is>
          <t>your direction but it was really about</t>
        </is>
      </c>
      <c r="D3553">
        <f>HYPERLINK("https://www.youtube.com/watch?v=5oeZfcQydnY&amp;t=445s", "Go to time")</f>
        <v/>
      </c>
    </row>
    <row r="3554">
      <c r="A3554">
        <f>HYPERLINK("https://www.youtube.com/watch?v=n25uxUY1TOI", "Video")</f>
        <v/>
      </c>
      <c r="B3554" t="inlineStr">
        <is>
          <t>2:02</t>
        </is>
      </c>
      <c r="C3554" t="inlineStr">
        <is>
          <t>friend Emmanuel Mariga and direct him to</t>
        </is>
      </c>
      <c r="D3554">
        <f>HYPERLINK("https://www.youtube.com/watch?v=n25uxUY1TOI&amp;t=122s", "Go to time")</f>
        <v/>
      </c>
    </row>
    <row r="3555">
      <c r="A3555">
        <f>HYPERLINK("https://www.youtube.com/watch?v=r1Xk2y4MLaM", "Video")</f>
        <v/>
      </c>
      <c r="B3555" t="inlineStr">
        <is>
          <t>23:30</t>
        </is>
      </c>
      <c r="C3555" t="inlineStr">
        <is>
          <t>employee directory right here my name is</t>
        </is>
      </c>
      <c r="D3555">
        <f>HYPERLINK("https://www.youtube.com/watch?v=r1Xk2y4MLaM&amp;t=1410s", "Go to time")</f>
        <v/>
      </c>
    </row>
    <row r="3556">
      <c r="A3556">
        <f>HYPERLINK("https://www.youtube.com/watch?v=6sYIhSaPi2w", "Video")</f>
        <v/>
      </c>
      <c r="B3556" t="inlineStr">
        <is>
          <t>2:33</t>
        </is>
      </c>
      <c r="C3556" t="inlineStr">
        <is>
          <t>please direct your questions to our</t>
        </is>
      </c>
      <c r="D3556">
        <f>HYPERLINK("https://www.youtube.com/watch?v=6sYIhSaPi2w&amp;t=153s", "Go to time")</f>
        <v/>
      </c>
    </row>
    <row r="3557">
      <c r="A3557">
        <f>HYPERLINK("https://www.youtube.com/watch?v=oB8NHjE_NDc", "Video")</f>
        <v/>
      </c>
      <c r="B3557" t="inlineStr">
        <is>
          <t>0:06</t>
        </is>
      </c>
      <c r="C3557" t="inlineStr">
        <is>
          <t>title supervisor director me too i just</t>
        </is>
      </c>
      <c r="D3557">
        <f>HYPERLINK("https://www.youtube.com/watch?v=oB8NHjE_NDc&amp;t=6s", "Go to time")</f>
        <v/>
      </c>
    </row>
    <row r="3558">
      <c r="A3558">
        <f>HYPERLINK("https://www.youtube.com/watch?v=0ndXeojquhw", "Video")</f>
        <v/>
      </c>
      <c r="B3558" t="inlineStr">
        <is>
          <t>1:17</t>
        </is>
      </c>
      <c r="C3558" t="inlineStr">
        <is>
          <t>you you want me to sell directly to you</t>
        </is>
      </c>
      <c r="D3558">
        <f>HYPERLINK("https://www.youtube.com/watch?v=0ndXeojquhw&amp;t=77s", "Go to time")</f>
        <v/>
      </c>
    </row>
    <row r="3559">
      <c r="A3559">
        <f>HYPERLINK("https://www.youtube.com/watch?v=TM5zSNXft_U", "Video")</f>
        <v/>
      </c>
      <c r="B3559" t="inlineStr">
        <is>
          <t>4:22</t>
        </is>
      </c>
      <c r="C3559" t="inlineStr">
        <is>
          <t>Harvard Law School's alumni directory</t>
        </is>
      </c>
      <c r="D3559">
        <f>HYPERLINK("https://www.youtube.com/watch?v=TM5zSNXft_U&amp;t=262s", "Go to time")</f>
        <v/>
      </c>
    </row>
    <row r="3560">
      <c r="A3560">
        <f>HYPERLINK("https://www.youtube.com/watch?v=XNuZryLe6n0", "Video")</f>
        <v/>
      </c>
      <c r="B3560" t="inlineStr">
        <is>
          <t>2:16</t>
        </is>
      </c>
      <c r="C3560" t="inlineStr">
        <is>
          <t>right direction</t>
        </is>
      </c>
      <c r="D3560">
        <f>HYPERLINK("https://www.youtube.com/watch?v=XNuZryLe6n0&amp;t=136s", "Go to time")</f>
        <v/>
      </c>
    </row>
    <row r="3561">
      <c r="A3561">
        <f>HYPERLINK("https://www.youtube.com/watch?v=Ckn4HRxjuXw", "Video")</f>
        <v/>
      </c>
      <c r="B3561" t="inlineStr">
        <is>
          <t>3:42</t>
        </is>
      </c>
      <c r="C3561" t="inlineStr">
        <is>
          <t>direct result of working at Pierce</t>
        </is>
      </c>
      <c r="D3561">
        <f>HYPERLINK("https://www.youtube.com/watch?v=Ckn4HRxjuXw&amp;t=222s", "Go to time")</f>
        <v/>
      </c>
    </row>
    <row r="3562">
      <c r="A3562">
        <f>HYPERLINK("https://www.youtube.com/watch?v=j_Yp4J-pBno", "Video")</f>
        <v/>
      </c>
      <c r="B3562" t="inlineStr">
        <is>
          <t>0:36</t>
        </is>
      </c>
      <c r="C3562" t="inlineStr">
        <is>
          <t>Don't give it to me directly Get the</t>
        </is>
      </c>
      <c r="D3562">
        <f>HYPERLINK("https://www.youtube.com/watch?v=j_Yp4J-pBno&amp;t=36s", "Go to time")</f>
        <v/>
      </c>
    </row>
    <row r="3563">
      <c r="A3563">
        <f>HYPERLINK("https://www.youtube.com/watch?v=LU1vDwlFqrE", "Video")</f>
        <v/>
      </c>
      <c r="B3563" t="inlineStr">
        <is>
          <t>8:28</t>
        </is>
      </c>
      <c r="C3563" t="inlineStr">
        <is>
          <t>Eden again at your direction on his own</t>
        </is>
      </c>
      <c r="D3563">
        <f>HYPERLINK("https://www.youtube.com/watch?v=LU1vDwlFqrE&amp;t=508s", "Go to time")</f>
        <v/>
      </c>
    </row>
    <row r="3564">
      <c r="A3564">
        <f>HYPERLINK("https://www.youtube.com/watch?v=g99avxNMeTw", "Video")</f>
        <v/>
      </c>
      <c r="B3564" t="inlineStr">
        <is>
          <t>4:17</t>
        </is>
      </c>
      <c r="C3564" t="inlineStr">
        <is>
          <t>alumni directory every class that</t>
        </is>
      </c>
      <c r="D3564">
        <f>HYPERLINK("https://www.youtube.com/watch?v=g99avxNMeTw&amp;t=257s", "Go to time")</f>
        <v/>
      </c>
    </row>
    <row r="3565">
      <c r="A3565">
        <f>HYPERLINK("https://www.youtube.com/watch?v=_h9EUJhlHuc", "Video")</f>
        <v/>
      </c>
      <c r="B3565" t="inlineStr">
        <is>
          <t>2:00</t>
        </is>
      </c>
      <c r="C3565" t="inlineStr">
        <is>
          <t>this says director of personnel</t>
        </is>
      </c>
      <c r="D3565">
        <f>HYPERLINK("https://www.youtube.com/watch?v=_h9EUJhlHuc&amp;t=120s", "Go to time")</f>
        <v/>
      </c>
    </row>
    <row r="3566">
      <c r="A3566">
        <f>HYPERLINK("https://www.youtube.com/watch?v=4JszJvcQd1Q", "Video")</f>
        <v/>
      </c>
      <c r="B3566" t="inlineStr">
        <is>
          <t>2:21</t>
        </is>
      </c>
      <c r="C3566" t="inlineStr">
        <is>
          <t>a direct order and you spat in my face</t>
        </is>
      </c>
      <c r="D3566">
        <f>HYPERLINK("https://www.youtube.com/watch?v=4JszJvcQd1Q&amp;t=141s", "Go to time")</f>
        <v/>
      </c>
    </row>
    <row r="3567">
      <c r="A3567">
        <f>HYPERLINK("https://www.youtube.com/watch?v=hmI5cAP8wwk", "Video")</f>
        <v/>
      </c>
      <c r="B3567" t="inlineStr">
        <is>
          <t>7:56</t>
        </is>
      </c>
      <c r="C3567" t="inlineStr">
        <is>
          <t>concerned Mike led directly to the</t>
        </is>
      </c>
      <c r="D3567">
        <f>HYPERLINK("https://www.youtube.com/watch?v=hmI5cAP8wwk&amp;t=476s", "Go to time")</f>
        <v/>
      </c>
    </row>
    <row r="3568">
      <c r="A3568">
        <f>HYPERLINK("https://www.youtube.com/watch?v=jEGASy9Lyiw", "Video")</f>
        <v/>
      </c>
      <c r="B3568" t="inlineStr">
        <is>
          <t>17:37</t>
        </is>
      </c>
      <c r="C3568" t="inlineStr">
        <is>
          <t>want me to point them in your direction</t>
        </is>
      </c>
      <c r="D3568">
        <f>HYPERLINK("https://www.youtube.com/watch?v=jEGASy9Lyiw&amp;t=1057s", "Go to time")</f>
        <v/>
      </c>
    </row>
    <row r="3569">
      <c r="A3569">
        <f>HYPERLINK("https://www.youtube.com/watch?v=jEGASy9Lyiw", "Video")</f>
        <v/>
      </c>
      <c r="B3569" t="inlineStr">
        <is>
          <t>23:45</t>
        </is>
      </c>
      <c r="C3569" t="inlineStr">
        <is>
          <t>them so I called Aberdine directly it's</t>
        </is>
      </c>
      <c r="D3569">
        <f>HYPERLINK("https://www.youtube.com/watch?v=jEGASy9Lyiw&amp;t=1425s", "Go to time")</f>
        <v/>
      </c>
    </row>
    <row r="3570">
      <c r="A3570">
        <f>HYPERLINK("https://www.youtube.com/watch?v=ZvvW_QIJPBY", "Video")</f>
        <v/>
      </c>
      <c r="B3570" t="inlineStr">
        <is>
          <t>3:06</t>
        </is>
      </c>
      <c r="C3570" t="inlineStr">
        <is>
          <t>employee directory</t>
        </is>
      </c>
      <c r="D3570">
        <f>HYPERLINK("https://www.youtube.com/watch?v=ZvvW_QIJPBY&amp;t=186s", "Go to time")</f>
        <v/>
      </c>
    </row>
    <row r="3571">
      <c r="A3571">
        <f>HYPERLINK("https://www.youtube.com/watch?v=kgw7v1rRlIc", "Video")</f>
        <v/>
      </c>
      <c r="B3571" t="inlineStr">
        <is>
          <t>5:44</t>
        </is>
      </c>
      <c r="C3571" t="inlineStr">
        <is>
          <t>directly I'm not the defendant</t>
        </is>
      </c>
      <c r="D3571">
        <f>HYPERLINK("https://www.youtube.com/watch?v=kgw7v1rRlIc&amp;t=344s", "Go to time")</f>
        <v/>
      </c>
    </row>
    <row r="3572">
      <c r="A3572">
        <f>HYPERLINK("https://www.youtube.com/watch?v=OGDarifhNvE", "Video")</f>
        <v/>
      </c>
      <c r="B3572" t="inlineStr">
        <is>
          <t>4:08</t>
        </is>
      </c>
      <c r="C3572" t="inlineStr">
        <is>
          <t>time I call you directly you'll pick up</t>
        </is>
      </c>
      <c r="D3572">
        <f>HYPERLINK("https://www.youtube.com/watch?v=OGDarifhNvE&amp;t=248s", "Go to time")</f>
        <v/>
      </c>
    </row>
    <row r="3573">
      <c r="A3573">
        <f>HYPERLINK("https://www.youtube.com/watch?v=hR0vNYeTwIY", "Video")</f>
        <v/>
      </c>
      <c r="B3573" t="inlineStr">
        <is>
          <t>4:47</t>
        </is>
      </c>
      <c r="C3573" t="inlineStr">
        <is>
          <t>them so I called Aberdine directly it's</t>
        </is>
      </c>
      <c r="D3573">
        <f>HYPERLINK("https://www.youtube.com/watch?v=hR0vNYeTwIY&amp;t=287s", "Go to time")</f>
        <v/>
      </c>
    </row>
    <row r="3574">
      <c r="A3574">
        <f>HYPERLINK("https://www.youtube.com/watch?v=vMH5-LXc4yU", "Video")</f>
        <v/>
      </c>
      <c r="B3574" t="inlineStr">
        <is>
          <t>1:42</t>
        </is>
      </c>
      <c r="C3574" t="inlineStr">
        <is>
          <t>but we want to hear it directly from you</t>
        </is>
      </c>
      <c r="D3574">
        <f>HYPERLINK("https://www.youtube.com/watch?v=vMH5-LXc4yU&amp;t=102s", "Go to time")</f>
        <v/>
      </c>
    </row>
    <row r="3575">
      <c r="A3575">
        <f>HYPERLINK("https://www.youtube.com/watch?v=MfNmtMJO98A", "Video")</f>
        <v/>
      </c>
      <c r="B3575" t="inlineStr">
        <is>
          <t>3:44</t>
        </is>
      </c>
      <c r="C3575" t="inlineStr">
        <is>
          <t>the case directly to him he needs to see</t>
        </is>
      </c>
      <c r="D3575">
        <f>HYPERLINK("https://www.youtube.com/watch?v=MfNmtMJO98A&amp;t=224s", "Go to time")</f>
        <v/>
      </c>
    </row>
    <row r="3576">
      <c r="A3576">
        <f>HYPERLINK("https://www.youtube.com/watch?v=3lzGwXEgBxA", "Video")</f>
        <v/>
      </c>
      <c r="B3576" t="inlineStr">
        <is>
          <t>0:00</t>
        </is>
      </c>
      <c r="C3576" t="inlineStr">
        <is>
          <t>you want me to sell directly to you i</t>
        </is>
      </c>
      <c r="D3576">
        <f>HYPERLINK("https://www.youtube.com/watch?v=3lzGwXEgBxA&amp;t=0s", "Go to time")</f>
        <v/>
      </c>
    </row>
    <row r="3577">
      <c r="A3577">
        <f>HYPERLINK("https://www.youtube.com/watch?v=7y-ijEQeEJ4", "Video")</f>
        <v/>
      </c>
      <c r="B3577" t="inlineStr">
        <is>
          <t>2:12</t>
        </is>
      </c>
      <c r="C3577" t="inlineStr">
        <is>
          <t>redirecting that money to an untraceable</t>
        </is>
      </c>
      <c r="D3577">
        <f>HYPERLINK("https://www.youtube.com/watch?v=7y-ijEQeEJ4&amp;t=132s", "Go to time")</f>
        <v/>
      </c>
    </row>
    <row r="3578">
      <c r="A3578">
        <f>HYPERLINK("https://www.youtube.com/watch?v=MFO97tt0paQ", "Video")</f>
        <v/>
      </c>
      <c r="B3578" t="inlineStr">
        <is>
          <t>1:23</t>
        </is>
      </c>
      <c r="C3578" t="inlineStr">
        <is>
          <t>attacking each other directly well</t>
        </is>
      </c>
      <c r="D3578">
        <f>HYPERLINK("https://www.youtube.com/watch?v=MFO97tt0paQ&amp;t=83s", "Go to time")</f>
        <v/>
      </c>
    </row>
    <row r="3579">
      <c r="A3579">
        <f>HYPERLINK("https://www.youtube.com/watch?v=p_QPx0Qn5ag", "Video")</f>
        <v/>
      </c>
      <c r="B3579" t="inlineStr">
        <is>
          <t>0:00</t>
        </is>
      </c>
      <c r="C3579" t="inlineStr">
        <is>
          <t>you want me to sell directly to you i</t>
        </is>
      </c>
      <c r="D3579">
        <f>HYPERLINK("https://www.youtube.com/watch?v=p_QPx0Qn5ag&amp;t=0s", "Go to time")</f>
        <v/>
      </c>
    </row>
    <row r="3580">
      <c r="A3580">
        <f>HYPERLINK("https://www.youtube.com/watch?v=WmxHq_Jr-zg", "Video")</f>
        <v/>
      </c>
      <c r="B3580" t="inlineStr">
        <is>
          <t>1:58</t>
        </is>
      </c>
      <c r="C3580" t="inlineStr">
        <is>
          <t>because that's the direction she came</t>
        </is>
      </c>
      <c r="D3580">
        <f>HYPERLINK("https://www.youtube.com/watch?v=WmxHq_Jr-zg&amp;t=118s", "Go to time")</f>
        <v/>
      </c>
    </row>
    <row r="3581">
      <c r="A3581">
        <f>HYPERLINK("https://www.youtube.com/watch?v=FlbtVaAFqdg", "Video")</f>
        <v/>
      </c>
      <c r="B3581" t="inlineStr">
        <is>
          <t>3:23</t>
        </is>
      </c>
      <c r="C3581" t="inlineStr">
        <is>
          <t>firm under the direction of Robert Zane</t>
        </is>
      </c>
      <c r="D3581">
        <f>HYPERLINK("https://www.youtube.com/watch?v=FlbtVaAFqdg&amp;t=203s", "Go to time")</f>
        <v/>
      </c>
    </row>
    <row r="3582">
      <c r="A3582">
        <f>HYPERLINK("https://www.youtube.com/watch?v=FlbtVaAFqdg", "Video")</f>
        <v/>
      </c>
      <c r="B3582" t="inlineStr">
        <is>
          <t>8:02</t>
        </is>
      </c>
      <c r="C3582" t="inlineStr">
        <is>
          <t>we won't because I'm giving you a direct</t>
        </is>
      </c>
      <c r="D3582">
        <f>HYPERLINK("https://www.youtube.com/watch?v=FlbtVaAFqdg&amp;t=482s", "Go to time")</f>
        <v/>
      </c>
    </row>
    <row r="3583">
      <c r="A3583">
        <f>HYPERLINK("https://www.youtube.com/watch?v=R6FHs4bsbJc", "Video")</f>
        <v/>
      </c>
      <c r="B3583" t="inlineStr">
        <is>
          <t>0:12</t>
        </is>
      </c>
      <c r="C3583" t="inlineStr">
        <is>
          <t>listening Liberty rail's report directly</t>
        </is>
      </c>
      <c r="D3583">
        <f>HYPERLINK("https://www.youtube.com/watch?v=R6FHs4bsbJc&amp;t=12s", "Go to time")</f>
        <v/>
      </c>
    </row>
    <row r="3584">
      <c r="A3584">
        <f>HYPERLINK("https://www.youtube.com/watch?v=R6FHs4bsbJc", "Video")</f>
        <v/>
      </c>
      <c r="B3584" t="inlineStr">
        <is>
          <t>16:55</t>
        </is>
      </c>
      <c r="C3584" t="inlineStr">
        <is>
          <t>the show came to me directly and they</t>
        </is>
      </c>
      <c r="D3584">
        <f>HYPERLINK("https://www.youtube.com/watch?v=R6FHs4bsbJc&amp;t=1015s", "Go to time")</f>
        <v/>
      </c>
    </row>
    <row r="3585">
      <c r="A3585">
        <f>HYPERLINK("https://www.youtube.com/watch?v=2WbjVroSsQ0", "Video")</f>
        <v/>
      </c>
      <c r="B3585" t="inlineStr">
        <is>
          <t>10:30</t>
        </is>
      </c>
      <c r="C3585" t="inlineStr">
        <is>
          <t>directly from Scotty that's two ethical</t>
        </is>
      </c>
      <c r="D3585">
        <f>HYPERLINK("https://www.youtube.com/watch?v=2WbjVroSsQ0&amp;t=630s", "Go to time")</f>
        <v/>
      </c>
    </row>
    <row r="3586">
      <c r="A3586">
        <f>HYPERLINK("https://www.youtube.com/watch?v=XSMpQSBg5xs", "Video")</f>
        <v/>
      </c>
      <c r="B3586" t="inlineStr">
        <is>
          <t>3:24</t>
        </is>
      </c>
      <c r="C3586" t="inlineStr">
        <is>
          <t>running this firm under the direction of</t>
        </is>
      </c>
      <c r="D3586">
        <f>HYPERLINK("https://www.youtube.com/watch?v=XSMpQSBg5xs&amp;t=204s", "Go to time")</f>
        <v/>
      </c>
    </row>
    <row r="3587">
      <c r="A3587">
        <f>HYPERLINK("https://www.youtube.com/watch?v=Kip-zjn5njY", "Video")</f>
        <v/>
      </c>
      <c r="B3587" t="inlineStr">
        <is>
          <t>3:28</t>
        </is>
      </c>
      <c r="C3587" t="inlineStr">
        <is>
          <t>couldn't just go for the director Pro</t>
        </is>
      </c>
      <c r="D3587">
        <f>HYPERLINK("https://www.youtube.com/watch?v=Kip-zjn5njY&amp;t=208s", "Go to time")</f>
        <v/>
      </c>
    </row>
    <row r="3588">
      <c r="A3588">
        <f>HYPERLINK("https://www.youtube.com/watch?v=Kip-zjn5njY", "Video")</f>
        <v/>
      </c>
      <c r="B3588" t="inlineStr">
        <is>
          <t>3:30</t>
        </is>
      </c>
      <c r="C3588" t="inlineStr">
        <is>
          <t>you don't respond to the direct approach</t>
        </is>
      </c>
      <c r="D3588">
        <f>HYPERLINK("https://www.youtube.com/watch?v=Kip-zjn5njY&amp;t=210s", "Go to time")</f>
        <v/>
      </c>
    </row>
    <row r="3589">
      <c r="A3589">
        <f>HYPERLINK("https://www.youtube.com/watch?v=f_kTfuAeoOw", "Video")</f>
        <v/>
      </c>
      <c r="B3589" t="inlineStr">
        <is>
          <t>7:53</t>
        </is>
      </c>
      <c r="C3589" t="inlineStr">
        <is>
          <t>Mike led directly to the witness is</t>
        </is>
      </c>
      <c r="D3589">
        <f>HYPERLINK("https://www.youtube.com/watch?v=f_kTfuAeoOw&amp;t=473s", "Go to time")</f>
        <v/>
      </c>
    </row>
    <row r="3590">
      <c r="A3590">
        <f>HYPERLINK("https://www.youtube.com/watch?v=IW0S5e3P2rs", "Video")</f>
        <v/>
      </c>
      <c r="B3590" t="inlineStr">
        <is>
          <t>4:18</t>
        </is>
      </c>
      <c r="C3590" t="inlineStr">
        <is>
          <t>couldn't just go for the direct approach</t>
        </is>
      </c>
      <c r="D3590">
        <f>HYPERLINK("https://www.youtube.com/watch?v=IW0S5e3P2rs&amp;t=258s", "Go to time")</f>
        <v/>
      </c>
    </row>
    <row r="3591">
      <c r="A3591">
        <f>HYPERLINK("https://www.youtube.com/watch?v=IW0S5e3P2rs", "Video")</f>
        <v/>
      </c>
      <c r="B3591" t="inlineStr">
        <is>
          <t>4:20</t>
        </is>
      </c>
      <c r="C3591" t="inlineStr">
        <is>
          <t>you don't respond to the direct approach</t>
        </is>
      </c>
      <c r="D3591">
        <f>HYPERLINK("https://www.youtube.com/watch?v=IW0S5e3P2rs&amp;t=260s", "Go to time")</f>
        <v/>
      </c>
    </row>
    <row r="3592">
      <c r="A3592">
        <f>HYPERLINK("https://www.youtube.com/watch?v=RfJD3SinEeI", "Video")</f>
        <v/>
      </c>
      <c r="B3592" t="inlineStr">
        <is>
          <t>0:27</t>
        </is>
      </c>
      <c r="C3592" t="inlineStr">
        <is>
          <t>pierce inspector how may director</t>
        </is>
      </c>
      <c r="D3592">
        <f>HYPERLINK("https://www.youtube.com/watch?v=RfJD3SinEeI&amp;t=27s", "Go to time")</f>
        <v/>
      </c>
    </row>
    <row r="3593">
      <c r="A3593">
        <f>HYPERLINK("https://www.youtube.com/watch?v=RItCezWumzQ", "Video")</f>
        <v/>
      </c>
      <c r="B3593" t="inlineStr">
        <is>
          <t>1:25</t>
        </is>
      </c>
      <c r="C3593" t="inlineStr">
        <is>
          <t>the wrong direction</t>
        </is>
      </c>
      <c r="D3593">
        <f>HYPERLINK("https://www.youtube.com/watch?v=RItCezWumzQ&amp;t=85s", "Go to time")</f>
        <v/>
      </c>
    </row>
    <row r="3594">
      <c r="A3594">
        <f>HYPERLINK("https://www.youtube.com/watch?v=9AB263gMEfo", "Video")</f>
        <v/>
      </c>
      <c r="B3594" t="inlineStr">
        <is>
          <t>0:08</t>
        </is>
      </c>
      <c r="C3594" t="inlineStr">
        <is>
          <t>what's that directions to Westchester</t>
        </is>
      </c>
      <c r="D3594">
        <f>HYPERLINK("https://www.youtube.com/watch?v=9AB263gMEfo&amp;t=8s", "Go to time")</f>
        <v/>
      </c>
    </row>
    <row r="3595">
      <c r="A3595">
        <f>HYPERLINK("https://www.youtube.com/watch?v=9AB263gMEfo", "Video")</f>
        <v/>
      </c>
      <c r="B3595" t="inlineStr">
        <is>
          <t>2:15</t>
        </is>
      </c>
      <c r="C3595" t="inlineStr">
        <is>
          <t>directors of Comcast from your lips to</t>
        </is>
      </c>
      <c r="D3595">
        <f>HYPERLINK("https://www.youtube.com/watch?v=9AB263gMEfo&amp;t=135s", "Go to time")</f>
        <v/>
      </c>
    </row>
    <row r="3596">
      <c r="A3596">
        <f>HYPERLINK("https://www.youtube.com/watch?v=degf6hzGeYk", "Video")</f>
        <v/>
      </c>
      <c r="B3596" t="inlineStr">
        <is>
          <t>2:27</t>
        </is>
      </c>
      <c r="C3596" t="inlineStr">
        <is>
          <t>your board of directors that you were</t>
        </is>
      </c>
      <c r="D3596">
        <f>HYPERLINK("https://www.youtube.com/watch?v=degf6hzGeYk&amp;t=147s", "Go to time")</f>
        <v/>
      </c>
    </row>
    <row r="3597">
      <c r="A3597">
        <f>HYPERLINK("https://www.youtube.com/watch?v=degf6hzGeYk", "Video")</f>
        <v/>
      </c>
      <c r="B3597" t="inlineStr">
        <is>
          <t>7:16</t>
        </is>
      </c>
      <c r="C3597" t="inlineStr">
        <is>
          <t>directed an illegal sale of a company</t>
        </is>
      </c>
      <c r="D3597">
        <f>HYPERLINK("https://www.youtube.com/watch?v=degf6hzGeYk&amp;t=436s", "Go to time")</f>
        <v/>
      </c>
    </row>
    <row r="3598">
      <c r="A3598">
        <f>HYPERLINK("https://www.youtube.com/watch?v=OhpwY9hHds4", "Video")</f>
        <v/>
      </c>
      <c r="B3598" t="inlineStr">
        <is>
          <t>2:32</t>
        </is>
      </c>
      <c r="C3598" t="inlineStr">
        <is>
          <t>please direct your questions to our</t>
        </is>
      </c>
      <c r="D3598">
        <f>HYPERLINK("https://www.youtube.com/watch?v=OhpwY9hHds4&amp;t=152s", "Go to time")</f>
        <v/>
      </c>
    </row>
    <row r="3599">
      <c r="A3599">
        <f>HYPERLINK("https://www.youtube.com/watch?v=CCkTcoWXu2A", "Video")</f>
        <v/>
      </c>
      <c r="B3599" t="inlineStr">
        <is>
          <t>0:56</t>
        </is>
      </c>
      <c r="C3599" t="inlineStr">
        <is>
          <t>this board of directors that i have to</t>
        </is>
      </c>
      <c r="D3599">
        <f>HYPERLINK("https://www.youtube.com/watch?v=CCkTcoWXu2A&amp;t=56s", "Go to time")</f>
        <v/>
      </c>
    </row>
    <row r="3600">
      <c r="A3600">
        <f>HYPERLINK("https://www.youtube.com/watch?v=9k6MdnTf1xA", "Video")</f>
        <v/>
      </c>
      <c r="B3600" t="inlineStr">
        <is>
          <t>0:26</t>
        </is>
      </c>
      <c r="C3600" t="inlineStr">
        <is>
          <t>Steven Huntley lead Cameron directly to</t>
        </is>
      </c>
      <c r="D3600">
        <f>HYPERLINK("https://www.youtube.com/watch?v=9k6MdnTf1xA&amp;t=26s", "Go to time")</f>
        <v/>
      </c>
    </row>
    <row r="3601">
      <c r="A3601">
        <f>HYPERLINK("https://www.youtube.com/watch?v=OYVKdZ7IMXs", "Video")</f>
        <v/>
      </c>
      <c r="B3601" t="inlineStr">
        <is>
          <t>1:05</t>
        </is>
      </c>
      <c r="C3601" t="inlineStr">
        <is>
          <t>what's that directions to westchester</t>
        </is>
      </c>
      <c r="D3601">
        <f>HYPERLINK("https://www.youtube.com/watch?v=OYVKdZ7IMXs&amp;t=65s", "Go to time")</f>
        <v/>
      </c>
    </row>
    <row r="3602">
      <c r="A3602">
        <f>HYPERLINK("https://www.youtube.com/watch?v=pAwVlYwE3nw", "Video")</f>
        <v/>
      </c>
      <c r="B3602" t="inlineStr">
        <is>
          <t>1:03</t>
        </is>
      </c>
      <c r="C3602" t="inlineStr">
        <is>
          <t>direct you to my supervisor a grievance</t>
        </is>
      </c>
      <c r="D3602">
        <f>HYPERLINK("https://www.youtube.com/watch?v=pAwVlYwE3nw&amp;t=63s", "Go to time")</f>
        <v/>
      </c>
    </row>
    <row r="3603">
      <c r="A3603">
        <f>HYPERLINK("https://www.youtube.com/watch?v=DrNbeLrhPn0", "Video")</f>
        <v/>
      </c>
      <c r="B3603" t="inlineStr">
        <is>
          <t>2:43</t>
        </is>
      </c>
      <c r="C3603" t="inlineStr">
        <is>
          <t>the wrong direction</t>
        </is>
      </c>
      <c r="D3603">
        <f>HYPERLINK("https://www.youtube.com/watch?v=DrNbeLrhPn0&amp;t=163s", "Go to time")</f>
        <v/>
      </c>
    </row>
    <row r="3604">
      <c r="A3604">
        <f>HYPERLINK("https://www.youtube.com/watch?v=TZ0aPN78k6E", "Video")</f>
        <v/>
      </c>
      <c r="B3604" t="inlineStr">
        <is>
          <t>10:30</t>
        </is>
      </c>
      <c r="C3604" t="inlineStr">
        <is>
          <t>directly from Scotty that's two ethical</t>
        </is>
      </c>
      <c r="D3604">
        <f>HYPERLINK("https://www.youtube.com/watch?v=TZ0aPN78k6E&amp;t=630s", "Go to time")</f>
        <v/>
      </c>
    </row>
    <row r="3605">
      <c r="A3605">
        <f>HYPERLINK("https://www.youtube.com/watch?v=l1WPxTLTp6U", "Video")</f>
        <v/>
      </c>
      <c r="B3605" t="inlineStr">
        <is>
          <t>8:12</t>
        </is>
      </c>
      <c r="C3605" t="inlineStr">
        <is>
          <t>directed to me and somehow I'm confident</t>
        </is>
      </c>
      <c r="D3605">
        <f>HYPERLINK("https://www.youtube.com/watch?v=l1WPxTLTp6U&amp;t=492s", "Go to time")</f>
        <v/>
      </c>
    </row>
    <row r="3606">
      <c r="A3606">
        <f>HYPERLINK("https://www.youtube.com/watch?v=AXvcbg_Fvcw", "Video")</f>
        <v/>
      </c>
      <c r="B3606" t="inlineStr">
        <is>
          <t>3:01</t>
        </is>
      </c>
      <c r="C3606" t="inlineStr">
        <is>
          <t>to mike i should come to you directly</t>
        </is>
      </c>
      <c r="D3606">
        <f>HYPERLINK("https://www.youtube.com/watch?v=AXvcbg_Fvcw&amp;t=181s", "Go to time")</f>
        <v/>
      </c>
    </row>
    <row r="3607">
      <c r="A3607">
        <f>HYPERLINK("https://www.youtube.com/watch?v=fqS3QXNzD2E", "Video")</f>
        <v/>
      </c>
      <c r="B3607" t="inlineStr">
        <is>
          <t>2:51</t>
        </is>
      </c>
      <c r="C3607" t="inlineStr">
        <is>
          <t>Cameron directly to the star witness I</t>
        </is>
      </c>
      <c r="D3607">
        <f>HYPERLINK("https://www.youtube.com/watch?v=fqS3QXNzD2E&amp;t=171s", "Go to time")</f>
        <v/>
      </c>
    </row>
    <row r="3608">
      <c r="A3608">
        <f>HYPERLINK("https://www.youtube.com/watch?v=dOmrW2LPbq4", "Video")</f>
        <v/>
      </c>
      <c r="B3608" t="inlineStr">
        <is>
          <t>0:17</t>
        </is>
      </c>
      <c r="C3608" t="inlineStr">
        <is>
          <t>the wrong direction no not going in the</t>
        </is>
      </c>
      <c r="D3608">
        <f>HYPERLINK("https://www.youtube.com/watch?v=dOmrW2LPbq4&amp;t=17s", "Go to time")</f>
        <v/>
      </c>
    </row>
    <row r="3609">
      <c r="A3609">
        <f>HYPERLINK("https://www.youtube.com/watch?v=dOmrW2LPbq4", "Video")</f>
        <v/>
      </c>
      <c r="B3609" t="inlineStr">
        <is>
          <t>0:19</t>
        </is>
      </c>
      <c r="C3609" t="inlineStr">
        <is>
          <t>wrong direction donna there is no need</t>
        </is>
      </c>
      <c r="D3609">
        <f>HYPERLINK("https://www.youtube.com/watch?v=dOmrW2LPbq4&amp;t=19s", "Go to time")</f>
        <v/>
      </c>
    </row>
    <row r="3610">
      <c r="A3610">
        <f>HYPERLINK("https://www.youtube.com/watch?v=j9W5ZbOUuoQ", "Video")</f>
        <v/>
      </c>
      <c r="B3610" t="inlineStr">
        <is>
          <t>0:31</t>
        </is>
      </c>
      <c r="C3610" t="inlineStr">
        <is>
          <t>-Don't give it to me directly.</t>
        </is>
      </c>
      <c r="D3610">
        <f>HYPERLINK("https://www.youtube.com/watch?v=j9W5ZbOUuoQ&amp;t=31s", "Go to time")</f>
        <v/>
      </c>
    </row>
    <row r="3611">
      <c r="A3611">
        <f>HYPERLINK("https://www.youtube.com/watch?v=NqBFR8n-rAQ", "Video")</f>
        <v/>
      </c>
      <c r="B3611" t="inlineStr">
        <is>
          <t>1:58</t>
        </is>
      </c>
      <c r="C3611" t="inlineStr">
        <is>
          <t>that's the direction she came from not</t>
        </is>
      </c>
      <c r="D3611">
        <f>HYPERLINK("https://www.youtube.com/watch?v=NqBFR8n-rAQ&amp;t=118s", "Go to time")</f>
        <v/>
      </c>
    </row>
    <row r="3612">
      <c r="A3612">
        <f>HYPERLINK("https://www.youtube.com/watch?v=FjwwggIjApg", "Video")</f>
        <v/>
      </c>
      <c r="B3612" t="inlineStr">
        <is>
          <t>0:59</t>
        </is>
      </c>
      <c r="C3612" t="inlineStr">
        <is>
          <t>they were going to let her keep direct</t>
        </is>
      </c>
      <c r="D3612">
        <f>HYPERLINK("https://www.youtube.com/watch?v=FjwwggIjApg&amp;t=59s", "Go to time")</f>
        <v/>
      </c>
    </row>
    <row r="3613">
      <c r="A3613">
        <f>HYPERLINK("https://www.youtube.com/watch?v=FjwwggIjApg", "Video")</f>
        <v/>
      </c>
      <c r="B3613" t="inlineStr">
        <is>
          <t>1:02</t>
        </is>
      </c>
      <c r="C3613" t="inlineStr">
        <is>
          <t>talking about direct proceeds I'm</t>
        </is>
      </c>
      <c r="D3613">
        <f>HYPERLINK("https://www.youtube.com/watch?v=FjwwggIjApg&amp;t=62s", "Go to time")</f>
        <v/>
      </c>
    </row>
    <row r="3614">
      <c r="A3614">
        <f>HYPERLINK("https://www.youtube.com/watch?v=9pg3kglbXZI", "Video")</f>
        <v/>
      </c>
      <c r="B3614" t="inlineStr">
        <is>
          <t>0:14</t>
        </is>
      </c>
      <c r="C3614" t="inlineStr">
        <is>
          <t>most direct hit ever did you keep</t>
        </is>
      </c>
      <c r="D3614">
        <f>HYPERLINK("https://www.youtube.com/watch?v=9pg3kglbXZI&amp;t=14s", "Go to time")</f>
        <v/>
      </c>
    </row>
    <row r="3615">
      <c r="A3615">
        <f>HYPERLINK("https://www.youtube.com/watch?v=nBk94leCudo", "Video")</f>
        <v/>
      </c>
      <c r="B3615" t="inlineStr">
        <is>
          <t>0:37</t>
        </is>
      </c>
      <c r="C3615" t="inlineStr">
        <is>
          <t>bank that is a direct conflict of</t>
        </is>
      </c>
      <c r="D3615">
        <f>HYPERLINK("https://www.youtube.com/watch?v=nBk94leCudo&amp;t=37s", "Go to time")</f>
        <v/>
      </c>
    </row>
    <row r="3616">
      <c r="A3616">
        <f>HYPERLINK("https://www.youtube.com/watch?v=a_GzwxEahDs", "Video")</f>
        <v/>
      </c>
      <c r="B3616" t="inlineStr">
        <is>
          <t>6:26</t>
        </is>
      </c>
      <c r="C3616" t="inlineStr">
        <is>
          <t>good Direct</t>
        </is>
      </c>
      <c r="D3616">
        <f>HYPERLINK("https://www.youtube.com/watch?v=a_GzwxEahDs&amp;t=386s", "Go to time")</f>
        <v/>
      </c>
    </row>
    <row r="3617">
      <c r="A3617">
        <f>HYPERLINK("https://www.youtube.com/watch?v=SNwN7RTF6w8", "Video")</f>
        <v/>
      </c>
      <c r="B3617" t="inlineStr">
        <is>
          <t>5:43</t>
        </is>
      </c>
      <c r="C3617" t="inlineStr">
        <is>
          <t>your clients directly but thank God</t>
        </is>
      </c>
      <c r="D3617">
        <f>HYPERLINK("https://www.youtube.com/watch?v=SNwN7RTF6w8&amp;t=343s", "Go to time")</f>
        <v/>
      </c>
    </row>
    <row r="3618">
      <c r="A3618">
        <f>HYPERLINK("https://www.youtube.com/watch?v=06Lz1GQPYOM", "Video")</f>
        <v/>
      </c>
      <c r="B3618" t="inlineStr">
        <is>
          <t>13:13</t>
        </is>
      </c>
      <c r="C3618" t="inlineStr">
        <is>
          <t>have the employee directory right here</t>
        </is>
      </c>
      <c r="D3618">
        <f>HYPERLINK("https://www.youtube.com/watch?v=06Lz1GQPYOM&amp;t=793s", "Go to time")</f>
        <v/>
      </c>
    </row>
    <row r="3619">
      <c r="A3619">
        <f>HYPERLINK("https://www.youtube.com/watch?v=n7jWMLxkQnQ", "Video")</f>
        <v/>
      </c>
      <c r="B3619" t="inlineStr">
        <is>
          <t>9:44</t>
        </is>
      </c>
      <c r="C3619" t="inlineStr">
        <is>
          <t>direction is it this street right here</t>
        </is>
      </c>
      <c r="D3619">
        <f>HYPERLINK("https://www.youtube.com/watch?v=n7jWMLxkQnQ&amp;t=584s", "Go to time")</f>
        <v/>
      </c>
    </row>
    <row r="3620">
      <c r="A3620">
        <f>HYPERLINK("https://www.youtube.com/watch?v=Jm0W1jPSgis", "Video")</f>
        <v/>
      </c>
      <c r="B3620" t="inlineStr">
        <is>
          <t>10:31</t>
        </is>
      </c>
      <c r="C3620" t="inlineStr">
        <is>
          <t>that next time I call you directly</t>
        </is>
      </c>
      <c r="D3620">
        <f>HYPERLINK("https://www.youtube.com/watch?v=Jm0W1jPSgis&amp;t=631s", "Go to time")</f>
        <v/>
      </c>
    </row>
    <row r="3621">
      <c r="A3621">
        <f>HYPERLINK("https://www.youtube.com/watch?v=9Biyt6SBaNg", "Video")</f>
        <v/>
      </c>
      <c r="B3621" t="inlineStr">
        <is>
          <t>3:53</t>
        </is>
      </c>
      <c r="C3621" t="inlineStr">
        <is>
          <t>direction changes if you have a problem</t>
        </is>
      </c>
      <c r="D3621">
        <f>HYPERLINK("https://www.youtube.com/watch?v=9Biyt6SBaNg&amp;t=233s", "Go to time")</f>
        <v/>
      </c>
    </row>
    <row r="3622">
      <c r="A3622">
        <f>HYPERLINK("https://www.youtube.com/watch?v=5XP6mH5nyiU", "Video")</f>
        <v/>
      </c>
      <c r="B3622" t="inlineStr">
        <is>
          <t>9:10</t>
        </is>
      </c>
      <c r="C3622" t="inlineStr">
        <is>
          <t>I'll have a board of directors and</t>
        </is>
      </c>
      <c r="D3622">
        <f>HYPERLINK("https://www.youtube.com/watch?v=5XP6mH5nyiU&amp;t=550s", "Go to time")</f>
        <v/>
      </c>
    </row>
    <row r="3623">
      <c r="A3623">
        <f>HYPERLINK("https://www.youtube.com/watch?v=8ZxCsVadkiQ", "Video")</f>
        <v/>
      </c>
      <c r="B3623" t="inlineStr">
        <is>
          <t>8:15</t>
        </is>
      </c>
      <c r="C3623" t="inlineStr">
        <is>
          <t>in a direction that none of us expected</t>
        </is>
      </c>
      <c r="D3623">
        <f>HYPERLINK("https://www.youtube.com/watch?v=8ZxCsVadkiQ&amp;t=495s", "Go to time")</f>
        <v/>
      </c>
    </row>
    <row r="3624">
      <c r="A3624">
        <f>HYPERLINK("https://www.youtube.com/watch?v=wSqT30dZl1s", "Video")</f>
        <v/>
      </c>
      <c r="B3624" t="inlineStr">
        <is>
          <t>6:52</t>
        </is>
      </c>
      <c r="C3624" t="inlineStr">
        <is>
          <t>you this says director of personnel</t>
        </is>
      </c>
      <c r="D3624">
        <f>HYPERLINK("https://www.youtube.com/watch?v=wSqT30dZl1s&amp;t=412s", "Go to time")</f>
        <v/>
      </c>
    </row>
    <row r="3625">
      <c r="A3625">
        <f>HYPERLINK("https://www.youtube.com/watch?v=ExJ57ts4gnA", "Video")</f>
        <v/>
      </c>
      <c r="B3625" t="inlineStr">
        <is>
          <t>0:10</t>
        </is>
      </c>
      <c r="C3625" t="inlineStr">
        <is>
          <t>direction uh no problem you just see</t>
        </is>
      </c>
      <c r="D3625">
        <f>HYPERLINK("https://www.youtube.com/watch?v=ExJ57ts4gnA&amp;t=10s", "Go to time")</f>
        <v/>
      </c>
    </row>
    <row r="3626">
      <c r="A3626">
        <f>HYPERLINK("https://www.youtube.com/watch?v=WX9-x0dE5gw", "Video")</f>
        <v/>
      </c>
      <c r="B3626" t="inlineStr">
        <is>
          <t>0:44</t>
        </is>
      </c>
      <c r="C3626" t="inlineStr">
        <is>
          <t>please direct your questions to our</t>
        </is>
      </c>
      <c r="D3626">
        <f>HYPERLINK("https://www.youtube.com/watch?v=WX9-x0dE5gw&amp;t=44s", "Go to time")</f>
        <v/>
      </c>
    </row>
    <row r="3627">
      <c r="A3627">
        <f>HYPERLINK("https://www.youtube.com/watch?v=Ca0zQJ6JtMY", "Video")</f>
        <v/>
      </c>
      <c r="B3627" t="inlineStr">
        <is>
          <t>6:40</t>
        </is>
      </c>
      <c r="C3627" t="inlineStr">
        <is>
          <t>defendant directly I'm not the defendant</t>
        </is>
      </c>
      <c r="D3627">
        <f>HYPERLINK("https://www.youtube.com/watch?v=Ca0zQJ6JtMY&amp;t=400s", "Go to time")</f>
        <v/>
      </c>
    </row>
    <row r="3628">
      <c r="A3628">
        <f>HYPERLINK("https://www.youtube.com/watch?v=CJtu_4CpRvM", "Video")</f>
        <v/>
      </c>
      <c r="B3628" t="inlineStr">
        <is>
          <t>5:38</t>
        </is>
      </c>
      <c r="C3628" t="inlineStr">
        <is>
          <t>director not a no and I'm pretty sure</t>
        </is>
      </c>
      <c r="D3628">
        <f>HYPERLINK("https://www.youtube.com/watch?v=CJtu_4CpRvM&amp;t=338s", "Go to time")</f>
        <v/>
      </c>
    </row>
    <row r="3629">
      <c r="A3629">
        <f>HYPERLINK("https://www.youtube.com/watch?v=CJtu_4CpRvM", "Video")</f>
        <v/>
      </c>
      <c r="B3629" t="inlineStr">
        <is>
          <t>10:47</t>
        </is>
      </c>
      <c r="C3629" t="inlineStr">
        <is>
          <t>had one good direct you walk through</t>
        </is>
      </c>
      <c r="D3629">
        <f>HYPERLINK("https://www.youtube.com/watch?v=CJtu_4CpRvM&amp;t=647s", "Go to time")</f>
        <v/>
      </c>
    </row>
    <row r="3630">
      <c r="A3630">
        <f>HYPERLINK("https://www.youtube.com/watch?v=F3K0aCLnCHM", "Video")</f>
        <v/>
      </c>
      <c r="B3630" t="inlineStr">
        <is>
          <t>4:07</t>
        </is>
      </c>
      <c r="C3630" t="inlineStr">
        <is>
          <t>need to make the case directly to him he</t>
        </is>
      </c>
      <c r="D3630">
        <f>HYPERLINK("https://www.youtube.com/watch?v=F3K0aCLnCHM&amp;t=247s", "Go to time")</f>
        <v/>
      </c>
    </row>
    <row r="3631">
      <c r="A3631">
        <f>HYPERLINK("https://www.youtube.com/watch?v=JAblpis8jYI", "Video")</f>
        <v/>
      </c>
      <c r="B3631" t="inlineStr">
        <is>
          <t>3:08</t>
        </is>
      </c>
      <c r="C3631" t="inlineStr">
        <is>
          <t>be direct tell him you're sorry he might</t>
        </is>
      </c>
      <c r="D3631">
        <f>HYPERLINK("https://www.youtube.com/watch?v=JAblpis8jYI&amp;t=188s", "Go to time")</f>
        <v/>
      </c>
    </row>
    <row r="3632">
      <c r="A3632">
        <f>HYPERLINK("https://www.youtube.com/watch?v=JAblpis8jYI", "Video")</f>
        <v/>
      </c>
      <c r="B3632" t="inlineStr">
        <is>
          <t>4:09</t>
        </is>
      </c>
      <c r="C3632" t="inlineStr">
        <is>
          <t>actively trying to undermine a direct</t>
        </is>
      </c>
      <c r="D3632">
        <f>HYPERLINK("https://www.youtube.com/watch?v=JAblpis8jYI&amp;t=249s", "Go to time")</f>
        <v/>
      </c>
    </row>
    <row r="3633">
      <c r="A3633">
        <f>HYPERLINK("https://www.youtube.com/watch?v=wBx4wIUHrbE", "Video")</f>
        <v/>
      </c>
      <c r="B3633" t="inlineStr">
        <is>
          <t>7:39</t>
        </is>
      </c>
      <c r="C3633" t="inlineStr">
        <is>
          <t>arrangement broke her directly by the</t>
        </is>
      </c>
      <c r="D3633">
        <f>HYPERLINK("https://www.youtube.com/watch?v=wBx4wIUHrbE&amp;t=459s", "Go to time")</f>
        <v/>
      </c>
    </row>
    <row r="3634">
      <c r="A3634">
        <f>HYPERLINK("https://www.youtube.com/watch?v=cmWpl8bAtJY", "Video")</f>
        <v/>
      </c>
      <c r="B3634" t="inlineStr">
        <is>
          <t>5:44</t>
        </is>
      </c>
      <c r="C3634" t="inlineStr">
        <is>
          <t>I'll be over there directly</t>
        </is>
      </c>
      <c r="D3634">
        <f>HYPERLINK("https://www.youtube.com/watch?v=cmWpl8bAtJY&amp;t=344s", "Go to time")</f>
        <v/>
      </c>
    </row>
    <row r="3635">
      <c r="A3635">
        <f>HYPERLINK("https://www.youtube.com/watch?v=JKfE_QOWqRo", "Video")</f>
        <v/>
      </c>
      <c r="B3635" t="inlineStr">
        <is>
          <t>0:45</t>
        </is>
      </c>
      <c r="C3635" t="inlineStr">
        <is>
          <t>that directions to Westchester Country</t>
        </is>
      </c>
      <c r="D3635">
        <f>HYPERLINK("https://www.youtube.com/watch?v=JKfE_QOWqRo&amp;t=45s", "Go to time")</f>
        <v/>
      </c>
    </row>
    <row r="3636">
      <c r="A3636">
        <f>HYPERLINK("https://www.youtube.com/watch?v=JKfE_QOWqRo", "Video")</f>
        <v/>
      </c>
      <c r="B3636" t="inlineStr">
        <is>
          <t>1:45</t>
        </is>
      </c>
      <c r="C3636" t="inlineStr">
        <is>
          <t>board of directors of Comcast from your</t>
        </is>
      </c>
      <c r="D3636">
        <f>HYPERLINK("https://www.youtube.com/watch?v=JKfE_QOWqRo&amp;t=105s", "Go to time")</f>
        <v/>
      </c>
    </row>
    <row r="3637">
      <c r="A3637">
        <f>HYPERLINK("https://www.youtube.com/watch?v=Y4Z9yobtlkU", "Video")</f>
        <v/>
      </c>
      <c r="B3637" t="inlineStr">
        <is>
          <t>0:23</t>
        </is>
      </c>
      <c r="C3637" t="inlineStr">
        <is>
          <t>Cole Pi inspector director Co you hear</t>
        </is>
      </c>
      <c r="D3637">
        <f>HYPERLINK("https://www.youtube.com/watch?v=Y4Z9yobtlkU&amp;t=23s", "Go to time")</f>
        <v/>
      </c>
    </row>
    <row r="3638">
      <c r="A3638">
        <f>HYPERLINK("https://www.youtube.com/watch?v=Y4Z9yobtlkU", "Video")</f>
        <v/>
      </c>
      <c r="B3638" t="inlineStr">
        <is>
          <t>0:27</t>
        </is>
      </c>
      <c r="C3638" t="inlineStr">
        <is>
          <t>Pi inspector director Co</t>
        </is>
      </c>
      <c r="D3638">
        <f>HYPERLINK("https://www.youtube.com/watch?v=Y4Z9yobtlkU&amp;t=27s", "Go to time")</f>
        <v/>
      </c>
    </row>
    <row r="3639">
      <c r="A3639">
        <f>HYPERLINK("https://www.youtube.com/watch?v=Y4Z9yobtlkU", "Video")</f>
        <v/>
      </c>
      <c r="B3639" t="inlineStr">
        <is>
          <t>5:54</t>
        </is>
      </c>
      <c r="C3639" t="inlineStr">
        <is>
          <t>Vice Pierce inspector LD how I director</t>
        </is>
      </c>
      <c r="D3639">
        <f>HYPERLINK("https://www.youtube.com/watch?v=Y4Z9yobtlkU&amp;t=354s", "Go to time")</f>
        <v/>
      </c>
    </row>
    <row r="3640">
      <c r="A3640">
        <f>HYPERLINK("https://www.youtube.com/watch?v=mWpw3pBKhAA", "Video")</f>
        <v/>
      </c>
      <c r="B3640" t="inlineStr">
        <is>
          <t>2:58</t>
        </is>
      </c>
      <c r="C3640" t="inlineStr">
        <is>
          <t>information directly from Scottie that's</t>
        </is>
      </c>
      <c r="D3640">
        <f>HYPERLINK("https://www.youtube.com/watch?v=mWpw3pBKhAA&amp;t=178s", "Go to time")</f>
        <v/>
      </c>
    </row>
    <row r="3641">
      <c r="A3641">
        <f>HYPERLINK("https://www.youtube.com/watch?v=DOxblk3fQ3o", "Video")</f>
        <v/>
      </c>
      <c r="B3641" t="inlineStr">
        <is>
          <t>2:51</t>
        </is>
      </c>
      <c r="C3641" t="inlineStr">
        <is>
          <t>old friend Emanuel Marga and direct him</t>
        </is>
      </c>
      <c r="D3641">
        <f>HYPERLINK("https://www.youtube.com/watch?v=DOxblk3fQ3o&amp;t=171s", "Go to time")</f>
        <v/>
      </c>
    </row>
    <row r="3642">
      <c r="A3642">
        <f>HYPERLINK("https://www.youtube.com/watch?v=miL9aKUzjAk", "Video")</f>
        <v/>
      </c>
      <c r="B3642" t="inlineStr">
        <is>
          <t>3:17</t>
        </is>
      </c>
      <c r="C3642" t="inlineStr">
        <is>
          <t>board of directors instruct you to tell</t>
        </is>
      </c>
      <c r="D3642">
        <f>HYPERLINK("https://www.youtube.com/watch?v=miL9aKUzjAk&amp;t=197s", "Go to time")</f>
        <v/>
      </c>
    </row>
    <row r="3643">
      <c r="A3643">
        <f>HYPERLINK("https://www.youtube.com/watch?v=O6XeJQ7Eqaw", "Video")</f>
        <v/>
      </c>
      <c r="B3643" t="inlineStr">
        <is>
          <t>2:58</t>
        </is>
      </c>
      <c r="C3643" t="inlineStr">
        <is>
          <t>please direct your questions to our</t>
        </is>
      </c>
      <c r="D3643">
        <f>HYPERLINK("https://www.youtube.com/watch?v=O6XeJQ7Eqaw&amp;t=178s", "Go to time")</f>
        <v/>
      </c>
    </row>
    <row r="3644">
      <c r="A3644">
        <f>HYPERLINK("https://www.youtube.com/watch?v=9RlGOgnfhE8", "Video")</f>
        <v/>
      </c>
      <c r="B3644" t="inlineStr">
        <is>
          <t>2:14</t>
        </is>
      </c>
      <c r="C3644" t="inlineStr">
        <is>
          <t>directed to me and somehow i'm confident</t>
        </is>
      </c>
      <c r="D3644">
        <f>HYPERLINK("https://www.youtube.com/watch?v=9RlGOgnfhE8&amp;t=134s", "Go to time")</f>
        <v/>
      </c>
    </row>
    <row r="3645">
      <c r="A3645">
        <f>HYPERLINK("https://www.youtube.com/watch?v=s7Qq1wzAhp0", "Video")</f>
        <v/>
      </c>
      <c r="B3645" t="inlineStr">
        <is>
          <t>3:27</t>
        </is>
      </c>
      <c r="C3645" t="inlineStr">
        <is>
          <t>good direct</t>
        </is>
      </c>
      <c r="D3645">
        <f>HYPERLINK("https://www.youtube.com/watch?v=s7Qq1wzAhp0&amp;t=207s", "Go to time")</f>
        <v/>
      </c>
    </row>
    <row r="3646">
      <c r="A3646">
        <f>HYPERLINK("https://www.youtube.com/watch?v=VLi2JdFEKJY", "Video")</f>
        <v/>
      </c>
      <c r="B3646" t="inlineStr">
        <is>
          <t>11:17</t>
        </is>
      </c>
      <c r="C3646" t="inlineStr">
        <is>
          <t>because that's the direction she came</t>
        </is>
      </c>
      <c r="D3646">
        <f>HYPERLINK("https://www.youtube.com/watch?v=VLi2JdFEKJY&amp;t=677s", "Go to time")</f>
        <v/>
      </c>
    </row>
    <row r="3647">
      <c r="A3647">
        <f>HYPERLINK("https://www.youtube.com/watch?v=PhEsRiTKd04", "Video")</f>
        <v/>
      </c>
      <c r="B3647" t="inlineStr">
        <is>
          <t>3:26</t>
        </is>
      </c>
      <c r="C3647" t="inlineStr">
        <is>
          <t>alumni directory every class that</t>
        </is>
      </c>
      <c r="D3647">
        <f>HYPERLINK("https://www.youtube.com/watch?v=PhEsRiTKd04&amp;t=206s", "Go to time")</f>
        <v/>
      </c>
    </row>
    <row r="3648">
      <c r="A3648">
        <f>HYPERLINK("https://www.youtube.com/watch?v=jE_BGPs_sKg", "Video")</f>
        <v/>
      </c>
      <c r="B3648" t="inlineStr">
        <is>
          <t>8:24</t>
        </is>
      </c>
      <c r="C3648" t="inlineStr">
        <is>
          <t>want me to point them in your direction</t>
        </is>
      </c>
      <c r="D3648">
        <f>HYPERLINK("https://www.youtube.com/watch?v=jE_BGPs_sKg&amp;t=504s", "Go to time")</f>
        <v/>
      </c>
    </row>
    <row r="3649">
      <c r="A3649">
        <f>HYPERLINK("https://www.youtube.com/watch?v=K1EnCoTPT5w", "Video")</f>
        <v/>
      </c>
      <c r="B3649" t="inlineStr">
        <is>
          <t>2:43</t>
        </is>
      </c>
      <c r="C3649" t="inlineStr">
        <is>
          <t>giving you a direct order you are not to</t>
        </is>
      </c>
      <c r="D3649">
        <f>HYPERLINK("https://www.youtube.com/watch?v=K1EnCoTPT5w&amp;t=163s", "Go to time")</f>
        <v/>
      </c>
    </row>
    <row r="3650">
      <c r="A3650">
        <f>HYPERLINK("https://www.youtube.com/watch?v=Yd0yQ9yxSYY", "Video")</f>
        <v/>
      </c>
      <c r="B3650" t="inlineStr">
        <is>
          <t>0:40</t>
        </is>
      </c>
      <c r="C3650" t="inlineStr">
        <is>
          <t>that we nudge in the direction
of better performance</t>
        </is>
      </c>
      <c r="D3650">
        <f>HYPERLINK("https://www.youtube.com/watch?v=Yd0yQ9yxSYY&amp;t=40s", "Go to time")</f>
        <v/>
      </c>
    </row>
    <row r="3651">
      <c r="A3651">
        <f>HYPERLINK("https://www.youtube.com/watch?v=Yd0yQ9yxSYY", "Video")</f>
        <v/>
      </c>
      <c r="B3651" t="inlineStr">
        <is>
          <t>8:19</t>
        </is>
      </c>
      <c r="C3651" t="inlineStr">
        <is>
          <t>but why would they want
to go in that direction?</t>
        </is>
      </c>
      <c r="D3651">
        <f>HYPERLINK("https://www.youtube.com/watch?v=Yd0yQ9yxSYY&amp;t=499s", "Go to time")</f>
        <v/>
      </c>
    </row>
    <row r="3652">
      <c r="A3652">
        <f>HYPERLINK("https://www.youtube.com/watch?v=Yd0yQ9yxSYY", "Video")</f>
        <v/>
      </c>
      <c r="B3652" t="inlineStr">
        <is>
          <t>8:28</t>
        </is>
      </c>
      <c r="C3652" t="inlineStr">
        <is>
          <t>So why might they go in that direction?</t>
        </is>
      </c>
      <c r="D3652">
        <f>HYPERLINK("https://www.youtube.com/watch?v=Yd0yQ9yxSYY&amp;t=508s", "Go to time")</f>
        <v/>
      </c>
    </row>
    <row r="3653">
      <c r="A3653">
        <f>HYPERLINK("https://www.youtube.com/watch?v=lR_WNPGVENU", "Video")</f>
        <v/>
      </c>
      <c r="B3653" t="inlineStr">
        <is>
          <t>2:18</t>
        </is>
      </c>
      <c r="C3653" t="inlineStr">
        <is>
          <t>They generate more emissions
by burning fossil fuels directly,</t>
        </is>
      </c>
      <c r="D3653">
        <f>HYPERLINK("https://www.youtube.com/watch?v=lR_WNPGVENU&amp;t=138s", "Go to time")</f>
        <v/>
      </c>
    </row>
    <row r="3654">
      <c r="A3654">
        <f>HYPERLINK("https://www.youtube.com/watch?v=lR_WNPGVENU", "Video")</f>
        <v/>
      </c>
      <c r="B3654" t="inlineStr">
        <is>
          <t>9:16</t>
        </is>
      </c>
      <c r="C3654" t="inlineStr">
        <is>
          <t>that we can impact directly
through our purchasing decisions.</t>
        </is>
      </c>
      <c r="D3654">
        <f>HYPERLINK("https://www.youtube.com/watch?v=lR_WNPGVENU&amp;t=556s", "Go to time")</f>
        <v/>
      </c>
    </row>
    <row r="3655">
      <c r="A3655">
        <f>HYPERLINK("https://www.youtube.com/watch?v=lR_WNPGVENU", "Video")</f>
        <v/>
      </c>
      <c r="B3655" t="inlineStr">
        <is>
          <t>9:43</t>
        </is>
      </c>
      <c r="C3655" t="inlineStr">
        <is>
          <t>to address a multiple
of their direct emissions footprints.</t>
        </is>
      </c>
      <c r="D3655">
        <f>HYPERLINK("https://www.youtube.com/watch?v=lR_WNPGVENU&amp;t=583s", "Go to time")</f>
        <v/>
      </c>
    </row>
    <row r="3656">
      <c r="A3656">
        <f>HYPERLINK("https://www.youtube.com/watch?v=P_Z5MhlprRE", "Video")</f>
        <v/>
      </c>
      <c r="B3656" t="inlineStr">
        <is>
          <t>13:40</t>
        </is>
      </c>
      <c r="C3656" t="inlineStr">
        <is>
          <t>whether we're looking
completely in the wrong direction.</t>
        </is>
      </c>
      <c r="D3656">
        <f>HYPERLINK("https://www.youtube.com/watch?v=P_Z5MhlprRE&amp;t=820s", "Go to time")</f>
        <v/>
      </c>
    </row>
    <row r="3657">
      <c r="A3657">
        <f>HYPERLINK("https://www.youtube.com/watch?v=rtcrqLWZr_0", "Video")</f>
        <v/>
      </c>
      <c r="B3657" t="inlineStr">
        <is>
          <t>4:29</t>
        </is>
      </c>
      <c r="C3657" t="inlineStr">
        <is>
          <t>went the opposite direction.</t>
        </is>
      </c>
      <c r="D3657">
        <f>HYPERLINK("https://www.youtube.com/watch?v=rtcrqLWZr_0&amp;t=269s", "Go to time")</f>
        <v/>
      </c>
    </row>
    <row r="3658">
      <c r="A3658">
        <f>HYPERLINK("https://www.youtube.com/watch?v=PLk8Pm_XBJE", "Video")</f>
        <v/>
      </c>
      <c r="B3658" t="inlineStr">
        <is>
          <t>2:30</t>
        </is>
      </c>
      <c r="C3658" t="inlineStr">
        <is>
          <t>along with synthetics to enhance
the bidirectional communication</t>
        </is>
      </c>
      <c r="D3658">
        <f>HYPERLINK("https://www.youtube.com/watch?v=PLk8Pm_XBJE&amp;t=150s", "Go to time")</f>
        <v/>
      </c>
    </row>
    <row r="3659">
      <c r="A3659">
        <f>HYPERLINK("https://www.youtube.com/watch?v=PLk8Pm_XBJE", "Video")</f>
        <v/>
      </c>
      <c r="B3659" t="inlineStr">
        <is>
          <t>8:48</t>
        </is>
      </c>
      <c r="C3659" t="inlineStr">
        <is>
          <t>in four distinct ankle-foot
movement directions.</t>
        </is>
      </c>
      <c r="D3659">
        <f>HYPERLINK("https://www.youtube.com/watch?v=PLk8Pm_XBJE&amp;t=528s", "Go to time")</f>
        <v/>
      </c>
    </row>
    <row r="3660">
      <c r="A3660">
        <f>HYPERLINK("https://www.youtube.com/watch?v=PLk8Pm_XBJE", "Video")</f>
        <v/>
      </c>
      <c r="B3660" t="inlineStr">
        <is>
          <t>10:45</t>
        </is>
      </c>
      <c r="C3660" t="inlineStr">
        <is>
          <t>By connecting Jim's
nervous system bidirectionally</t>
        </is>
      </c>
      <c r="D3660">
        <f>HYPERLINK("https://www.youtube.com/watch?v=PLk8Pm_XBJE&amp;t=645s", "Go to time")</f>
        <v/>
      </c>
    </row>
    <row r="3661">
      <c r="A3661">
        <f>HYPERLINK("https://www.youtube.com/watch?v=PLk8Pm_XBJE", "Video")</f>
        <v/>
      </c>
      <c r="B3661" t="inlineStr">
        <is>
          <t>11:22</t>
        </is>
      </c>
      <c r="C3661" t="inlineStr">
        <is>
          <t>when I'm going to be neurally linked
to my synthetic limbs bidirectionally,</t>
        </is>
      </c>
      <c r="D3661">
        <f>HYPERLINK("https://www.youtube.com/watch?v=PLk8Pm_XBJE&amp;t=682s", "Go to time")</f>
        <v/>
      </c>
    </row>
    <row r="3662">
      <c r="A3662">
        <f>HYPERLINK("https://www.youtube.com/watch?v=yg8SBuTuoKk", "Video")</f>
        <v/>
      </c>
      <c r="B3662" t="inlineStr">
        <is>
          <t>6:08</t>
        </is>
      </c>
      <c r="C3662" t="inlineStr">
        <is>
          <t>I am the director of national security,</t>
        </is>
      </c>
      <c r="D3662">
        <f>HYPERLINK("https://www.youtube.com/watch?v=yg8SBuTuoKk&amp;t=368s", "Go to time")</f>
        <v/>
      </c>
    </row>
    <row r="3663">
      <c r="A3663">
        <f>HYPERLINK("https://www.youtube.com/watch?v=XTlDS7ju_28", "Video")</f>
        <v/>
      </c>
      <c r="B3663" t="inlineStr">
        <is>
          <t>0:18</t>
        </is>
      </c>
      <c r="C3663" t="inlineStr">
        <is>
          <t>my career veered in the direction
of animal cognition and neuroscience.</t>
        </is>
      </c>
      <c r="D3663">
        <f>HYPERLINK("https://www.youtube.com/watch?v=XTlDS7ju_28&amp;t=18s", "Go to time")</f>
        <v/>
      </c>
    </row>
    <row r="3664">
      <c r="A3664">
        <f>HYPERLINK("https://www.youtube.com/watch?v=B8kyrIQCFXQ", "Video")</f>
        <v/>
      </c>
      <c r="B3664" t="inlineStr">
        <is>
          <t>6:45</t>
        </is>
      </c>
      <c r="C3664" t="inlineStr">
        <is>
          <t>for communities in dire need of it.</t>
        </is>
      </c>
      <c r="D3664">
        <f>HYPERLINK("https://www.youtube.com/watch?v=B8kyrIQCFXQ&amp;t=405s", "Go to time")</f>
        <v/>
      </c>
    </row>
    <row r="3665">
      <c r="A3665">
        <f>HYPERLINK("https://www.youtube.com/watch?v=Y0vRupFPw90", "Video")</f>
        <v/>
      </c>
      <c r="B3665" t="inlineStr">
        <is>
          <t>0:59</t>
        </is>
      </c>
      <c r="C3665" t="inlineStr">
        <is>
          <t>the dragonfly can move
precisely in any direction.</t>
        </is>
      </c>
      <c r="D3665">
        <f>HYPERLINK("https://www.youtube.com/watch?v=Y0vRupFPw90&amp;t=59s", "Go to time")</f>
        <v/>
      </c>
    </row>
    <row r="3666">
      <c r="A3666">
        <f>HYPERLINK("https://www.youtube.com/watch?v=Y0vRupFPw90", "Video")</f>
        <v/>
      </c>
      <c r="B3666" t="inlineStr">
        <is>
          <t>3:02</t>
        </is>
      </c>
      <c r="C3666" t="inlineStr">
        <is>
          <t>Look at that, but it's only
in one direction.</t>
        </is>
      </c>
      <c r="D3666">
        <f>HYPERLINK("https://www.youtube.com/watch?v=Y0vRupFPw90&amp;t=182s", "Go to time")</f>
        <v/>
      </c>
    </row>
    <row r="3667">
      <c r="A3667">
        <f>HYPERLINK("https://www.youtube.com/watch?v=Y0vRupFPw90", "Video")</f>
        <v/>
      </c>
      <c r="B3667" t="inlineStr">
        <is>
          <t>3:14</t>
        </is>
      </c>
      <c r="C3667" t="inlineStr">
        <is>
          <t>fired when we moved the target
in one direction but not the other.</t>
        </is>
      </c>
      <c r="D3667">
        <f>HYPERLINK("https://www.youtube.com/watch?v=Y0vRupFPw90&amp;t=194s", "Go to time")</f>
        <v/>
      </c>
    </row>
    <row r="3668">
      <c r="A3668">
        <f>HYPERLINK("https://www.youtube.com/watch?v=xRL2vVAa47I", "Video")</f>
        <v/>
      </c>
      <c r="B3668" t="inlineStr">
        <is>
          <t>8:22</t>
        </is>
      </c>
      <c r="C3668" t="inlineStr">
        <is>
          <t>we're going to lose approximately
150,000 creative directors,</t>
        </is>
      </c>
      <c r="D3668">
        <f>HYPERLINK("https://www.youtube.com/watch?v=xRL2vVAa47I&amp;t=502s", "Go to time")</f>
        <v/>
      </c>
    </row>
    <row r="3669">
      <c r="A3669">
        <f>HYPERLINK("https://www.youtube.com/watch?v=eMiPKpXbm9A", "Video")</f>
        <v/>
      </c>
      <c r="B3669" t="inlineStr">
        <is>
          <t>4:42</t>
        </is>
      </c>
      <c r="C3669" t="inlineStr">
        <is>
          <t>So by dropping directly
into existing plants,</t>
        </is>
      </c>
      <c r="D3669">
        <f>HYPERLINK("https://www.youtube.com/watch?v=eMiPKpXbm9A&amp;t=282s", "Go to time")</f>
        <v/>
      </c>
    </row>
    <row r="3670">
      <c r="A3670">
        <f>HYPERLINK("https://www.youtube.com/watch?v=U-BHz_UIOfs", "Video")</f>
        <v/>
      </c>
      <c r="B3670" t="inlineStr">
        <is>
          <t>4:32</t>
        </is>
      </c>
      <c r="C3670" t="inlineStr">
        <is>
          <t>all the other countries actually give
a pretty direct path to entry for work.</t>
        </is>
      </c>
      <c r="D3670">
        <f>HYPERLINK("https://www.youtube.com/watch?v=U-BHz_UIOfs&amp;t=272s", "Go to time")</f>
        <v/>
      </c>
    </row>
    <row r="3671">
      <c r="A3671">
        <f>HYPERLINK("https://www.youtube.com/watch?v=CyGWML6cI_k", "Video")</f>
        <v/>
      </c>
      <c r="B3671" t="inlineStr">
        <is>
          <t>2:24</t>
        </is>
      </c>
      <c r="C3671" t="inlineStr">
        <is>
          <t>and one of the ideas that is out there
is the idea of direct democracy.</t>
        </is>
      </c>
      <c r="D3671">
        <f>HYPERLINK("https://www.youtube.com/watch?v=CyGWML6cI_k&amp;t=144s", "Go to time")</f>
        <v/>
      </c>
    </row>
    <row r="3672">
      <c r="A3672">
        <f>HYPERLINK("https://www.youtube.com/watch?v=CyGWML6cI_k", "Video")</f>
        <v/>
      </c>
      <c r="B3672" t="inlineStr">
        <is>
          <t>2:31</t>
        </is>
      </c>
      <c r="C3672" t="inlineStr">
        <is>
          <t>and having people vote directly on issues,</t>
        </is>
      </c>
      <c r="D3672">
        <f>HYPERLINK("https://www.youtube.com/watch?v=CyGWML6cI_k&amp;t=151s", "Go to time")</f>
        <v/>
      </c>
    </row>
    <row r="3673">
      <c r="A3673">
        <f>HYPERLINK("https://www.youtube.com/watch?v=CyGWML6cI_k", "Video")</f>
        <v/>
      </c>
      <c r="B3673" t="inlineStr">
        <is>
          <t>2:33</t>
        </is>
      </c>
      <c r="C3673" t="inlineStr">
        <is>
          <t>having people vote directly on bills.</t>
        </is>
      </c>
      <c r="D3673">
        <f>HYPERLINK("https://www.youtube.com/watch?v=CyGWML6cI_k&amp;t=153s", "Go to time")</f>
        <v/>
      </c>
    </row>
    <row r="3674">
      <c r="A3674">
        <f>HYPERLINK("https://www.youtube.com/watch?v=CyGWML6cI_k", "Video")</f>
        <v/>
      </c>
      <c r="B3674" t="inlineStr">
        <is>
          <t>3:03</t>
        </is>
      </c>
      <c r="C3674" t="inlineStr">
        <is>
          <t>if we're going to try to think about
direct democracy as a viable alternative.</t>
        </is>
      </c>
      <c r="D3674">
        <f>HYPERLINK("https://www.youtube.com/watch?v=CyGWML6cI_k&amp;t=183s", "Go to time")</f>
        <v/>
      </c>
    </row>
    <row r="3675">
      <c r="A3675">
        <f>HYPERLINK("https://www.youtube.com/watch?v=CyGWML6cI_k", "Video")</f>
        <v/>
      </c>
      <c r="B3675" t="inlineStr">
        <is>
          <t>7:49</t>
        </is>
      </c>
      <c r="C3675" t="inlineStr">
        <is>
          <t>And that idea is combining
direct democracy with software agents.</t>
        </is>
      </c>
      <c r="D3675">
        <f>HYPERLINK("https://www.youtube.com/watch?v=CyGWML6cI_k&amp;t=469s", "Go to time")</f>
        <v/>
      </c>
    </row>
    <row r="3676">
      <c r="A3676">
        <f>HYPERLINK("https://www.youtube.com/watch?v=CyGWML6cI_k", "Video")</f>
        <v/>
      </c>
      <c r="B3676" t="inlineStr">
        <is>
          <t>11:45</t>
        </is>
      </c>
      <c r="C3676" t="inlineStr">
        <is>
          <t>in a world in which direct democracy
and software agents</t>
        </is>
      </c>
      <c r="D3676">
        <f>HYPERLINK("https://www.youtube.com/watch?v=CyGWML6cI_k&amp;t=705s", "Go to time")</f>
        <v/>
      </c>
    </row>
    <row r="3677">
      <c r="A3677">
        <f>HYPERLINK("https://www.youtube.com/watch?v=Juc_yvEkJuc", "Video")</f>
        <v/>
      </c>
      <c r="B3677" t="inlineStr">
        <is>
          <t>6:42</t>
        </is>
      </c>
      <c r="C3677" t="inlineStr">
        <is>
          <t>these people will be directly affected.</t>
        </is>
      </c>
      <c r="D3677">
        <f>HYPERLINK("https://www.youtube.com/watch?v=Juc_yvEkJuc&amp;t=402s", "Go to time")</f>
        <v/>
      </c>
    </row>
    <row r="3678">
      <c r="A3678">
        <f>HYPERLINK("https://www.youtube.com/watch?v=e-BZigXlphY", "Video")</f>
        <v/>
      </c>
      <c r="B3678" t="inlineStr">
        <is>
          <t>6:01</t>
        </is>
      </c>
      <c r="C3678" t="inlineStr">
        <is>
          <t>other than direct confrontation
to achieve their goals.</t>
        </is>
      </c>
      <c r="D3678">
        <f>HYPERLINK("https://www.youtube.com/watch?v=e-BZigXlphY&amp;t=361s", "Go to time")</f>
        <v/>
      </c>
    </row>
    <row r="3679">
      <c r="A3679">
        <f>HYPERLINK("https://www.youtube.com/watch?v=e-BZigXlphY", "Video")</f>
        <v/>
      </c>
      <c r="B3679" t="inlineStr">
        <is>
          <t>6:06</t>
        </is>
      </c>
      <c r="C3679" t="inlineStr">
        <is>
          <t>And finding alternatives
to direct confrontation</t>
        </is>
      </c>
      <c r="D3679">
        <f>HYPERLINK("https://www.youtube.com/watch?v=e-BZigXlphY&amp;t=366s", "Go to time")</f>
        <v/>
      </c>
    </row>
    <row r="3680">
      <c r="A3680">
        <f>HYPERLINK("https://www.youtube.com/watch?v=e-BZigXlphY", "Video")</f>
        <v/>
      </c>
      <c r="B3680" t="inlineStr">
        <is>
          <t>8:09</t>
        </is>
      </c>
      <c r="C3680" t="inlineStr">
        <is>
          <t>and their use of direct action
and communal self-help projects</t>
        </is>
      </c>
      <c r="D3680">
        <f>HYPERLINK("https://www.youtube.com/watch?v=e-BZigXlphY&amp;t=489s", "Go to time")</f>
        <v/>
      </c>
    </row>
    <row r="3681">
      <c r="A3681">
        <f>HYPERLINK("https://www.youtube.com/watch?v=e-BZigXlphY", "Video")</f>
        <v/>
      </c>
      <c r="B3681" t="inlineStr">
        <is>
          <t>9:15</t>
        </is>
      </c>
      <c r="C3681" t="inlineStr">
        <is>
          <t>Fatima Al Jaafari, who swallowed leaflets
containing the uprising's directives</t>
        </is>
      </c>
      <c r="D3681">
        <f>HYPERLINK("https://www.youtube.com/watch?v=e-BZigXlphY&amp;t=555s", "Go to time")</f>
        <v/>
      </c>
    </row>
    <row r="3682">
      <c r="A3682">
        <f>HYPERLINK("https://www.youtube.com/watch?v=k7P9v9NB7fU", "Video")</f>
        <v/>
      </c>
      <c r="B3682" t="inlineStr">
        <is>
          <t>7:31</t>
        </is>
      </c>
      <c r="C3682" t="inlineStr">
        <is>
          <t>Why don't we give money directly
to the poorest people in the world?</t>
        </is>
      </c>
      <c r="D3682">
        <f>HYPERLINK("https://www.youtube.com/watch?v=k7P9v9NB7fU&amp;t=451s", "Go to time")</f>
        <v/>
      </c>
    </row>
    <row r="3683">
      <c r="A3683">
        <f>HYPERLINK("https://www.youtube.com/watch?v=k7P9v9NB7fU", "Video")</f>
        <v/>
      </c>
      <c r="B3683" t="inlineStr">
        <is>
          <t>7:40</t>
        </is>
      </c>
      <c r="C3683" t="inlineStr">
        <is>
          <t>called GiveDirectly.</t>
        </is>
      </c>
      <c r="D3683">
        <f>HYPERLINK("https://www.youtube.com/watch?v=k7P9v9NB7fU&amp;t=460s", "Go to time")</f>
        <v/>
      </c>
    </row>
    <row r="3684">
      <c r="A3684">
        <f>HYPERLINK("https://www.youtube.com/watch?v=k7P9v9NB7fU", "Video")</f>
        <v/>
      </c>
      <c r="B3684" t="inlineStr">
        <is>
          <t>16:05</t>
        </is>
      </c>
      <c r="C3684" t="inlineStr">
        <is>
          <t>You mentioned GiveDirectly
as a great organization.</t>
        </is>
      </c>
      <c r="D3684">
        <f>HYPERLINK("https://www.youtube.com/watch?v=k7P9v9NB7fU&amp;t=965s", "Go to time")</f>
        <v/>
      </c>
    </row>
    <row r="3685">
      <c r="A3685">
        <f>HYPERLINK("https://www.youtube.com/watch?v=k7P9v9NB7fU", "Video")</f>
        <v/>
      </c>
      <c r="B3685" t="inlineStr">
        <is>
          <t>16:21</t>
        </is>
      </c>
      <c r="C3685" t="inlineStr">
        <is>
          <t>Seconding GiveDirectly is amazing.</t>
        </is>
      </c>
      <c r="D3685">
        <f>HYPERLINK("https://www.youtube.com/watch?v=k7P9v9NB7fU&amp;t=981s", "Go to time")</f>
        <v/>
      </c>
    </row>
    <row r="3686">
      <c r="A3686">
        <f>HYPERLINK("https://www.youtube.com/watch?v=lKp7_MtPXZM", "Video")</f>
        <v/>
      </c>
      <c r="B3686" t="inlineStr">
        <is>
          <t>28:27</t>
        </is>
      </c>
      <c r="C3686" t="inlineStr">
        <is>
          <t>the wind, the currents,
they're in the other direction.</t>
        </is>
      </c>
      <c r="D3686">
        <f>HYPERLINK("https://www.youtube.com/watch?v=lKp7_MtPXZM&amp;t=1707s", "Go to time")</f>
        <v/>
      </c>
    </row>
    <row r="3687">
      <c r="A3687">
        <f>HYPERLINK("https://www.youtube.com/watch?v=D1JZkmkStK8", "Video")</f>
        <v/>
      </c>
      <c r="B3687" t="inlineStr">
        <is>
          <t>15:00</t>
        </is>
      </c>
      <c r="C3687" t="inlineStr">
        <is>
          <t>directions but we feel like initially we</t>
        </is>
      </c>
      <c r="D3687">
        <f>HYPERLINK("https://www.youtube.com/watch?v=D1JZkmkStK8&amp;t=900s", "Go to time")</f>
        <v/>
      </c>
    </row>
    <row r="3688">
      <c r="A3688">
        <f>HYPERLINK("https://www.youtube.com/watch?v=fHDy7Jzp-5I", "Video")</f>
        <v/>
      </c>
      <c r="B3688" t="inlineStr">
        <is>
          <t>0:07</t>
        </is>
      </c>
      <c r="C3688" t="inlineStr">
        <is>
          <t>In 2016, I was the director
of the wildland urban interface</t>
        </is>
      </c>
      <c r="D3688">
        <f>HYPERLINK("https://www.youtube.com/watch?v=fHDy7Jzp-5I&amp;t=7s", "Go to time")</f>
        <v/>
      </c>
    </row>
    <row r="3689">
      <c r="A3689">
        <f>HYPERLINK("https://www.youtube.com/watch?v=fHDy7Jzp-5I", "Video")</f>
        <v/>
      </c>
      <c r="B3689" t="inlineStr">
        <is>
          <t>3:42</t>
        </is>
      </c>
      <c r="C3689" t="inlineStr">
        <is>
          <t>Now on a wildfire, these decisions
include whether to use direct</t>
        </is>
      </c>
      <c r="D3689">
        <f>HYPERLINK("https://www.youtube.com/watch?v=fHDy7Jzp-5I&amp;t=222s", "Go to time")</f>
        <v/>
      </c>
    </row>
    <row r="3690">
      <c r="A3690">
        <f>HYPERLINK("https://www.youtube.com/watch?v=fHDy7Jzp-5I", "Video")</f>
        <v/>
      </c>
      <c r="B3690" t="inlineStr">
        <is>
          <t>3:45</t>
        </is>
      </c>
      <c r="C3690" t="inlineStr">
        <is>
          <t>or indirect attack,</t>
        </is>
      </c>
      <c r="D3690">
        <f>HYPERLINK("https://www.youtube.com/watch?v=fHDy7Jzp-5I&amp;t=225s", "Go to time")</f>
        <v/>
      </c>
    </row>
    <row r="3691">
      <c r="A3691">
        <f>HYPERLINK("https://www.youtube.com/watch?v=fHDy7Jzp-5I", "Video")</f>
        <v/>
      </c>
      <c r="B3691" t="inlineStr">
        <is>
          <t>11:26</t>
        </is>
      </c>
      <c r="C3691" t="inlineStr">
        <is>
          <t>So we can nudge people
in the right direction.</t>
        </is>
      </c>
      <c r="D3691">
        <f>HYPERLINK("https://www.youtube.com/watch?v=fHDy7Jzp-5I&amp;t=686s", "Go to time")</f>
        <v/>
      </c>
    </row>
    <row r="3692">
      <c r="A3692">
        <f>HYPERLINK("https://www.youtube.com/watch?v=n0urFzhWTZ4", "Video")</f>
        <v/>
      </c>
      <c r="B3692" t="inlineStr">
        <is>
          <t>1:34</t>
        </is>
      </c>
      <c r="C3692" t="inlineStr">
        <is>
          <t>The dire situation in New Jersey</t>
        </is>
      </c>
      <c r="D3692">
        <f>HYPERLINK("https://www.youtube.com/watch?v=n0urFzhWTZ4&amp;t=94s", "Go to time")</f>
        <v/>
      </c>
    </row>
    <row r="3693">
      <c r="A3693">
        <f>HYPERLINK("https://www.youtube.com/watch?v=RjquHTj4HlY", "Video")</f>
        <v/>
      </c>
      <c r="B3693" t="inlineStr">
        <is>
          <t>1:33</t>
        </is>
      </c>
      <c r="C3693" t="inlineStr">
        <is>
          <t>What I do remember
is that the casting director asked me,</t>
        </is>
      </c>
      <c r="D3693">
        <f>HYPERLINK("https://www.youtube.com/watch?v=RjquHTj4HlY&amp;t=93s", "Go to time")</f>
        <v/>
      </c>
    </row>
    <row r="3694">
      <c r="A3694">
        <f>HYPERLINK("https://www.youtube.com/watch?v=RjquHTj4HlY", "Video")</f>
        <v/>
      </c>
      <c r="B3694" t="inlineStr">
        <is>
          <t>11:03</t>
        </is>
      </c>
      <c r="C3694" t="inlineStr">
        <is>
          <t>and directors and writers
and agents and managers</t>
        </is>
      </c>
      <c r="D3694">
        <f>HYPERLINK("https://www.youtube.com/watch?v=RjquHTj4HlY&amp;t=663s", "Go to time")</f>
        <v/>
      </c>
    </row>
    <row r="3695">
      <c r="A3695">
        <f>HYPERLINK("https://www.youtube.com/watch?v=iazvFYCU4YU", "Video")</f>
        <v/>
      </c>
      <c r="B3695" t="inlineStr">
        <is>
          <t>22:10</t>
        </is>
      </c>
      <c r="C3695" t="inlineStr">
        <is>
          <t>directing profits to shareholders and</t>
        </is>
      </c>
      <c r="D3695">
        <f>HYPERLINK("https://www.youtube.com/watch?v=iazvFYCU4YU&amp;t=1330s", "Go to time")</f>
        <v/>
      </c>
    </row>
    <row r="3696">
      <c r="A3696">
        <f>HYPERLINK("https://www.youtube.com/watch?v=iazvFYCU4YU", "Video")</f>
        <v/>
      </c>
      <c r="B3696" t="inlineStr">
        <is>
          <t>22:30</t>
        </is>
      </c>
      <c r="C3696" t="inlineStr">
        <is>
          <t>opposite direction for the past few</t>
        </is>
      </c>
      <c r="D3696">
        <f>HYPERLINK("https://www.youtube.com/watch?v=iazvFYCU4YU&amp;t=1350s", "Go to time")</f>
        <v/>
      </c>
    </row>
    <row r="3697">
      <c r="A3697">
        <f>HYPERLINK("https://www.youtube.com/watch?v=Kv_z5asgn7Y", "Video")</f>
        <v/>
      </c>
      <c r="B3697" t="inlineStr">
        <is>
          <t>6:44</t>
        </is>
      </c>
      <c r="C3697" t="inlineStr">
        <is>
          <t>Like, what's my sense of direction?</t>
        </is>
      </c>
      <c r="D3697">
        <f>HYPERLINK("https://www.youtube.com/watch?v=Kv_z5asgn7Y&amp;t=404s", "Go to time")</f>
        <v/>
      </c>
    </row>
    <row r="3698">
      <c r="A3698">
        <f>HYPERLINK("https://www.youtube.com/watch?v=LsAN-TEJfN0", "Video")</f>
        <v/>
      </c>
      <c r="B3698" t="inlineStr">
        <is>
          <t>15:02</t>
        </is>
      </c>
      <c r="C3698" t="inlineStr">
        <is>
          <t>"Are we sure that this
is the direction we want to go?"</t>
        </is>
      </c>
      <c r="D3698">
        <f>HYPERLINK("https://www.youtube.com/watch?v=LsAN-TEJfN0&amp;t=902s", "Go to time")</f>
        <v/>
      </c>
    </row>
    <row r="3699">
      <c r="A3699">
        <f>HYPERLINK("https://www.youtube.com/watch?v=RLESBHduKBs", "Video")</f>
        <v/>
      </c>
      <c r="B3699" t="inlineStr">
        <is>
          <t>0:50</t>
        </is>
      </c>
      <c r="C3699" t="inlineStr">
        <is>
          <t>in response, he looked directly at me</t>
        </is>
      </c>
      <c r="D3699">
        <f>HYPERLINK("https://www.youtube.com/watch?v=RLESBHduKBs&amp;t=50s", "Go to time")</f>
        <v/>
      </c>
    </row>
    <row r="3700">
      <c r="A3700">
        <f>HYPERLINK("https://www.youtube.com/watch?v=lkMV6SxilXc", "Video")</f>
        <v/>
      </c>
      <c r="B3700" t="inlineStr">
        <is>
          <t>38:05</t>
        </is>
      </c>
      <c r="C3700" t="inlineStr">
        <is>
          <t>want to talk about and then you redirect</t>
        </is>
      </c>
      <c r="D3700">
        <f>HYPERLINK("https://www.youtube.com/watch?v=lkMV6SxilXc&amp;t=2285s", "Go to time")</f>
        <v/>
      </c>
    </row>
    <row r="3701">
      <c r="A3701">
        <f>HYPERLINK("https://www.youtube.com/watch?v=lkMV6SxilXc", "Video")</f>
        <v/>
      </c>
      <c r="B3701" t="inlineStr">
        <is>
          <t>43:01</t>
        </is>
      </c>
      <c r="C3701" t="inlineStr">
        <is>
          <t>as as directly and if it does come at</t>
        </is>
      </c>
      <c r="D3701">
        <f>HYPERLINK("https://www.youtube.com/watch?v=lkMV6SxilXc&amp;t=2581s", "Go to time")</f>
        <v/>
      </c>
    </row>
    <row r="3702">
      <c r="A3702">
        <f>HYPERLINK("https://www.youtube.com/watch?v=aooScY6qr20", "Video")</f>
        <v/>
      </c>
      <c r="B3702" t="inlineStr">
        <is>
          <t>0:08</t>
        </is>
      </c>
      <c r="C3702" t="inlineStr">
        <is>
          <t>It's not about disease, or not directly.</t>
        </is>
      </c>
      <c r="D3702">
        <f>HYPERLINK("https://www.youtube.com/watch?v=aooScY6qr20&amp;t=8s", "Go to time")</f>
        <v/>
      </c>
    </row>
    <row r="3703">
      <c r="A3703">
        <f>HYPERLINK("https://www.youtube.com/watch?v=Ne-1bg2Ifn4", "Video")</f>
        <v/>
      </c>
      <c r="B3703" t="inlineStr">
        <is>
          <t>0:14</t>
        </is>
      </c>
      <c r="C3703" t="inlineStr">
        <is>
          <t>As the strategy director
for the Youth Climate Justice Fund,</t>
        </is>
      </c>
      <c r="D3703">
        <f>HYPERLINK("https://www.youtube.com/watch?v=Ne-1bg2Ifn4&amp;t=14s", "Go to time")</f>
        <v/>
      </c>
    </row>
    <row r="3704">
      <c r="A3704">
        <f>HYPERLINK("https://www.youtube.com/watch?v=E3cK8IL0JCE", "Video")</f>
        <v/>
      </c>
      <c r="B3704" t="inlineStr">
        <is>
          <t>7:13</t>
        </is>
      </c>
      <c r="C3704" t="inlineStr">
        <is>
          <t>called the "Redirect Method."</t>
        </is>
      </c>
      <c r="D3704">
        <f>HYPERLINK("https://www.youtube.com/watch?v=E3cK8IL0JCE&amp;t=433s", "Go to time")</f>
        <v/>
      </c>
    </row>
    <row r="3705">
      <c r="A3705">
        <f>HYPERLINK("https://www.youtube.com/watch?v=E3cK8IL0JCE", "Video")</f>
        <v/>
      </c>
      <c r="B3705" t="inlineStr">
        <is>
          <t>7:48</t>
        </is>
      </c>
      <c r="C3705" t="inlineStr">
        <is>
          <t>but of determining something
that's directly relevant</t>
        </is>
      </c>
      <c r="D3705">
        <f>HYPERLINK("https://www.youtube.com/watch?v=E3cK8IL0JCE&amp;t=468s", "Go to time")</f>
        <v/>
      </c>
    </row>
    <row r="3706">
      <c r="A3706">
        <f>HYPERLINK("https://www.youtube.com/watch?v=E3cK8IL0JCE", "Video")</f>
        <v/>
      </c>
      <c r="B3706" t="inlineStr">
        <is>
          <t>8:18</t>
        </is>
      </c>
      <c r="C3706" t="inlineStr">
        <is>
          <t>the Redirect Method is now
being deployed globally</t>
        </is>
      </c>
      <c r="D3706">
        <f>HYPERLINK("https://www.youtube.com/watch?v=E3cK8IL0JCE&amp;t=498s", "Go to time")</f>
        <v/>
      </c>
    </row>
    <row r="3707">
      <c r="A3707">
        <f>HYPERLINK("https://www.youtube.com/watch?v=k3clwllhdlg", "Video")</f>
        <v/>
      </c>
      <c r="B3707" t="inlineStr">
        <is>
          <t>7:26</t>
        </is>
      </c>
      <c r="C3707" t="inlineStr">
        <is>
          <t>How was I not terrified
and running in the opposite direction?</t>
        </is>
      </c>
      <c r="D3707">
        <f>HYPERLINK("https://www.youtube.com/watch?v=k3clwllhdlg&amp;t=446s", "Go to time")</f>
        <v/>
      </c>
    </row>
    <row r="3708">
      <c r="A3708">
        <f>HYPERLINK("https://www.youtube.com/watch?v=HY71088saG4", "Video")</f>
        <v/>
      </c>
      <c r="B3708" t="inlineStr">
        <is>
          <t>9:58</t>
        </is>
      </c>
      <c r="C3708" t="inlineStr">
        <is>
          <t>and we had them reach out directly
to a group of labeled neofascists</t>
        </is>
      </c>
      <c r="D3708">
        <f>HYPERLINK("https://www.youtube.com/watch?v=HY71088saG4&amp;t=598s", "Go to time")</f>
        <v/>
      </c>
    </row>
    <row r="3709">
      <c r="A3709">
        <f>HYPERLINK("https://www.youtube.com/watch?v=HY71088saG4", "Video")</f>
        <v/>
      </c>
      <c r="B3709" t="inlineStr">
        <is>
          <t>10:04</t>
        </is>
      </c>
      <c r="C3709" t="inlineStr">
        <is>
          <t>and put direct messages through Facebook
Messenger into their inbox, saying,</t>
        </is>
      </c>
      <c r="D3709">
        <f>HYPERLINK("https://www.youtube.com/watch?v=HY71088saG4&amp;t=604s", "Go to time")</f>
        <v/>
      </c>
    </row>
    <row r="3710">
      <c r="A3710">
        <f>HYPERLINK("https://www.youtube.com/watch?v=a63t8r70QN0", "Video")</f>
        <v/>
      </c>
      <c r="B3710" t="inlineStr">
        <is>
          <t>4:39</t>
        </is>
      </c>
      <c r="C3710" t="inlineStr">
        <is>
          <t>or dripping the e-liquid
directly onto a heated coil.</t>
        </is>
      </c>
      <c r="D3710">
        <f>HYPERLINK("https://www.youtube.com/watch?v=a63t8r70QN0&amp;t=279s", "Go to time")</f>
        <v/>
      </c>
    </row>
    <row r="3711">
      <c r="A3711">
        <f>HYPERLINK("https://www.youtube.com/watch?v=4lxyPcI7kn0", "Video")</f>
        <v/>
      </c>
      <c r="B3711" t="inlineStr">
        <is>
          <t>18:50</t>
        </is>
      </c>
      <c r="C3711" t="inlineStr">
        <is>
          <t>talking to you directly,
just like, that's insane.</t>
        </is>
      </c>
      <c r="D3711">
        <f>HYPERLINK("https://www.youtube.com/watch?v=4lxyPcI7kn0&amp;t=1130s", "Go to time")</f>
        <v/>
      </c>
    </row>
    <row r="3712">
      <c r="A3712">
        <f>HYPERLINK("https://www.youtube.com/watch?v=MeKJK4uetL8", "Video")</f>
        <v/>
      </c>
      <c r="B3712" t="inlineStr">
        <is>
          <t>1:35</t>
        </is>
      </c>
      <c r="C3712" t="inlineStr">
        <is>
          <t>But I'm going to talk about a way
that pure maths applies directly</t>
        </is>
      </c>
      <c r="D3712">
        <f>HYPERLINK("https://www.youtube.com/watch?v=MeKJK4uetL8&amp;t=95s", "Go to time")</f>
        <v/>
      </c>
    </row>
    <row r="3713">
      <c r="A3713">
        <f>HYPERLINK("https://www.youtube.com/watch?v=MeKJK4uetL8", "Video")</f>
        <v/>
      </c>
      <c r="B3713" t="inlineStr">
        <is>
          <t>2:29</t>
        </is>
      </c>
      <c r="C3713" t="inlineStr">
        <is>
          <t>But I'm pretty sure we are going
to take this in a direction</t>
        </is>
      </c>
      <c r="D3713">
        <f>HYPERLINK("https://www.youtube.com/watch?v=MeKJK4uetL8&amp;t=149s", "Go to time")</f>
        <v/>
      </c>
    </row>
    <row r="3714">
      <c r="A3714">
        <f>HYPERLINK("https://www.youtube.com/watch?v=MeKJK4uetL8", "Video")</f>
        <v/>
      </c>
      <c r="B3714" t="inlineStr">
        <is>
          <t>6:11</t>
        </is>
      </c>
      <c r="C3714" t="inlineStr">
        <is>
          <t>The first is that each arrow represents
a direct loss of one type of privilege.</t>
        </is>
      </c>
      <c r="D3714">
        <f>HYPERLINK("https://www.youtube.com/watch?v=MeKJK4uetL8&amp;t=371s", "Go to time")</f>
        <v/>
      </c>
    </row>
    <row r="3715">
      <c r="A3715">
        <f>HYPERLINK("https://www.youtube.com/watch?v=AbpNlshqtJc", "Video")</f>
        <v/>
      </c>
      <c r="B3715" t="inlineStr">
        <is>
          <t>0:12</t>
        </is>
      </c>
      <c r="C3715" t="inlineStr">
        <is>
          <t>I'm the director of the future of food.</t>
        </is>
      </c>
      <c r="D3715">
        <f>HYPERLINK("https://www.youtube.com/watch?v=AbpNlshqtJc&amp;t=12s", "Go to time")</f>
        <v/>
      </c>
    </row>
    <row r="3716">
      <c r="A3716">
        <f>HYPERLINK("https://www.youtube.com/watch?v=EjNV6JwlV2s", "Video")</f>
        <v/>
      </c>
      <c r="B3716" t="inlineStr">
        <is>
          <t>2:01</t>
        </is>
      </c>
      <c r="C3716" t="inlineStr">
        <is>
          <t>or even most of this
is directionally correct.</t>
        </is>
      </c>
      <c r="D3716">
        <f>HYPERLINK("https://www.youtube.com/watch?v=EjNV6JwlV2s&amp;t=121s", "Go to time")</f>
        <v/>
      </c>
    </row>
    <row r="3717">
      <c r="A3717">
        <f>HYPERLINK("https://www.youtube.com/watch?v=uH9r3lJmyaM", "Video")</f>
        <v/>
      </c>
      <c r="B3717" t="inlineStr">
        <is>
          <t>3:21</t>
        </is>
      </c>
      <c r="C3717" t="inlineStr">
        <is>
          <t>because it is a direct sign of progress.</t>
        </is>
      </c>
      <c r="D3717">
        <f>HYPERLINK("https://www.youtube.com/watch?v=uH9r3lJmyaM&amp;t=201s", "Go to time")</f>
        <v/>
      </c>
    </row>
    <row r="3718">
      <c r="A3718">
        <f>HYPERLINK("https://www.youtube.com/watch?v=uH9r3lJmyaM", "Video")</f>
        <v/>
      </c>
      <c r="B3718" t="inlineStr">
        <is>
          <t>5:07</t>
        </is>
      </c>
      <c r="C3718" t="inlineStr">
        <is>
          <t>by how the piece is directed or performed.</t>
        </is>
      </c>
      <c r="D3718">
        <f>HYPERLINK("https://www.youtube.com/watch?v=uH9r3lJmyaM&amp;t=307s", "Go to time")</f>
        <v/>
      </c>
    </row>
    <row r="3719">
      <c r="A3719">
        <f>HYPERLINK("https://www.youtube.com/watch?v=VSUWNy_-pLI", "Video")</f>
        <v/>
      </c>
      <c r="B3719" t="inlineStr">
        <is>
          <t>3:06</t>
        </is>
      </c>
      <c r="C3719" t="inlineStr">
        <is>
          <t>Did you look away
or directly into the flame?</t>
        </is>
      </c>
      <c r="D3719">
        <f>HYPERLINK("https://www.youtube.com/watch?v=VSUWNy_-pLI&amp;t=186s", "Go to time")</f>
        <v/>
      </c>
    </row>
    <row r="3720">
      <c r="A3720">
        <f>HYPERLINK("https://www.youtube.com/watch?v=XY_lzonfE3I", "Video")</f>
        <v/>
      </c>
      <c r="B3720" t="inlineStr">
        <is>
          <t>0:44</t>
        </is>
      </c>
      <c r="C3720" t="inlineStr">
        <is>
          <t>directly out of the air.</t>
        </is>
      </c>
      <c r="D3720">
        <f>HYPERLINK("https://www.youtube.com/watch?v=XY_lzonfE3I&amp;t=44s", "Go to time")</f>
        <v/>
      </c>
    </row>
    <row r="3721">
      <c r="A3721">
        <f>HYPERLINK("https://www.youtube.com/watch?v=XY_lzonfE3I", "Video")</f>
        <v/>
      </c>
      <c r="B3721" t="inlineStr">
        <is>
          <t>3:17</t>
        </is>
      </c>
      <c r="C3721" t="inlineStr">
        <is>
          <t>So air contactors for direct air capture
have this unique characteristic design,</t>
        </is>
      </c>
      <c r="D3721">
        <f>HYPERLINK("https://www.youtube.com/watch?v=XY_lzonfE3I&amp;t=197s", "Go to time")</f>
        <v/>
      </c>
    </row>
    <row r="3722">
      <c r="A3722">
        <f>HYPERLINK("https://www.youtube.com/watch?v=XY_lzonfE3I", "Video")</f>
        <v/>
      </c>
      <c r="B3722" t="inlineStr">
        <is>
          <t>4:19</t>
        </is>
      </c>
      <c r="C3722" t="inlineStr">
        <is>
          <t>or even easier to use directly,</t>
        </is>
      </c>
      <c r="D3722">
        <f>HYPERLINK("https://www.youtube.com/watch?v=XY_lzonfE3I&amp;t=259s", "Go to time")</f>
        <v/>
      </c>
    </row>
    <row r="3723">
      <c r="A3723">
        <f>HYPERLINK("https://www.youtube.com/watch?v=XY_lzonfE3I", "Video")</f>
        <v/>
      </c>
      <c r="B3723" t="inlineStr">
        <is>
          <t>4:53</t>
        </is>
      </c>
      <c r="C3723" t="inlineStr">
        <is>
          <t>It takes a power plant
to capture CO2 directly from the air.</t>
        </is>
      </c>
      <c r="D3723">
        <f>HYPERLINK("https://www.youtube.com/watch?v=XY_lzonfE3I&amp;t=293s", "Go to time")</f>
        <v/>
      </c>
    </row>
    <row r="3724">
      <c r="A3724">
        <f>HYPERLINK("https://www.youtube.com/watch?v=XY_lzonfE3I", "Video")</f>
        <v/>
      </c>
      <c r="B3724" t="inlineStr">
        <is>
          <t>7:33</t>
        </is>
      </c>
      <c r="C3724" t="inlineStr">
        <is>
          <t>or a manufactured direct air capture plant</t>
        </is>
      </c>
      <c r="D3724">
        <f>HYPERLINK("https://www.youtube.com/watch?v=XY_lzonfE3I&amp;t=453s", "Go to time")</f>
        <v/>
      </c>
    </row>
    <row r="3725">
      <c r="A3725">
        <f>HYPERLINK("https://www.youtube.com/watch?v=XY_lzonfE3I", "Video")</f>
        <v/>
      </c>
      <c r="B3725" t="inlineStr">
        <is>
          <t>10:15</t>
        </is>
      </c>
      <c r="C3725" t="inlineStr">
        <is>
          <t>So knowing that direct air capture</t>
        </is>
      </c>
      <c r="D3725">
        <f>HYPERLINK("https://www.youtube.com/watch?v=XY_lzonfE3I&amp;t=615s", "Go to time")</f>
        <v/>
      </c>
    </row>
    <row r="3726">
      <c r="A3726">
        <f>HYPERLINK("https://www.youtube.com/watch?v=XY_lzonfE3I", "Video")</f>
        <v/>
      </c>
      <c r="B3726" t="inlineStr">
        <is>
          <t>11:33</t>
        </is>
      </c>
      <c r="C3726" t="inlineStr">
        <is>
          <t>So if you use natural gas
to do direct air capture,</t>
        </is>
      </c>
      <c r="D3726">
        <f>HYPERLINK("https://www.youtube.com/watch?v=XY_lzonfE3I&amp;t=693s", "Go to time")</f>
        <v/>
      </c>
    </row>
    <row r="3727">
      <c r="A3727">
        <f>HYPERLINK("https://www.youtube.com/watch?v=lXYu8YRWOUo", "Video")</f>
        <v/>
      </c>
      <c r="B3727" t="inlineStr">
        <is>
          <t>3:17</t>
        </is>
      </c>
      <c r="C3727" t="inlineStr">
        <is>
          <t>Technologies like directional drilling,</t>
        </is>
      </c>
      <c r="D3727">
        <f>HYPERLINK("https://www.youtube.com/watch?v=lXYu8YRWOUo&amp;t=197s", "Go to time")</f>
        <v/>
      </c>
    </row>
    <row r="3728">
      <c r="A3728">
        <f>HYPERLINK("https://www.youtube.com/watch?v=lXYu8YRWOUo", "Video")</f>
        <v/>
      </c>
      <c r="B3728" t="inlineStr">
        <is>
          <t>4:19</t>
        </is>
      </c>
      <c r="C3728" t="inlineStr">
        <is>
          <t>like heating buildings directly.</t>
        </is>
      </c>
      <c r="D3728">
        <f>HYPERLINK("https://www.youtube.com/watch?v=lXYu8YRWOUo&amp;t=259s", "Go to time")</f>
        <v/>
      </c>
    </row>
    <row r="3729">
      <c r="A3729">
        <f>HYPERLINK("https://www.youtube.com/watch?v=Uq6XgrYBugo", "Video")</f>
        <v/>
      </c>
      <c r="B3729" t="inlineStr">
        <is>
          <t>0:39</t>
        </is>
      </c>
      <c r="C3729" t="inlineStr">
        <is>
          <t>so it knew what direction it was facing.</t>
        </is>
      </c>
      <c r="D3729">
        <f>HYPERLINK("https://www.youtube.com/watch?v=Uq6XgrYBugo&amp;t=39s", "Go to time")</f>
        <v/>
      </c>
    </row>
    <row r="3730">
      <c r="A3730">
        <f>HYPERLINK("https://www.youtube.com/watch?v=wcCZ-icYX9c", "Video")</f>
        <v/>
      </c>
      <c r="B3730" t="inlineStr">
        <is>
          <t>3:09</t>
        </is>
      </c>
      <c r="C3730" t="inlineStr">
        <is>
          <t>So we start by working directly
with the communities</t>
        </is>
      </c>
      <c r="D3730">
        <f>HYPERLINK("https://www.youtube.com/watch?v=wcCZ-icYX9c&amp;t=189s", "Go to time")</f>
        <v/>
      </c>
    </row>
    <row r="3731">
      <c r="A3731">
        <f>HYPERLINK("https://www.youtube.com/watch?v=wcCZ-icYX9c", "Video")</f>
        <v/>
      </c>
      <c r="B3731" t="inlineStr">
        <is>
          <t>3:36</t>
        </is>
      </c>
      <c r="C3731" t="inlineStr">
        <is>
          <t>We're even working directly
with elected officials,</t>
        </is>
      </c>
      <c r="D3731">
        <f>HYPERLINK("https://www.youtube.com/watch?v=wcCZ-icYX9c&amp;t=216s", "Go to time")</f>
        <v/>
      </c>
    </row>
    <row r="3732">
      <c r="A3732">
        <f>HYPERLINK("https://www.youtube.com/watch?v=6wCml0g2mRE", "Video")</f>
        <v/>
      </c>
      <c r="B3732" t="inlineStr">
        <is>
          <t>3:40</t>
        </is>
      </c>
      <c r="C3732" t="inlineStr">
        <is>
          <t>of making everyone in the world
into a Hollywood director.</t>
        </is>
      </c>
      <c r="D3732">
        <f>HYPERLINK("https://www.youtube.com/watch?v=6wCml0g2mRE&amp;t=220s", "Go to time")</f>
        <v/>
      </c>
    </row>
    <row r="3733">
      <c r="A3733">
        <f>HYPERLINK("https://www.youtube.com/watch?v=6wCml0g2mRE", "Video")</f>
        <v/>
      </c>
      <c r="B3733" t="inlineStr">
        <is>
          <t>11:50</t>
        </is>
      </c>
      <c r="C3733" t="inlineStr">
        <is>
          <t>And with AI, everyone
is going to be able to be a director,</t>
        </is>
      </c>
      <c r="D3733">
        <f>HYPERLINK("https://www.youtube.com/watch?v=6wCml0g2mRE&amp;t=710s", "Go to time")</f>
        <v/>
      </c>
    </row>
    <row r="3734">
      <c r="A3734">
        <f>HYPERLINK("https://www.youtube.com/watch?v=CIlgTBmiov0", "Video")</f>
        <v/>
      </c>
      <c r="B3734" t="inlineStr">
        <is>
          <t>7:35</t>
        </is>
      </c>
      <c r="C3734" t="inlineStr">
        <is>
          <t>that gives you the right directions
to the wrong destination.</t>
        </is>
      </c>
      <c r="D3734">
        <f>HYPERLINK("https://www.youtube.com/watch?v=CIlgTBmiov0&amp;t=455s", "Go to time")</f>
        <v/>
      </c>
    </row>
    <row r="3735">
      <c r="A3735">
        <f>HYPERLINK("https://www.youtube.com/watch?v=BAswj8evFZk", "Video")</f>
        <v/>
      </c>
      <c r="B3735" t="inlineStr">
        <is>
          <t>4:12</t>
        </is>
      </c>
      <c r="C3735" t="inlineStr">
        <is>
          <t>that I'm whipping up
and sending in his direction?</t>
        </is>
      </c>
      <c r="D3735">
        <f>HYPERLINK("https://www.youtube.com/watch?v=BAswj8evFZk&amp;t=252s", "Go to time")</f>
        <v/>
      </c>
    </row>
    <row r="3736">
      <c r="A3736">
        <f>HYPERLINK("https://www.youtube.com/watch?v=Z1R1z9ipFnM", "Video")</f>
        <v/>
      </c>
      <c r="B3736" t="inlineStr">
        <is>
          <t>5:00</t>
        </is>
      </c>
      <c r="C3736" t="inlineStr">
        <is>
          <t>but also tells which direction is up</t>
        </is>
      </c>
      <c r="D3736">
        <f>HYPERLINK("https://www.youtube.com/watch?v=Z1R1z9ipFnM&amp;t=300s", "Go to time")</f>
        <v/>
      </c>
    </row>
    <row r="3737">
      <c r="A3737">
        <f>HYPERLINK("https://www.youtube.com/watch?v=Z1R1z9ipFnM", "Video")</f>
        <v/>
      </c>
      <c r="B3737" t="inlineStr">
        <is>
          <t>9:26</t>
        </is>
      </c>
      <c r="C3737" t="inlineStr">
        <is>
          <t>The director had a vision for this scene</t>
        </is>
      </c>
      <c r="D3737">
        <f>HYPERLINK("https://www.youtube.com/watch?v=Z1R1z9ipFnM&amp;t=566s", "Go to time")</f>
        <v/>
      </c>
    </row>
    <row r="3738">
      <c r="A3738">
        <f>HYPERLINK("https://www.youtube.com/watch?v=Z1R1z9ipFnM", "Video")</f>
        <v/>
      </c>
      <c r="B3738" t="inlineStr">
        <is>
          <t>9:36</t>
        </is>
      </c>
      <c r="C3738" t="inlineStr">
        <is>
          <t>The reviews with the director</t>
        </is>
      </c>
      <c r="D3738">
        <f>HYPERLINK("https://www.youtube.com/watch?v=Z1R1z9ipFnM&amp;t=576s", "Go to time")</f>
        <v/>
      </c>
    </row>
    <row r="3739">
      <c r="A3739">
        <f>HYPERLINK("https://www.youtube.com/watch?v=Z1R1z9ipFnM", "Video")</f>
        <v/>
      </c>
      <c r="B3739" t="inlineStr">
        <is>
          <t>10:26</t>
        </is>
      </c>
      <c r="C3739" t="inlineStr">
        <is>
          <t>And then I showed it
to the lighting director</t>
        </is>
      </c>
      <c r="D3739">
        <f>HYPERLINK("https://www.youtube.com/watch?v=Z1R1z9ipFnM&amp;t=626s", "Go to time")</f>
        <v/>
      </c>
    </row>
    <row r="3740">
      <c r="A3740">
        <f>HYPERLINK("https://www.youtube.com/watch?v=Z1R1z9ipFnM", "Video")</f>
        <v/>
      </c>
      <c r="B3740" t="inlineStr">
        <is>
          <t>10:29</t>
        </is>
      </c>
      <c r="C3740" t="inlineStr">
        <is>
          <t>Soon, I was showing to the director
in a dark room full of 50 people.</t>
        </is>
      </c>
      <c r="D3740">
        <f>HYPERLINK("https://www.youtube.com/watch?v=Z1R1z9ipFnM&amp;t=629s", "Go to time")</f>
        <v/>
      </c>
    </row>
    <row r="3741">
      <c r="A3741">
        <f>HYPERLINK("https://www.youtube.com/watch?v=Z1R1z9ipFnM", "Video")</f>
        <v/>
      </c>
      <c r="B3741" t="inlineStr">
        <is>
          <t>10:34</t>
        </is>
      </c>
      <c r="C3741" t="inlineStr">
        <is>
          <t>In director review,</t>
        </is>
      </c>
      <c r="D3741">
        <f>HYPERLINK("https://www.youtube.com/watch?v=Z1R1z9ipFnM&amp;t=634s", "Go to time")</f>
        <v/>
      </c>
    </row>
    <row r="3742">
      <c r="A3742">
        <f>HYPERLINK("https://www.youtube.com/watch?v=Z1R1z9ipFnM", "Video")</f>
        <v/>
      </c>
      <c r="B3742" t="inlineStr">
        <is>
          <t>10:50</t>
        </is>
      </c>
      <c r="C3742" t="inlineStr">
        <is>
          <t>And the director was silent
for an uncomfortably long amount of time.</t>
        </is>
      </c>
      <c r="D3742">
        <f>HYPERLINK("https://www.youtube.com/watch?v=Z1R1z9ipFnM&amp;t=650s", "Go to time")</f>
        <v/>
      </c>
    </row>
    <row r="3743">
      <c r="A3743">
        <f>HYPERLINK("https://www.youtube.com/watch?v=FpiWSFcL3-c", "Video")</f>
        <v/>
      </c>
      <c r="B3743" t="inlineStr">
        <is>
          <t>1:54</t>
        </is>
      </c>
      <c r="C3743" t="inlineStr">
        <is>
          <t>because deep breath directly activates</t>
        </is>
      </c>
      <c r="D3743">
        <f>HYPERLINK("https://www.youtube.com/watch?v=FpiWSFcL3-c&amp;t=114s", "Go to time")</f>
        <v/>
      </c>
    </row>
    <row r="3744">
      <c r="A3744">
        <f>HYPERLINK("https://www.youtube.com/watch?v=G7VxEqJp3NQ", "Video")</f>
        <v/>
      </c>
      <c r="B3744" t="inlineStr">
        <is>
          <t>11:13</t>
        </is>
      </c>
      <c r="C3744" t="inlineStr">
        <is>
          <t>So they decided to just
DM it to me directly,</t>
        </is>
      </c>
      <c r="D3744">
        <f>HYPERLINK("https://www.youtube.com/watch?v=G7VxEqJp3NQ&amp;t=673s", "Go to time")</f>
        <v/>
      </c>
    </row>
    <row r="3745">
      <c r="A3745">
        <f>HYPERLINK("https://www.youtube.com/watch?v=b0Z9IpTVfUg", "Video")</f>
        <v/>
      </c>
      <c r="B3745" t="inlineStr">
        <is>
          <t>4:20</t>
        </is>
      </c>
      <c r="C3745" t="inlineStr">
        <is>
          <t>the leaders we celebrate
have a direct impact on the success</t>
        </is>
      </c>
      <c r="D3745">
        <f>HYPERLINK("https://www.youtube.com/watch?v=b0Z9IpTVfUg&amp;t=260s", "Go to time")</f>
        <v/>
      </c>
    </row>
    <row r="3746">
      <c r="A3746">
        <f>HYPERLINK("https://www.youtube.com/watch?v=phgjouv0BUA", "Video")</f>
        <v/>
      </c>
      <c r="B3746" t="inlineStr">
        <is>
          <t>3:57</t>
        </is>
      </c>
      <c r="C3746" t="inlineStr">
        <is>
          <t>directly, respectfully, face to face.</t>
        </is>
      </c>
      <c r="D3746">
        <f>HYPERLINK("https://www.youtube.com/watch?v=phgjouv0BUA&amp;t=237s", "Go to time")</f>
        <v/>
      </c>
    </row>
    <row r="3747">
      <c r="A3747">
        <f>HYPERLINK("https://www.youtube.com/watch?v=phgjouv0BUA", "Video")</f>
        <v/>
      </c>
      <c r="B3747" t="inlineStr">
        <is>
          <t>5:20</t>
        </is>
      </c>
      <c r="C3747" t="inlineStr">
        <is>
          <t>But the trick of debate
is that you end up doing it directly,</t>
        </is>
      </c>
      <c r="D3747">
        <f>HYPERLINK("https://www.youtube.com/watch?v=phgjouv0BUA&amp;t=320s", "Go to time")</f>
        <v/>
      </c>
    </row>
    <row r="3748">
      <c r="A3748">
        <f>HYPERLINK("https://www.youtube.com/watch?v=KIh2-S2jXls", "Video")</f>
        <v/>
      </c>
      <c r="B3748" t="inlineStr">
        <is>
          <t>41:37</t>
        </is>
      </c>
      <c r="C3748" t="inlineStr">
        <is>
          <t>you may not be fearful
of dire consequences and death.</t>
        </is>
      </c>
      <c r="D3748">
        <f>HYPERLINK("https://www.youtube.com/watch?v=KIh2-S2jXls&amp;t=2497s", "Go to time")</f>
        <v/>
      </c>
    </row>
    <row r="3749">
      <c r="A3749">
        <f>HYPERLINK("https://www.youtube.com/watch?v=7O7BMa9XGXE", "Video")</f>
        <v/>
      </c>
      <c r="B3749" t="inlineStr">
        <is>
          <t>11:06</t>
        </is>
      </c>
      <c r="C3749" t="inlineStr">
        <is>
          <t>The quality of your education
is directly proportionate</t>
        </is>
      </c>
      <c r="D3749">
        <f>HYPERLINK("https://www.youtube.com/watch?v=7O7BMa9XGXE&amp;t=666s", "Go to time")</f>
        <v/>
      </c>
    </row>
    <row r="3750">
      <c r="A3750">
        <f>HYPERLINK("https://www.youtube.com/watch?v=Yilgr2SJ3xQ", "Video")</f>
        <v/>
      </c>
      <c r="B3750" t="inlineStr">
        <is>
          <t>6:49</t>
        </is>
      </c>
      <c r="C3750" t="inlineStr">
        <is>
          <t>that directly threatens their status.</t>
        </is>
      </c>
      <c r="D3750">
        <f>HYPERLINK("https://www.youtube.com/watch?v=Yilgr2SJ3xQ&amp;t=409s", "Go to time")</f>
        <v/>
      </c>
    </row>
    <row r="3751">
      <c r="A3751">
        <f>HYPERLINK("https://www.youtube.com/watch?v=SvBR0OGT5VI", "Video")</f>
        <v/>
      </c>
      <c r="B3751" t="inlineStr">
        <is>
          <t>4:58</t>
        </is>
      </c>
      <c r="C3751" t="inlineStr">
        <is>
          <t>then the surface of the bridge
doesn't touch the sharp objects directly.</t>
        </is>
      </c>
      <c r="D3751">
        <f>HYPERLINK("https://www.youtube.com/watch?v=SvBR0OGT5VI&amp;t=298s", "Go to time")</f>
        <v/>
      </c>
    </row>
    <row r="3752">
      <c r="A3752">
        <f>HYPERLINK("https://www.youtube.com/watch?v=SvBR0OGT5VI", "Video")</f>
        <v/>
      </c>
      <c r="B3752" t="inlineStr">
        <is>
          <t>11:08</t>
        </is>
      </c>
      <c r="C3752" t="inlineStr">
        <is>
          <t>but they do so as a byproduct
as opposed to direct learning objective.</t>
        </is>
      </c>
      <c r="D3752">
        <f>HYPERLINK("https://www.youtube.com/watch?v=SvBR0OGT5VI&amp;t=668s", "Go to time")</f>
        <v/>
      </c>
    </row>
    <row r="3753">
      <c r="A3753">
        <f>HYPERLINK("https://www.youtube.com/watch?v=SvBR0OGT5VI", "Video")</f>
        <v/>
      </c>
      <c r="B3753" t="inlineStr">
        <is>
          <t>11:33</t>
        </is>
      </c>
      <c r="C3753" t="inlineStr">
        <is>
          <t>So as a quest toward more direct
commonsense knowledge acquisition,</t>
        </is>
      </c>
      <c r="D3753">
        <f>HYPERLINK("https://www.youtube.com/watch?v=SvBR0OGT5VI&amp;t=693s", "Go to time")</f>
        <v/>
      </c>
    </row>
    <row r="3754">
      <c r="A3754">
        <f>HYPERLINK("https://www.youtube.com/watch?v=8NNazV_75B4", "Video")</f>
        <v/>
      </c>
      <c r="B3754" t="inlineStr">
        <is>
          <t>5:52</t>
        </is>
      </c>
      <c r="C3754" t="inlineStr">
        <is>
          <t>Simple, direct, no sugarcoating situation.</t>
        </is>
      </c>
      <c r="D3754">
        <f>HYPERLINK("https://www.youtube.com/watch?v=8NNazV_75B4&amp;t=352s", "Go to time")</f>
        <v/>
      </c>
    </row>
    <row r="3755">
      <c r="A3755">
        <f>HYPERLINK("https://www.youtube.com/watch?v=tB5J9qgM2zI", "Video")</f>
        <v/>
      </c>
      <c r="B3755" t="inlineStr">
        <is>
          <t>2:51</t>
        </is>
      </c>
      <c r="C3755" t="inlineStr">
        <is>
          <t>The information in negative
feedback is less direct</t>
        </is>
      </c>
      <c r="D3755">
        <f>HYPERLINK("https://www.youtube.com/watch?v=tB5J9qgM2zI&amp;t=171s", "Go to time")</f>
        <v/>
      </c>
    </row>
    <row r="3756">
      <c r="A3756">
        <f>HYPERLINK("https://www.youtube.com/watch?v=tB5J9qgM2zI", "Video")</f>
        <v/>
      </c>
      <c r="B3756" t="inlineStr">
        <is>
          <t>13:11</t>
        </is>
      </c>
      <c r="C3756" t="inlineStr">
        <is>
          <t>in like, ten different
directions right now.</t>
        </is>
      </c>
      <c r="D3756">
        <f>HYPERLINK("https://www.youtube.com/watch?v=tB5J9qgM2zI&amp;t=791s", "Go to time")</f>
        <v/>
      </c>
    </row>
    <row r="3757">
      <c r="A3757">
        <f>HYPERLINK("https://www.youtube.com/watch?v=peLzj80-7VY", "Video")</f>
        <v/>
      </c>
      <c r="B3757" t="inlineStr">
        <is>
          <t>12:39</t>
        </is>
      </c>
      <c r="C3757" t="inlineStr">
        <is>
          <t>the director of public prosecutions.</t>
        </is>
      </c>
      <c r="D3757">
        <f>HYPERLINK("https://www.youtube.com/watch?v=peLzj80-7VY&amp;t=759s", "Go to time")</f>
        <v/>
      </c>
    </row>
    <row r="3758">
      <c r="A3758">
        <f>HYPERLINK("https://www.youtube.com/watch?v=2aKYl_2KLI8", "Video")</f>
        <v/>
      </c>
      <c r="B3758" t="inlineStr">
        <is>
          <t>3:33</t>
        </is>
      </c>
      <c r="C3758" t="inlineStr">
        <is>
          <t>as its first executive producer
and director of social impact.</t>
        </is>
      </c>
      <c r="D3758">
        <f>HYPERLINK("https://www.youtube.com/watch?v=2aKYl_2KLI8&amp;t=213s", "Go to time")</f>
        <v/>
      </c>
    </row>
    <row r="3759">
      <c r="A3759">
        <f>HYPERLINK("https://www.youtube.com/watch?v=zP3LaAYzA3Q", "Video")</f>
        <v/>
      </c>
      <c r="B3759" t="inlineStr">
        <is>
          <t>9:46</t>
        </is>
      </c>
      <c r="C3759" t="inlineStr">
        <is>
          <t>is the weight leaning that arc
in the right direction.</t>
        </is>
      </c>
      <c r="D3759">
        <f>HYPERLINK("https://www.youtube.com/watch?v=zP3LaAYzA3Q&amp;t=586s", "Go to time")</f>
        <v/>
      </c>
    </row>
    <row r="3760">
      <c r="A3760">
        <f>HYPERLINK("https://www.youtube.com/watch?v=urntcMUJR9M", "Video")</f>
        <v/>
      </c>
      <c r="B3760" t="inlineStr">
        <is>
          <t>10:25</t>
        </is>
      </c>
      <c r="C3760" t="inlineStr">
        <is>
          <t>In other words, you need to be directive.</t>
        </is>
      </c>
      <c r="D3760">
        <f>HYPERLINK("https://www.youtube.com/watch?v=urntcMUJR9M&amp;t=625s", "Go to time")</f>
        <v/>
      </c>
    </row>
    <row r="3761">
      <c r="A3761">
        <f>HYPERLINK("https://www.youtube.com/watch?v=L-FTI14OVrg", "Video")</f>
        <v/>
      </c>
      <c r="B3761" t="inlineStr">
        <is>
          <t>3:36</t>
        </is>
      </c>
      <c r="C3761" t="inlineStr">
        <is>
          <t>their lives diverged in ways
that could be directly attributed</t>
        </is>
      </c>
      <c r="D3761">
        <f>HYPERLINK("https://www.youtube.com/watch?v=L-FTI14OVrg&amp;t=216s", "Go to time")</f>
        <v/>
      </c>
    </row>
    <row r="3762">
      <c r="A3762">
        <f>HYPERLINK("https://www.youtube.com/watch?v=m19jit19v9w", "Video")</f>
        <v/>
      </c>
      <c r="B3762" t="inlineStr">
        <is>
          <t>8:13</t>
        </is>
      </c>
      <c r="C3762" t="inlineStr">
        <is>
          <t>And their fur grows
the opposite direction,</t>
        </is>
      </c>
      <c r="D3762">
        <f>HYPERLINK("https://www.youtube.com/watch?v=m19jit19v9w&amp;t=493s", "Go to time")</f>
        <v/>
      </c>
    </row>
    <row r="3763">
      <c r="A3763">
        <f>HYPERLINK("https://www.youtube.com/watch?v=MSevAi_YarQ", "Video")</f>
        <v/>
      </c>
      <c r="B3763" t="inlineStr">
        <is>
          <t>9:11</t>
        </is>
      </c>
      <c r="C3763" t="inlineStr">
        <is>
          <t>It's incumbent on us to shape
the direction that the world goes in</t>
        </is>
      </c>
      <c r="D3763">
        <f>HYPERLINK("https://www.youtube.com/watch?v=MSevAi_YarQ&amp;t=551s", "Go to time")</f>
        <v/>
      </c>
    </row>
    <row r="3764">
      <c r="A3764">
        <f>HYPERLINK("https://www.youtube.com/watch?v=3CFyHtObLXk", "Video")</f>
        <v/>
      </c>
      <c r="B3764" t="inlineStr">
        <is>
          <t>5:13</t>
        </is>
      </c>
      <c r="C3764" t="inlineStr">
        <is>
          <t>doesn't quite support
direct surface exploration on the planet.</t>
        </is>
      </c>
      <c r="D3764">
        <f>HYPERLINK("https://www.youtube.com/watch?v=3CFyHtObLXk&amp;t=313s", "Go to time")</f>
        <v/>
      </c>
    </row>
    <row r="3765">
      <c r="A3765">
        <f>HYPERLINK("https://www.youtube.com/watch?v=3CFyHtObLXk", "Video")</f>
        <v/>
      </c>
      <c r="B3765" t="inlineStr">
        <is>
          <t>6:18</t>
        </is>
      </c>
      <c r="C3765" t="inlineStr">
        <is>
          <t>directly on the lunar surface.</t>
        </is>
      </c>
      <c r="D3765">
        <f>HYPERLINK("https://www.youtube.com/watch?v=3CFyHtObLXk&amp;t=378s", "Go to time")</f>
        <v/>
      </c>
    </row>
    <row r="3766">
      <c r="A3766">
        <f>HYPERLINK("https://www.youtube.com/watch?v=CeUoS2T2hhc", "Video")</f>
        <v/>
      </c>
      <c r="B3766" t="inlineStr">
        <is>
          <t>8:41</t>
        </is>
      </c>
      <c r="C3766" t="inlineStr">
        <is>
          <t>directly to the plate.</t>
        </is>
      </c>
      <c r="D3766">
        <f>HYPERLINK("https://www.youtube.com/watch?v=CeUoS2T2hhc&amp;t=521s", "Go to time")</f>
        <v/>
      </c>
    </row>
    <row r="3767">
      <c r="A3767">
        <f>HYPERLINK("https://www.youtube.com/watch?v=CeUoS2T2hhc", "Video")</f>
        <v/>
      </c>
      <c r="B3767" t="inlineStr">
        <is>
          <t>9:41</t>
        </is>
      </c>
      <c r="C3767" t="inlineStr">
        <is>
          <t>and grow meat directly from those cells.</t>
        </is>
      </c>
      <c r="D3767">
        <f>HYPERLINK("https://www.youtube.com/watch?v=CeUoS2T2hhc&amp;t=581s", "Go to time")</f>
        <v/>
      </c>
    </row>
    <row r="3768">
      <c r="A3768">
        <f>HYPERLINK("https://www.youtube.com/watch?v=GRKIRE45JO0", "Video")</f>
        <v/>
      </c>
      <c r="B3768" t="inlineStr">
        <is>
          <t>3:10</t>
        </is>
      </c>
      <c r="C3768" t="inlineStr">
        <is>
          <t>Some will use that space
to connect directly</t>
        </is>
      </c>
      <c r="D3768">
        <f>HYPERLINK("https://www.youtube.com/watch?v=GRKIRE45JO0&amp;t=190s", "Go to time")</f>
        <v/>
      </c>
    </row>
    <row r="3769">
      <c r="A3769">
        <f>HYPERLINK("https://www.youtube.com/watch?v=GRKIRE45JO0", "Video")</f>
        <v/>
      </c>
      <c r="B3769" t="inlineStr">
        <is>
          <t>3:33</t>
        </is>
      </c>
      <c r="C3769" t="inlineStr">
        <is>
          <t>Which means that virtual worlds
can directly benefit the real world</t>
        </is>
      </c>
      <c r="D3769">
        <f>HYPERLINK("https://www.youtube.com/watch?v=GRKIRE45JO0&amp;t=213s", "Go to time")</f>
        <v/>
      </c>
    </row>
    <row r="3770">
      <c r="A3770">
        <f>HYPERLINK("https://www.youtube.com/watch?v=kWyQNCOow7A", "Video")</f>
        <v/>
      </c>
      <c r="B3770" t="inlineStr">
        <is>
          <t>4:35</t>
        </is>
      </c>
      <c r="C3770" t="inlineStr">
        <is>
          <t>you can help point your company
in the right direction.</t>
        </is>
      </c>
      <c r="D3770">
        <f>HYPERLINK("https://www.youtube.com/watch?v=kWyQNCOow7A&amp;t=275s", "Go to time")</f>
        <v/>
      </c>
    </row>
    <row r="3771">
      <c r="A3771">
        <f>HYPERLINK("https://www.youtube.com/watch?v=r6pItuOoGxc", "Video")</f>
        <v/>
      </c>
      <c r="B3771" t="inlineStr">
        <is>
          <t>0:34</t>
        </is>
      </c>
      <c r="C3771" t="inlineStr">
        <is>
          <t>And sadly, these two hormones
will go in opposite directions</t>
        </is>
      </c>
      <c r="D3771">
        <f>HYPERLINK("https://www.youtube.com/watch?v=r6pItuOoGxc&amp;t=34s", "Go to time")</f>
        <v/>
      </c>
    </row>
    <row r="3772">
      <c r="A3772">
        <f>HYPERLINK("https://www.youtube.com/watch?v=NUFEBioLPf8", "Video")</f>
        <v/>
      </c>
      <c r="B3772" t="inlineStr">
        <is>
          <t>49:44</t>
        </is>
      </c>
      <c r="C3772" t="inlineStr">
        <is>
          <t>we think there is a direct route
to changing decisions</t>
        </is>
      </c>
      <c r="D3772">
        <f>HYPERLINK("https://www.youtube.com/watch?v=NUFEBioLPf8&amp;t=2984s", "Go to time")</f>
        <v/>
      </c>
    </row>
    <row r="3773">
      <c r="A3773">
        <f>HYPERLINK("https://www.youtube.com/watch?v=22O6a87-GcQ", "Video")</f>
        <v/>
      </c>
      <c r="B3773" t="inlineStr">
        <is>
          <t>6:18</t>
        </is>
      </c>
      <c r="C3773" t="inlineStr">
        <is>
          <t>has received direct compensation
for his creation.</t>
        </is>
      </c>
      <c r="D3773">
        <f>HYPERLINK("https://www.youtube.com/watch?v=22O6a87-GcQ&amp;t=378s", "Go to time")</f>
        <v/>
      </c>
    </row>
    <row r="3774">
      <c r="A3774">
        <f>HYPERLINK("https://www.youtube.com/watch?v=22O6a87-GcQ", "Video")</f>
        <v/>
      </c>
      <c r="B3774" t="inlineStr">
        <is>
          <t>9:18</t>
        </is>
      </c>
      <c r="C3774" t="inlineStr">
        <is>
          <t>An internet where our ideas and creativity
can be directly supported.</t>
        </is>
      </c>
      <c r="D3774">
        <f>HYPERLINK("https://www.youtube.com/watch?v=22O6a87-GcQ&amp;t=558s", "Go to time")</f>
        <v/>
      </c>
    </row>
    <row r="3775">
      <c r="A3775">
        <f>HYPERLINK("https://www.youtube.com/watch?v=gmG5ADvPN98", "Video")</f>
        <v/>
      </c>
      <c r="B3775" t="inlineStr">
        <is>
          <t>0:40</t>
        </is>
      </c>
      <c r="C3775" t="inlineStr">
        <is>
          <t>yet 40 percent of board directors</t>
        </is>
      </c>
      <c r="D3775">
        <f>HYPERLINK("https://www.youtube.com/watch?v=gmG5ADvPN98&amp;t=40s", "Go to time")</f>
        <v/>
      </c>
    </row>
    <row r="3776">
      <c r="A3776">
        <f>HYPERLINK("https://www.youtube.com/watch?v=rfi3w9Bzwik", "Video")</f>
        <v/>
      </c>
      <c r="B3776" t="inlineStr">
        <is>
          <t>1:29</t>
        </is>
      </c>
      <c r="C3776" t="inlineStr">
        <is>
          <t>coming from the direction
of the constellation Lyra,</t>
        </is>
      </c>
      <c r="D3776">
        <f>HYPERLINK("https://www.youtube.com/watch?v=rfi3w9Bzwik&amp;t=89s", "Go to time")</f>
        <v/>
      </c>
    </row>
    <row r="3777">
      <c r="A3777">
        <f>HYPERLINK("https://www.youtube.com/watch?v=rfi3w9Bzwik", "Video")</f>
        <v/>
      </c>
      <c r="B3777" t="inlineStr">
        <is>
          <t>4:27</t>
        </is>
      </c>
      <c r="C3777" t="inlineStr">
        <is>
          <t>to send to the observatory directors.</t>
        </is>
      </c>
      <c r="D3777">
        <f>HYPERLINK("https://www.youtube.com/watch?v=rfi3w9Bzwik&amp;t=267s", "Go to time")</f>
        <v/>
      </c>
    </row>
    <row r="3778">
      <c r="A3778">
        <f>HYPERLINK("https://www.youtube.com/watch?v=LUn8IjZKBPg", "Video")</f>
        <v/>
      </c>
      <c r="B3778" t="inlineStr">
        <is>
          <t>9:18</t>
        </is>
      </c>
      <c r="C3778" t="inlineStr">
        <is>
          <t>If AI is progressing
fast in dangerous directions,</t>
        </is>
      </c>
      <c r="D3778">
        <f>HYPERLINK("https://www.youtube.com/watch?v=LUn8IjZKBPg&amp;t=558s", "Go to time")</f>
        <v/>
      </c>
    </row>
    <row r="3779">
      <c r="A3779">
        <f>HYPERLINK("https://www.youtube.com/watch?v=LUn8IjZKBPg", "Video")</f>
        <v/>
      </c>
      <c r="B3779" t="inlineStr">
        <is>
          <t>9:53</t>
        </is>
      </c>
      <c r="C3779" t="inlineStr">
        <is>
          <t>it looks like AI companies might go
in a similar direction</t>
        </is>
      </c>
      <c r="D3779">
        <f>HYPERLINK("https://www.youtube.com/watch?v=LUn8IjZKBPg&amp;t=593s", "Go to time")</f>
        <v/>
      </c>
    </row>
    <row r="3780">
      <c r="A3780">
        <f>HYPERLINK("https://www.youtube.com/watch?v=qpfq3xCdAu4", "Video")</f>
        <v/>
      </c>
      <c r="B3780" t="inlineStr">
        <is>
          <t>2:50</t>
        </is>
      </c>
      <c r="C3780" t="inlineStr">
        <is>
          <t>allowing the measurement
of directed hyphal growth,</t>
        </is>
      </c>
      <c r="D3780">
        <f>HYPERLINK("https://www.youtube.com/watch?v=qpfq3xCdAu4&amp;t=170s", "Go to time")</f>
        <v/>
      </c>
    </row>
    <row r="3781">
      <c r="A3781">
        <f>HYPERLINK("https://www.youtube.com/watch?v=qpfq3xCdAu4", "Video")</f>
        <v/>
      </c>
      <c r="B3781" t="inlineStr">
        <is>
          <t>3:20</t>
        </is>
      </c>
      <c r="C3781" t="inlineStr">
        <is>
          <t>and leading to its direct growth
toward the plant.</t>
        </is>
      </c>
      <c r="D3781">
        <f>HYPERLINK("https://www.youtube.com/watch?v=qpfq3xCdAu4&amp;t=200s", "Go to time")</f>
        <v/>
      </c>
    </row>
    <row r="3782">
      <c r="A3782">
        <f>HYPERLINK("https://www.youtube.com/watch?v=xnPaaxytfGs", "Video")</f>
        <v/>
      </c>
      <c r="B3782" t="inlineStr">
        <is>
          <t>1:01</t>
        </is>
      </c>
      <c r="C3782" t="inlineStr">
        <is>
          <t>And so six years ago, as the 
creative director of Mother of Pearl,</t>
        </is>
      </c>
      <c r="D3782">
        <f>HYPERLINK("https://www.youtube.com/watch?v=xnPaaxytfGs&amp;t=61s", "Go to time")</f>
        <v/>
      </c>
    </row>
    <row r="3783">
      <c r="A3783">
        <f>HYPERLINK("https://www.youtube.com/watch?v=VP_fpvI3Y1k", "Video")</f>
        <v/>
      </c>
      <c r="B3783" t="inlineStr">
        <is>
          <t>4:20</t>
        </is>
      </c>
      <c r="C3783" t="inlineStr">
        <is>
          <t>our hands directly</t>
        </is>
      </c>
      <c r="D3783">
        <f>HYPERLINK("https://www.youtube.com/watch?v=VP_fpvI3Y1k&amp;t=260s", "Go to time")</f>
        <v/>
      </c>
    </row>
    <row r="3784">
      <c r="A3784">
        <f>HYPERLINK("https://www.youtube.com/watch?v=VP_fpvI3Y1k", "Video")</f>
        <v/>
      </c>
      <c r="B3784" t="inlineStr">
        <is>
          <t>23:21</t>
        </is>
      </c>
      <c r="C3784" t="inlineStr">
        <is>
          <t>an executive directive executive</t>
        </is>
      </c>
      <c r="D3784">
        <f>HYPERLINK("https://www.youtube.com/watch?v=VP_fpvI3Y1k&amp;t=1401s", "Go to time")</f>
        <v/>
      </c>
    </row>
    <row r="3785">
      <c r="A3785">
        <f>HYPERLINK("https://www.youtube.com/watch?v=VP_fpvI3Y1k", "Video")</f>
        <v/>
      </c>
      <c r="B3785" t="inlineStr">
        <is>
          <t>23:22</t>
        </is>
      </c>
      <c r="C3785" t="inlineStr">
        <is>
          <t>directive 27</t>
        </is>
      </c>
      <c r="D3785">
        <f>HYPERLINK("https://www.youtube.com/watch?v=VP_fpvI3Y1k&amp;t=1402s", "Go to time")</f>
        <v/>
      </c>
    </row>
    <row r="3786">
      <c r="A3786">
        <f>HYPERLINK("https://www.youtube.com/watch?v=hv88_R-XDDw", "Video")</f>
        <v/>
      </c>
      <c r="B3786" t="inlineStr">
        <is>
          <t>8:56</t>
        </is>
      </c>
      <c r="C3786" t="inlineStr">
        <is>
          <t>primarily through direct</t>
        </is>
      </c>
      <c r="D3786">
        <f>HYPERLINK("https://www.youtube.com/watch?v=hv88_R-XDDw&amp;t=536s", "Go to time")</f>
        <v/>
      </c>
    </row>
    <row r="3787">
      <c r="A3787">
        <f>HYPERLINK("https://www.youtube.com/watch?v=hv88_R-XDDw", "Video")</f>
        <v/>
      </c>
      <c r="B3787" t="inlineStr">
        <is>
          <t>17:52</t>
        </is>
      </c>
      <c r="C3787" t="inlineStr">
        <is>
          <t>of providing direct payments to the</t>
        </is>
      </c>
      <c r="D3787">
        <f>HYPERLINK("https://www.youtube.com/watch?v=hv88_R-XDDw&amp;t=1072s", "Go to time")</f>
        <v/>
      </c>
    </row>
    <row r="3788">
      <c r="A3788">
        <f>HYPERLINK("https://www.youtube.com/watch?v=hv88_R-XDDw", "Video")</f>
        <v/>
      </c>
      <c r="B3788" t="inlineStr">
        <is>
          <t>17:58</t>
        </is>
      </c>
      <c r="C3788" t="inlineStr">
        <is>
          <t>the indirect route you will have a</t>
        </is>
      </c>
      <c r="D3788">
        <f>HYPERLINK("https://www.youtube.com/watch?v=hv88_R-XDDw&amp;t=1078s", "Go to time")</f>
        <v/>
      </c>
    </row>
    <row r="3789">
      <c r="A3789">
        <f>HYPERLINK("https://www.youtube.com/watch?v=hv88_R-XDDw", "Video")</f>
        <v/>
      </c>
      <c r="B3789" t="inlineStr">
        <is>
          <t>18:28</t>
        </is>
      </c>
      <c r="C3789" t="inlineStr">
        <is>
          <t>to provide direct payments to the</t>
        </is>
      </c>
      <c r="D3789">
        <f>HYPERLINK("https://www.youtube.com/watch?v=hv88_R-XDDw&amp;t=1108s", "Go to time")</f>
        <v/>
      </c>
    </row>
    <row r="3790">
      <c r="A3790">
        <f>HYPERLINK("https://www.youtube.com/watch?v=hv88_R-XDDw", "Video")</f>
        <v/>
      </c>
      <c r="B3790" t="inlineStr">
        <is>
          <t>18:55</t>
        </is>
      </c>
      <c r="C3790" t="inlineStr">
        <is>
          <t>the funds must be direct payments to</t>
        </is>
      </c>
      <c r="D3790">
        <f>HYPERLINK("https://www.youtube.com/watch?v=hv88_R-XDDw&amp;t=1135s", "Go to time")</f>
        <v/>
      </c>
    </row>
    <row r="3791">
      <c r="A3791">
        <f>HYPERLINK("https://www.youtube.com/watch?v=hv88_R-XDDw", "Video")</f>
        <v/>
      </c>
      <c r="B3791" t="inlineStr">
        <is>
          <t>35:12</t>
        </is>
      </c>
      <c r="C3791" t="inlineStr">
        <is>
          <t>direction seems to be going in in the</t>
        </is>
      </c>
      <c r="D3791">
        <f>HYPERLINK("https://www.youtube.com/watch?v=hv88_R-XDDw&amp;t=2112s", "Go to time")</f>
        <v/>
      </c>
    </row>
    <row r="3792">
      <c r="A3792">
        <f>HYPERLINK("https://www.youtube.com/watch?v=hv88_R-XDDw", "Video")</f>
        <v/>
      </c>
      <c r="B3792" t="inlineStr">
        <is>
          <t>36:11</t>
        </is>
      </c>
      <c r="C3792" t="inlineStr">
        <is>
          <t>the direction of a comprehensive</t>
        </is>
      </c>
      <c r="D3792">
        <f>HYPERLINK("https://www.youtube.com/watch?v=hv88_R-XDDw&amp;t=2171s", "Go to time")</f>
        <v/>
      </c>
    </row>
    <row r="3793">
      <c r="A3793">
        <f>HYPERLINK("https://www.youtube.com/watch?v=L4N1q4RNi9I", "Video")</f>
        <v/>
      </c>
      <c r="B3793" t="inlineStr">
        <is>
          <t>2:04</t>
        </is>
      </c>
      <c r="C3793" t="inlineStr">
        <is>
          <t>The objective is the direction.</t>
        </is>
      </c>
      <c r="D3793">
        <f>HYPERLINK("https://www.youtube.com/watch?v=L4N1q4RNi9I&amp;t=124s", "Go to time")</f>
        <v/>
      </c>
    </row>
    <row r="3794">
      <c r="A3794">
        <f>HYPERLINK("https://www.youtube.com/watch?v=cYW8ntaw_v8", "Video")</f>
        <v/>
      </c>
      <c r="B3794" t="inlineStr">
        <is>
          <t>16:27</t>
        </is>
      </c>
      <c r="C3794" t="inlineStr">
        <is>
          <t>directionally institutionally but</t>
        </is>
      </c>
      <c r="D3794">
        <f>HYPERLINK("https://www.youtube.com/watch?v=cYW8ntaw_v8&amp;t=987s", "Go to time")</f>
        <v/>
      </c>
    </row>
    <row r="3795">
      <c r="A3795">
        <f>HYPERLINK("https://www.youtube.com/watch?v=cYW8ntaw_v8", "Video")</f>
        <v/>
      </c>
      <c r="B3795" t="inlineStr">
        <is>
          <t>33:10</t>
        </is>
      </c>
      <c r="C3795" t="inlineStr">
        <is>
          <t>also direct you to my website prep</t>
        </is>
      </c>
      <c r="D3795">
        <f>HYPERLINK("https://www.youtube.com/watch?v=cYW8ntaw_v8&amp;t=1990s", "Go to time")</f>
        <v/>
      </c>
    </row>
    <row r="3796">
      <c r="A3796">
        <f>HYPERLINK("https://www.youtube.com/watch?v=zeBLHx-OzLE", "Video")</f>
        <v/>
      </c>
      <c r="B3796" t="inlineStr">
        <is>
          <t>0:52</t>
        </is>
      </c>
      <c r="C3796" t="inlineStr">
        <is>
          <t>people are deaf directly exposed to this</t>
        </is>
      </c>
      <c r="D3796">
        <f>HYPERLINK("https://www.youtube.com/watch?v=zeBLHx-OzLE&amp;t=52s", "Go to time")</f>
        <v/>
      </c>
    </row>
    <row r="3797">
      <c r="A3797">
        <f>HYPERLINK("https://www.youtube.com/watch?v=zeBLHx-OzLE", "Video")</f>
        <v/>
      </c>
      <c r="B3797" t="inlineStr">
        <is>
          <t>15:45</t>
        </is>
      </c>
      <c r="C3797" t="inlineStr">
        <is>
          <t>health issues it's directly exposed on</t>
        </is>
      </c>
      <c r="D3797">
        <f>HYPERLINK("https://www.youtube.com/watch?v=zeBLHx-OzLE&amp;t=945s", "Go to time")</f>
        <v/>
      </c>
    </row>
    <row r="3798">
      <c r="A3798">
        <f>HYPERLINK("https://www.youtube.com/watch?v=jFl9kFms7nA", "Video")</f>
        <v/>
      </c>
      <c r="B3798" t="inlineStr">
        <is>
          <t>11:06</t>
        </is>
      </c>
      <c r="C3798" t="inlineStr">
        <is>
          <t>is the first step in that direction.</t>
        </is>
      </c>
      <c r="D3798">
        <f>HYPERLINK("https://www.youtube.com/watch?v=jFl9kFms7nA&amp;t=666s", "Go to time")</f>
        <v/>
      </c>
    </row>
    <row r="3799">
      <c r="A3799">
        <f>HYPERLINK("https://www.youtube.com/watch?v=NmV5UIdIsQI", "Video")</f>
        <v/>
      </c>
      <c r="B3799" t="inlineStr">
        <is>
          <t>1:53</t>
        </is>
      </c>
      <c r="C3799" t="inlineStr">
        <is>
          <t>goes directly into your savings account.</t>
        </is>
      </c>
      <c r="D3799">
        <f>HYPERLINK("https://www.youtube.com/watch?v=NmV5UIdIsQI&amp;t=113s", "Go to time")</f>
        <v/>
      </c>
    </row>
    <row r="3800">
      <c r="A3800">
        <f>HYPERLINK("https://www.youtube.com/watch?v=NMVgg6zuiB0", "Video")</f>
        <v/>
      </c>
      <c r="B3800" t="inlineStr">
        <is>
          <t>1:48</t>
        </is>
      </c>
      <c r="C3800" t="inlineStr">
        <is>
          <t>that your mentor isn't a direct report
or part of your team,</t>
        </is>
      </c>
      <c r="D3800">
        <f>HYPERLINK("https://www.youtube.com/watch?v=NMVgg6zuiB0&amp;t=108s", "Go to time")</f>
        <v/>
      </c>
    </row>
    <row r="3801">
      <c r="A3801">
        <f>HYPERLINK("https://www.youtube.com/watch?v=NMVgg6zuiB0", "Video")</f>
        <v/>
      </c>
      <c r="B3801" t="inlineStr">
        <is>
          <t>2:30</t>
        </is>
      </c>
      <c r="C3801" t="inlineStr">
        <is>
          <t>either directly or indirectly.</t>
        </is>
      </c>
      <c r="D3801">
        <f>HYPERLINK("https://www.youtube.com/watch?v=NMVgg6zuiB0&amp;t=150s", "Go to time")</f>
        <v/>
      </c>
    </row>
    <row r="3802">
      <c r="A3802">
        <f>HYPERLINK("https://www.youtube.com/watch?v=ktsuKyzihjU", "Video")</f>
        <v/>
      </c>
      <c r="B3802" t="inlineStr">
        <is>
          <t>9:37</t>
        </is>
      </c>
      <c r="C3802" t="inlineStr">
        <is>
          <t>When things are headed
in the right direction,</t>
        </is>
      </c>
      <c r="D3802">
        <f>HYPERLINK("https://www.youtube.com/watch?v=ktsuKyzihjU&amp;t=577s", "Go to time")</f>
        <v/>
      </c>
    </row>
    <row r="3803">
      <c r="A3803">
        <f>HYPERLINK("https://www.youtube.com/watch?v=kioUmpJQbKM", "Video")</f>
        <v/>
      </c>
      <c r="B3803" t="inlineStr">
        <is>
          <t>6:06</t>
        </is>
      </c>
      <c r="C3803" t="inlineStr">
        <is>
          <t>That direct action does work.</t>
        </is>
      </c>
      <c r="D3803">
        <f>HYPERLINK("https://www.youtube.com/watch?v=kioUmpJQbKM&amp;t=366s", "Go to time")</f>
        <v/>
      </c>
    </row>
    <row r="3804">
      <c r="A3804">
        <f>HYPERLINK("https://www.youtube.com/watch?v=kioUmpJQbKM", "Video")</f>
        <v/>
      </c>
      <c r="B3804" t="inlineStr">
        <is>
          <t>6:15</t>
        </is>
      </c>
      <c r="C3804" t="inlineStr">
        <is>
          <t>when citizens engage directly.</t>
        </is>
      </c>
      <c r="D3804">
        <f>HYPERLINK("https://www.youtube.com/watch?v=kioUmpJQbKM&amp;t=375s", "Go to time")</f>
        <v/>
      </c>
    </row>
    <row r="3805">
      <c r="A3805">
        <f>HYPERLINK("https://www.youtube.com/watch?v=6Wl0yjC459k", "Video")</f>
        <v/>
      </c>
      <c r="B3805" t="inlineStr">
        <is>
          <t>3:23</t>
        </is>
      </c>
      <c r="C3805" t="inlineStr">
        <is>
          <t>Three out four farmworkers surveyed
have been directly impacted</t>
        </is>
      </c>
      <c r="D3805">
        <f>HYPERLINK("https://www.youtube.com/watch?v=6Wl0yjC459k&amp;t=203s", "Go to time")</f>
        <v/>
      </c>
    </row>
    <row r="3806">
      <c r="A3806">
        <f>HYPERLINK("https://www.youtube.com/watch?v=6Wl0yjC459k", "Video")</f>
        <v/>
      </c>
      <c r="B3806" t="inlineStr">
        <is>
          <t>4:19</t>
        </is>
      </c>
      <c r="C3806" t="inlineStr">
        <is>
          <t>direct-to-consumer goods have stagnated.</t>
        </is>
      </c>
      <c r="D3806">
        <f>HYPERLINK("https://www.youtube.com/watch?v=6Wl0yjC459k&amp;t=259s", "Go to time")</f>
        <v/>
      </c>
    </row>
    <row r="3807">
      <c r="A3807">
        <f>HYPERLINK("https://www.youtube.com/watch?v=6Wl0yjC459k", "Video")</f>
        <v/>
      </c>
      <c r="B3807" t="inlineStr">
        <is>
          <t>5:05</t>
        </is>
      </c>
      <c r="C3807" t="inlineStr">
        <is>
          <t>The success of our food systems
is directly attached to us.</t>
        </is>
      </c>
      <c r="D3807">
        <f>HYPERLINK("https://www.youtube.com/watch?v=6Wl0yjC459k&amp;t=305s", "Go to time")</f>
        <v/>
      </c>
    </row>
    <row r="3808">
      <c r="A3808">
        <f>HYPERLINK("https://www.youtube.com/watch?v=w7n1oYtMdEY", "Video")</f>
        <v/>
      </c>
      <c r="B3808" t="inlineStr">
        <is>
          <t>7:47</t>
        </is>
      </c>
      <c r="C3808" t="inlineStr">
        <is>
          <t>is two hours away in any direction.</t>
        </is>
      </c>
      <c r="D3808">
        <f>HYPERLINK("https://www.youtube.com/watch?v=w7n1oYtMdEY&amp;t=467s", "Go to time")</f>
        <v/>
      </c>
    </row>
    <row r="3809">
      <c r="A3809">
        <f>HYPERLINK("https://www.youtube.com/watch?v=szt7f5NmE9E", "Video")</f>
        <v/>
      </c>
      <c r="B3809" t="inlineStr">
        <is>
          <t>40:22</t>
        </is>
      </c>
      <c r="C3809" t="inlineStr">
        <is>
          <t>So first step is, you go
in that direction, expand.</t>
        </is>
      </c>
      <c r="D3809">
        <f>HYPERLINK("https://www.youtube.com/watch?v=szt7f5NmE9E&amp;t=2422s", "Go to time")</f>
        <v/>
      </c>
    </row>
    <row r="3810">
      <c r="A3810">
        <f>HYPERLINK("https://www.youtube.com/watch?v=DTIjvPLkJgo", "Video")</f>
        <v/>
      </c>
      <c r="B3810" t="inlineStr">
        <is>
          <t>8:24</t>
        </is>
      </c>
      <c r="C3810" t="inlineStr">
        <is>
          <t>directly transported onto
the hands of the astronauts.</t>
        </is>
      </c>
      <c r="D3810">
        <f>HYPERLINK("https://www.youtube.com/watch?v=DTIjvPLkJgo&amp;t=504s", "Go to time")</f>
        <v/>
      </c>
    </row>
    <row r="3811">
      <c r="A3811">
        <f>HYPERLINK("https://www.youtube.com/watch?v=slbfAfEvnQ0", "Video")</f>
        <v/>
      </c>
      <c r="B3811" t="inlineStr">
        <is>
          <t>7:23</t>
        </is>
      </c>
      <c r="C3811" t="inlineStr">
        <is>
          <t>because those investments
have got direct benefits for people,</t>
        </is>
      </c>
      <c r="D3811">
        <f>HYPERLINK("https://www.youtube.com/watch?v=slbfAfEvnQ0&amp;t=443s", "Go to time")</f>
        <v/>
      </c>
    </row>
    <row r="3812">
      <c r="A3812">
        <f>HYPERLINK("https://www.youtube.com/watch?v=MyD0m7JXgjA", "Video")</f>
        <v/>
      </c>
      <c r="B3812" t="inlineStr">
        <is>
          <t>9:37</t>
        </is>
      </c>
      <c r="C3812" t="inlineStr">
        <is>
          <t>universities are indirectly enabling
the rise of the trauma essay</t>
        </is>
      </c>
      <c r="D3812">
        <f>HYPERLINK("https://www.youtube.com/watch?v=MyD0m7JXgjA&amp;t=577s", "Go to time")</f>
        <v/>
      </c>
    </row>
    <row r="3813">
      <c r="A3813">
        <f>HYPERLINK("https://www.youtube.com/watch?v=1pky-86YSrI", "Video")</f>
        <v/>
      </c>
      <c r="B3813" t="inlineStr">
        <is>
          <t>4:59</t>
        </is>
      </c>
      <c r="C3813" t="inlineStr">
        <is>
          <t>from the photographer,
to the casting director,</t>
        </is>
      </c>
      <c r="D3813">
        <f>HYPERLINK("https://www.youtube.com/watch?v=1pky-86YSrI&amp;t=299s", "Go to time")</f>
        <v/>
      </c>
    </row>
    <row r="3814">
      <c r="A3814">
        <f>HYPERLINK("https://www.youtube.com/watch?v=1pky-86YSrI", "Video")</f>
        <v/>
      </c>
      <c r="B3814" t="inlineStr">
        <is>
          <t>5:28</t>
        </is>
      </c>
      <c r="C3814" t="inlineStr">
        <is>
          <t>or a woman of color
as your casting director,</t>
        </is>
      </c>
      <c r="D3814">
        <f>HYPERLINK("https://www.youtube.com/watch?v=1pky-86YSrI&amp;t=328s", "Go to time")</f>
        <v/>
      </c>
    </row>
    <row r="3815">
      <c r="A3815">
        <f>HYPERLINK("https://www.youtube.com/watch?v=Tf49RWv4vBY", "Video")</f>
        <v/>
      </c>
      <c r="B3815" t="inlineStr">
        <is>
          <t>9:01</t>
        </is>
      </c>
      <c r="C3815" t="inlineStr">
        <is>
          <t>actions can accelerate
in the right direction</t>
        </is>
      </c>
      <c r="D3815">
        <f>HYPERLINK("https://www.youtube.com/watch?v=Tf49RWv4vBY&amp;t=541s", "Go to time")</f>
        <v/>
      </c>
    </row>
    <row r="3816">
      <c r="A3816">
        <f>HYPERLINK("https://www.youtube.com/watch?v=Gdi7uN-DQYo", "Video")</f>
        <v/>
      </c>
      <c r="B3816" t="inlineStr">
        <is>
          <t>4:31</t>
        </is>
      </c>
      <c r="C3816" t="inlineStr">
        <is>
          <t>I proudly serve
as the director of advocacy</t>
        </is>
      </c>
      <c r="D3816">
        <f>HYPERLINK("https://www.youtube.com/watch?v=Gdi7uN-DQYo&amp;t=271s", "Go to time")</f>
        <v/>
      </c>
    </row>
    <row r="3817">
      <c r="A3817">
        <f>HYPERLINK("https://www.youtube.com/watch?v=HsmOJ4Xbfp4", "Video")</f>
        <v/>
      </c>
      <c r="B3817" t="inlineStr">
        <is>
          <t>5:16</t>
        </is>
      </c>
      <c r="C3817" t="inlineStr">
        <is>
          <t>The Chinese government provided direction,</t>
        </is>
      </c>
      <c r="D3817">
        <f>HYPERLINK("https://www.youtube.com/watch?v=HsmOJ4Xbfp4&amp;t=316s", "Go to time")</f>
        <v/>
      </c>
    </row>
    <row r="3818">
      <c r="A3818">
        <f>HYPERLINK("https://www.youtube.com/watch?v=HsmOJ4Xbfp4", "Video")</f>
        <v/>
      </c>
      <c r="B3818" t="inlineStr">
        <is>
          <t>5:56</t>
        </is>
      </c>
      <c r="C3818" t="inlineStr">
        <is>
          <t>to redirect investments
toward national priorities.</t>
        </is>
      </c>
      <c r="D3818">
        <f>HYPERLINK("https://www.youtube.com/watch?v=HsmOJ4Xbfp4&amp;t=356s", "Go to time")</f>
        <v/>
      </c>
    </row>
    <row r="3819">
      <c r="A3819">
        <f>HYPERLINK("https://www.youtube.com/watch?v=fCllxq6NZbk", "Video")</f>
        <v/>
      </c>
      <c r="B3819" t="inlineStr">
        <is>
          <t>7:51</t>
        </is>
      </c>
      <c r="C3819" t="inlineStr">
        <is>
          <t>without our meddling,
without our direction,</t>
        </is>
      </c>
      <c r="D3819">
        <f>HYPERLINK("https://www.youtube.com/watch?v=fCllxq6NZbk&amp;t=471s", "Go to time")</f>
        <v/>
      </c>
    </row>
    <row r="3820">
      <c r="A3820">
        <f>HYPERLINK("https://www.youtube.com/watch?v=fCllxq6NZbk", "Video")</f>
        <v/>
      </c>
      <c r="B3820" t="inlineStr">
        <is>
          <t>7:54</t>
        </is>
      </c>
      <c r="C3820" t="inlineStr">
        <is>
          <t>without anything that we do
to direct this in any way.</t>
        </is>
      </c>
      <c r="D3820">
        <f>HYPERLINK("https://www.youtube.com/watch?v=fCllxq6NZbk&amp;t=474s", "Go to time")</f>
        <v/>
      </c>
    </row>
    <row r="3821">
      <c r="A3821">
        <f>HYPERLINK("https://www.youtube.com/watch?v=1w3NXBXdY5c", "Video")</f>
        <v/>
      </c>
      <c r="B3821" t="inlineStr">
        <is>
          <t>1:34</t>
        </is>
      </c>
      <c r="C3821" t="inlineStr">
        <is>
          <t>putting us and the community
in direct contact</t>
        </is>
      </c>
      <c r="D3821">
        <f>HYPERLINK("https://www.youtube.com/watch?v=1w3NXBXdY5c&amp;t=94s", "Go to time")</f>
        <v/>
      </c>
    </row>
    <row r="3822">
      <c r="A3822">
        <f>HYPERLINK("https://www.youtube.com/watch?v=87qLWFZManA", "Video")</f>
        <v/>
      </c>
      <c r="B3822" t="inlineStr">
        <is>
          <t>3:08</t>
        </is>
      </c>
      <c r="C3822" t="inlineStr">
        <is>
          <t>is to tell you indirectly
that I have three ideas</t>
        </is>
      </c>
      <c r="D3822">
        <f>HYPERLINK("https://www.youtube.com/watch?v=87qLWFZManA&amp;t=188s", "Go to time")</f>
        <v/>
      </c>
    </row>
    <row r="3823">
      <c r="A3823">
        <f>HYPERLINK("https://www.youtube.com/watch?v=87qLWFZManA", "Video")</f>
        <v/>
      </c>
      <c r="B3823" t="inlineStr">
        <is>
          <t>15:48</t>
        </is>
      </c>
      <c r="C3823" t="inlineStr">
        <is>
          <t>That was pure misdirection --
I'm very funny.</t>
        </is>
      </c>
      <c r="D3823">
        <f>HYPERLINK("https://www.youtube.com/watch?v=87qLWFZManA&amp;t=948s", "Go to time")</f>
        <v/>
      </c>
    </row>
    <row r="3824">
      <c r="A3824">
        <f>HYPERLINK("https://www.youtube.com/watch?v=Cm1Ij-jRhpQ", "Video")</f>
        <v/>
      </c>
      <c r="B3824" t="inlineStr">
        <is>
          <t>2:24</t>
        </is>
      </c>
      <c r="C3824" t="inlineStr">
        <is>
          <t>that I'm completely aware
of the very dire threats</t>
        </is>
      </c>
      <c r="D3824">
        <f>HYPERLINK("https://www.youtube.com/watch?v=Cm1Ij-jRhpQ&amp;t=144s", "Go to time")</f>
        <v/>
      </c>
    </row>
    <row r="3825">
      <c r="A3825">
        <f>HYPERLINK("https://www.youtube.com/watch?v=2j00U6lUC-c", "Video")</f>
        <v/>
      </c>
      <c r="B3825" t="inlineStr">
        <is>
          <t>1:23</t>
        </is>
      </c>
      <c r="C3825" t="inlineStr">
        <is>
          <t>Sometimes they complement
human beings directly,</t>
        </is>
      </c>
      <c r="D3825">
        <f>HYPERLINK("https://www.youtube.com/watch?v=2j00U6lUC-c&amp;t=83s", "Go to time")</f>
        <v/>
      </c>
    </row>
    <row r="3826">
      <c r="A3826">
        <f>HYPERLINK("https://www.youtube.com/watch?v=2j00U6lUC-c", "Video")</f>
        <v/>
      </c>
      <c r="B3826" t="inlineStr">
        <is>
          <t>1:42</t>
        </is>
      </c>
      <c r="C3826" t="inlineStr">
        <is>
          <t>But technological progress doesn't
just complement human beings directly.</t>
        </is>
      </c>
      <c r="D3826">
        <f>HYPERLINK("https://www.youtube.com/watch?v=2j00U6lUC-c&amp;t=102s", "Go to time")</f>
        <v/>
      </c>
    </row>
    <row r="3827">
      <c r="A3827">
        <f>HYPERLINK("https://www.youtube.com/watch?v=2j00U6lUC-c", "Video")</f>
        <v/>
      </c>
      <c r="B3827" t="inlineStr">
        <is>
          <t>1:46</t>
        </is>
      </c>
      <c r="C3827" t="inlineStr">
        <is>
          <t>It also complements them indirectly,
and it does this in two ways.</t>
        </is>
      </c>
      <c r="D3827">
        <f>HYPERLINK("https://www.youtube.com/watch?v=2j00U6lUC-c&amp;t=106s", "Go to time")</f>
        <v/>
      </c>
    </row>
    <row r="3828">
      <c r="A3828">
        <f>HYPERLINK("https://www.youtube.com/watch?v=2j00U6lUC-c", "Video")</f>
        <v/>
      </c>
      <c r="B3828" t="inlineStr">
        <is>
          <t>10:55</t>
        </is>
      </c>
      <c r="C3828" t="inlineStr">
        <is>
          <t>Today, satnav systems
directly complement human beings.</t>
        </is>
      </c>
      <c r="D3828">
        <f>HYPERLINK("https://www.youtube.com/watch?v=2j00U6lUC-c&amp;t=655s", "Go to time")</f>
        <v/>
      </c>
    </row>
    <row r="3829">
      <c r="A3829">
        <f>HYPERLINK("https://www.youtube.com/watch?v=2j00U6lUC-c", "Video")</f>
        <v/>
      </c>
      <c r="B3829" t="inlineStr">
        <is>
          <t>11:14</t>
        </is>
      </c>
      <c r="C3829" t="inlineStr">
        <is>
          <t>Or go to those indirect complementarities
that I mentioned as well.</t>
        </is>
      </c>
      <c r="D3829">
        <f>HYPERLINK("https://www.youtube.com/watch?v=2j00U6lUC-c&amp;t=674s", "Go to time")</f>
        <v/>
      </c>
    </row>
    <row r="3830">
      <c r="A3830">
        <f>HYPERLINK("https://www.youtube.com/watch?v=2j00U6lUC-c", "Video")</f>
        <v/>
      </c>
      <c r="B3830" t="inlineStr">
        <is>
          <t>13:19</t>
        </is>
      </c>
      <c r="C3830" t="inlineStr">
        <is>
          <t>but it is hard to avoid the conclusion
that this is our direction of travel.</t>
        </is>
      </c>
      <c r="D3830">
        <f>HYPERLINK("https://www.youtube.com/watch?v=2j00U6lUC-c&amp;t=799s", "Go to time")</f>
        <v/>
      </c>
    </row>
    <row r="3831">
      <c r="A3831">
        <f>HYPERLINK("https://www.youtube.com/watch?v=Dfe7gLe3pW0", "Video")</f>
        <v/>
      </c>
      <c r="B3831" t="inlineStr">
        <is>
          <t>5:27</t>
        </is>
      </c>
      <c r="C3831" t="inlineStr">
        <is>
          <t>moving in the right direction when I</t>
        </is>
      </c>
      <c r="D3831">
        <f>HYPERLINK("https://www.youtube.com/watch?v=Dfe7gLe3pW0&amp;t=327s", "Go to time")</f>
        <v/>
      </c>
    </row>
    <row r="3832">
      <c r="A3832">
        <f>HYPERLINK("https://www.youtube.com/watch?v=Dfe7gLe3pW0", "Video")</f>
        <v/>
      </c>
      <c r="B3832" t="inlineStr">
        <is>
          <t>6:34</t>
        </is>
      </c>
      <c r="C3832" t="inlineStr">
        <is>
          <t>right direction yeah that's amazing I</t>
        </is>
      </c>
      <c r="D3832">
        <f>HYPERLINK("https://www.youtube.com/watch?v=Dfe7gLe3pW0&amp;t=394s", "Go to time")</f>
        <v/>
      </c>
    </row>
    <row r="3833">
      <c r="A3833">
        <f>HYPERLINK("https://www.youtube.com/watch?v=FJspeMI5ICc", "Video")</f>
        <v/>
      </c>
      <c r="B3833" t="inlineStr">
        <is>
          <t>6:25</t>
        </is>
      </c>
      <c r="C3833" t="inlineStr">
        <is>
          <t>and redirect military spending
to education, health</t>
        </is>
      </c>
      <c r="D3833">
        <f>HYPERLINK("https://www.youtube.com/watch?v=FJspeMI5ICc&amp;t=385s", "Go to time")</f>
        <v/>
      </c>
    </row>
    <row r="3834">
      <c r="A3834">
        <f>HYPERLINK("https://www.youtube.com/watch?v=FJspeMI5ICc", "Video")</f>
        <v/>
      </c>
      <c r="B3834" t="inlineStr">
        <is>
          <t>6:46</t>
        </is>
      </c>
      <c r="C3834" t="inlineStr">
        <is>
          <t>One of many countries
moving in this direction.</t>
        </is>
      </c>
      <c r="D3834">
        <f>HYPERLINK("https://www.youtube.com/watch?v=FJspeMI5ICc&amp;t=406s", "Go to time")</f>
        <v/>
      </c>
    </row>
    <row r="3835">
      <c r="A3835">
        <f>HYPERLINK("https://www.youtube.com/watch?v=vZCGSP3A0Fo", "Video")</f>
        <v/>
      </c>
      <c r="B3835" t="inlineStr">
        <is>
          <t>2:49</t>
        </is>
      </c>
      <c r="C3835" t="inlineStr">
        <is>
          <t>let's grow it directly from cells.</t>
        </is>
      </c>
      <c r="D3835">
        <f>HYPERLINK("https://www.youtube.com/watch?v=vZCGSP3A0Fo&amp;t=169s", "Go to time")</f>
        <v/>
      </c>
    </row>
    <row r="3836">
      <c r="A3836">
        <f>HYPERLINK("https://www.youtube.com/watch?v=vZCGSP3A0Fo", "Video")</f>
        <v/>
      </c>
      <c r="B3836" t="inlineStr">
        <is>
          <t>2:52</t>
        </is>
      </c>
      <c r="C3836" t="inlineStr">
        <is>
          <t>Instead of growing live animals,
let's grow the cells directly.</t>
        </is>
      </c>
      <c r="D3836">
        <f>HYPERLINK("https://www.youtube.com/watch?v=vZCGSP3A0Fo&amp;t=172s", "Go to time")</f>
        <v/>
      </c>
    </row>
    <row r="3837">
      <c r="A3837">
        <f>HYPERLINK("https://www.youtube.com/watch?v=vZCGSP3A0Fo", "Video")</f>
        <v/>
      </c>
      <c r="B3837" t="inlineStr">
        <is>
          <t>2:58</t>
        </is>
      </c>
      <c r="C3837" t="inlineStr">
        <is>
          <t>Grow the cells directly,
you can get that same growth</t>
        </is>
      </c>
      <c r="D3837">
        <f>HYPERLINK("https://www.youtube.com/watch?v=vZCGSP3A0Fo&amp;t=178s", "Go to time")</f>
        <v/>
      </c>
    </row>
    <row r="3838">
      <c r="A3838">
        <f>HYPERLINK("https://www.youtube.com/watch?v=vZCGSP3A0Fo", "Video")</f>
        <v/>
      </c>
      <c r="B3838" t="inlineStr">
        <is>
          <t>3:28</t>
        </is>
      </c>
      <c r="C3838" t="inlineStr">
        <is>
          <t>directly from cells.</t>
        </is>
      </c>
      <c r="D3838">
        <f>HYPERLINK("https://www.youtube.com/watch?v=vZCGSP3A0Fo&amp;t=208s", "Go to time")</f>
        <v/>
      </c>
    </row>
    <row r="3839">
      <c r="A3839">
        <f>HYPERLINK("https://www.youtube.com/watch?v=vZCGSP3A0Fo", "Video")</f>
        <v/>
      </c>
      <c r="B3839" t="inlineStr">
        <is>
          <t>5:29</t>
        </is>
      </c>
      <c r="C3839" t="inlineStr">
        <is>
          <t>Let's make meat from plants.
Let's grow it directly from cells.</t>
        </is>
      </c>
      <c r="D3839">
        <f>HYPERLINK("https://www.youtube.com/watch?v=vZCGSP3A0Fo&amp;t=329s", "Go to time")</f>
        <v/>
      </c>
    </row>
    <row r="3840">
      <c r="A3840">
        <f>HYPERLINK("https://www.youtube.com/watch?v=CiLn-GrcuEs", "Video")</f>
        <v/>
      </c>
      <c r="B3840" t="inlineStr">
        <is>
          <t>4:16</t>
        </is>
      </c>
      <c r="C3840" t="inlineStr">
        <is>
          <t>How can we move in a direction</t>
        </is>
      </c>
      <c r="D3840">
        <f>HYPERLINK("https://www.youtube.com/watch?v=CiLn-GrcuEs&amp;t=256s", "Go to time")</f>
        <v/>
      </c>
    </row>
    <row r="3841">
      <c r="A3841">
        <f>HYPERLINK("https://www.youtube.com/watch?v=CiLn-GrcuEs", "Video")</f>
        <v/>
      </c>
      <c r="B3841" t="inlineStr">
        <is>
          <t>4:32</t>
        </is>
      </c>
      <c r="C3841" t="inlineStr">
        <is>
          <t>Mitch Daniels served
as George W. Bush's budget director,</t>
        </is>
      </c>
      <c r="D3841">
        <f>HYPERLINK("https://www.youtube.com/watch?v=CiLn-GrcuEs&amp;t=272s", "Go to time")</f>
        <v/>
      </c>
    </row>
    <row r="3842">
      <c r="A3842">
        <f>HYPERLINK("https://www.youtube.com/watch?v=qSr39QPhBc4", "Video")</f>
        <v/>
      </c>
      <c r="B3842" t="inlineStr">
        <is>
          <t>4:22</t>
        </is>
      </c>
      <c r="C3842" t="inlineStr">
        <is>
          <t>A farmer can also pay directly
via mobile money, if they have it.</t>
        </is>
      </c>
      <c r="D3842">
        <f>HYPERLINK("https://www.youtube.com/watch?v=qSr39QPhBc4&amp;t=262s", "Go to time")</f>
        <v/>
      </c>
    </row>
    <row r="3843">
      <c r="A3843">
        <f>HYPERLINK("https://www.youtube.com/watch?v=qSr39QPhBc4", "Video")</f>
        <v/>
      </c>
      <c r="B3843" t="inlineStr">
        <is>
          <t>6:12</t>
        </is>
      </c>
      <c r="C3843" t="inlineStr">
        <is>
          <t>Instead, we're unlocking capital
from farmers directly.</t>
        </is>
      </c>
      <c r="D3843">
        <f>HYPERLINK("https://www.youtube.com/watch?v=qSr39QPhBc4&amp;t=372s", "Go to time")</f>
        <v/>
      </c>
    </row>
    <row r="3844">
      <c r="A3844">
        <f>HYPERLINK("https://www.youtube.com/watch?v=ta2Wvy9F_gA", "Video")</f>
        <v/>
      </c>
      <c r="B3844" t="inlineStr">
        <is>
          <t>5:05</t>
        </is>
      </c>
      <c r="C3844" t="inlineStr">
        <is>
          <t>directly to citizens,</t>
        </is>
      </c>
      <c r="D3844">
        <f>HYPERLINK("https://www.youtube.com/watch?v=ta2Wvy9F_gA&amp;t=305s", "Go to time")</f>
        <v/>
      </c>
    </row>
    <row r="3845">
      <c r="A3845">
        <f>HYPERLINK("https://www.youtube.com/watch?v=I-B_Oa6_eNU", "Video")</f>
        <v/>
      </c>
      <c r="B3845" t="inlineStr">
        <is>
          <t>15:23</t>
        </is>
      </c>
      <c r="C3845" t="inlineStr">
        <is>
          <t>likely to move in the right direction</t>
        </is>
      </c>
      <c r="D3845">
        <f>HYPERLINK("https://www.youtube.com/watch?v=I-B_Oa6_eNU&amp;t=923s", "Go to time")</f>
        <v/>
      </c>
    </row>
    <row r="3846">
      <c r="A3846">
        <f>HYPERLINK("https://www.youtube.com/watch?v=I-B_Oa6_eNU", "Video")</f>
        <v/>
      </c>
      <c r="B3846" t="inlineStr">
        <is>
          <t>22:16</t>
        </is>
      </c>
      <c r="C3846" t="inlineStr">
        <is>
          <t>in in conflicting directions exactly and</t>
        </is>
      </c>
      <c r="D3846">
        <f>HYPERLINK("https://www.youtube.com/watch?v=I-B_Oa6_eNU&amp;t=1336s", "Go to time")</f>
        <v/>
      </c>
    </row>
    <row r="3847">
      <c r="A3847">
        <f>HYPERLINK("https://www.youtube.com/watch?v=I-B_Oa6_eNU", "Video")</f>
        <v/>
      </c>
      <c r="B3847" t="inlineStr">
        <is>
          <t>27:18</t>
        </is>
      </c>
      <c r="C3847" t="inlineStr">
        <is>
          <t>that direction certainly that's not true</t>
        </is>
      </c>
      <c r="D3847">
        <f>HYPERLINK("https://www.youtube.com/watch?v=I-B_Oa6_eNU&amp;t=1638s", "Go to time")</f>
        <v/>
      </c>
    </row>
    <row r="3848">
      <c r="A3848">
        <f>HYPERLINK("https://www.youtube.com/watch?v=I-B_Oa6_eNU", "Video")</f>
        <v/>
      </c>
      <c r="B3848" t="inlineStr">
        <is>
          <t>42:56</t>
        </is>
      </c>
      <c r="C3848" t="inlineStr">
        <is>
          <t>National security is uh directly um in</t>
        </is>
      </c>
      <c r="D3848">
        <f>HYPERLINK("https://www.youtube.com/watch?v=I-B_Oa6_eNU&amp;t=2576s", "Go to time")</f>
        <v/>
      </c>
    </row>
    <row r="3849">
      <c r="A3849">
        <f>HYPERLINK("https://www.youtube.com/watch?v=73rUjrow5pI", "Video")</f>
        <v/>
      </c>
      <c r="B3849" t="inlineStr">
        <is>
          <t>3:24</t>
        </is>
      </c>
      <c r="C3849" t="inlineStr">
        <is>
          <t>(Video: Air traffic controller
directs traffic)</t>
        </is>
      </c>
      <c r="D3849">
        <f>HYPERLINK("https://www.youtube.com/watch?v=73rUjrow5pI&amp;t=204s", "Go to time")</f>
        <v/>
      </c>
    </row>
    <row r="3850">
      <c r="A3850">
        <f>HYPERLINK("https://www.youtube.com/watch?v=7O6TTFgHVIk", "Video")</f>
        <v/>
      </c>
      <c r="B3850" t="inlineStr">
        <is>
          <t>3:35</t>
        </is>
      </c>
      <c r="C3850" t="inlineStr">
        <is>
          <t>as part of my work as a research
director at the law firm,</t>
        </is>
      </c>
      <c r="D3850">
        <f>HYPERLINK("https://www.youtube.com/watch?v=7O6TTFgHVIk&amp;t=215s", "Go to time")</f>
        <v/>
      </c>
    </row>
    <row r="3851">
      <c r="A3851">
        <f>HYPERLINK("https://www.youtube.com/watch?v=7O6TTFgHVIk", "Video")</f>
        <v/>
      </c>
      <c r="B3851" t="inlineStr">
        <is>
          <t>11:01</t>
        </is>
      </c>
      <c r="C3851" t="inlineStr">
        <is>
          <t>When forfeiture proceeds stop hitting
law enforcement budgets directly,</t>
        </is>
      </c>
      <c r="D3851">
        <f>HYPERLINK("https://www.youtube.com/watch?v=7O6TTFgHVIk&amp;t=661s", "Go to time")</f>
        <v/>
      </c>
    </row>
    <row r="3852">
      <c r="A3852">
        <f>HYPERLINK("https://www.youtube.com/watch?v=e9hocuNjMqU", "Video")</f>
        <v/>
      </c>
      <c r="B3852" t="inlineStr">
        <is>
          <t>5:05</t>
        </is>
      </c>
      <c r="C3852" t="inlineStr">
        <is>
          <t>that have to respond most directly
to the impacts of climate change:</t>
        </is>
      </c>
      <c r="D3852">
        <f>HYPERLINK("https://www.youtube.com/watch?v=e9hocuNjMqU&amp;t=305s", "Go to time")</f>
        <v/>
      </c>
    </row>
    <row r="3853">
      <c r="A3853">
        <f>HYPERLINK("https://www.youtube.com/watch?v=e9hocuNjMqU", "Video")</f>
        <v/>
      </c>
      <c r="B3853" t="inlineStr">
        <is>
          <t>9:07</t>
        </is>
      </c>
      <c r="C3853" t="inlineStr">
        <is>
          <t>BG: Let's hope it goes in that direction.</t>
        </is>
      </c>
      <c r="D3853">
        <f>HYPERLINK("https://www.youtube.com/watch?v=e9hocuNjMqU&amp;t=547s", "Go to time")</f>
        <v/>
      </c>
    </row>
    <row r="3854">
      <c r="A3854">
        <f>HYPERLINK("https://www.youtube.com/watch?v=Q9XD8yRPxc8", "Video")</f>
        <v/>
      </c>
      <c r="B3854" t="inlineStr">
        <is>
          <t>10:11</t>
        </is>
      </c>
      <c r="C3854" t="inlineStr">
        <is>
          <t>We call our treatment approach
"inner-directed therapy,"</t>
        </is>
      </c>
      <c r="D3854">
        <f>HYPERLINK("https://www.youtube.com/watch?v=Q9XD8yRPxc8&amp;t=611s", "Go to time")</f>
        <v/>
      </c>
    </row>
    <row r="3855">
      <c r="A3855">
        <f>HYPERLINK("https://www.youtube.com/watch?v=Q9XD8yRPxc8", "Video")</f>
        <v/>
      </c>
      <c r="B3855" t="inlineStr">
        <is>
          <t>13:27</t>
        </is>
      </c>
      <c r="C3855" t="inlineStr">
        <is>
          <t>the only therapists who will be able
to directly administer it to patients</t>
        </is>
      </c>
      <c r="D3855">
        <f>HYPERLINK("https://www.youtube.com/watch?v=Q9XD8yRPxc8&amp;t=807s", "Go to time")</f>
        <v/>
      </c>
    </row>
    <row r="3856">
      <c r="A3856">
        <f>HYPERLINK("https://www.youtube.com/watch?v=Q9XD8yRPxc8", "Video")</f>
        <v/>
      </c>
      <c r="B3856" t="inlineStr">
        <is>
          <t>13:36</t>
        </is>
      </c>
      <c r="C3856" t="inlineStr">
        <is>
          <t>under direct supervision
in clinic settings.</t>
        </is>
      </c>
      <c r="D3856">
        <f>HYPERLINK("https://www.youtube.com/watch?v=Q9XD8yRPxc8&amp;t=816s", "Go to time")</f>
        <v/>
      </c>
    </row>
    <row r="3857">
      <c r="A3857">
        <f>HYPERLINK("https://www.youtube.com/watch?v=LHmz_s981-g", "Video")</f>
        <v/>
      </c>
      <c r="B3857" t="inlineStr">
        <is>
          <t>0:05</t>
        </is>
      </c>
      <c r="C3857" t="inlineStr">
        <is>
          <t>which is created and directed
by Monica L. Williams,</t>
        </is>
      </c>
      <c r="D3857">
        <f>HYPERLINK("https://www.youtube.com/watch?v=LHmz_s981-g&amp;t=5s", "Go to time")</f>
        <v/>
      </c>
    </row>
    <row r="3858">
      <c r="A3858">
        <f>HYPERLINK("https://www.youtube.com/watch?v=a17Z5Sk2XJY", "Video")</f>
        <v/>
      </c>
      <c r="B3858" t="inlineStr">
        <is>
          <t>5:30</t>
        </is>
      </c>
      <c r="C3858" t="inlineStr">
        <is>
          <t>both of which have a direct correlation
to how you feel about yourself.</t>
        </is>
      </c>
      <c r="D3858">
        <f>HYPERLINK("https://www.youtube.com/watch?v=a17Z5Sk2XJY&amp;t=330s", "Go to time")</f>
        <v/>
      </c>
    </row>
    <row r="3859">
      <c r="A3859">
        <f>HYPERLINK("https://www.youtube.com/watch?v=qDFNgc8jsrc", "Video")</f>
        <v/>
      </c>
      <c r="B3859" t="inlineStr">
        <is>
          <t>4:54</t>
        </is>
      </c>
      <c r="C3859" t="inlineStr">
        <is>
          <t>my life started to make sense,
and I had direction.</t>
        </is>
      </c>
      <c r="D3859">
        <f>HYPERLINK("https://www.youtube.com/watch?v=qDFNgc8jsrc&amp;t=294s", "Go to time")</f>
        <v/>
      </c>
    </row>
    <row r="3860">
      <c r="A3860">
        <f>HYPERLINK("https://www.youtube.com/watch?v=HrCbXNRP7eg", "Video")</f>
        <v/>
      </c>
      <c r="B3860" t="inlineStr">
        <is>
          <t>7:52</t>
        </is>
      </c>
      <c r="C3860" t="inlineStr">
        <is>
          <t>isn't always super direct.</t>
        </is>
      </c>
      <c r="D3860">
        <f>HYPERLINK("https://www.youtube.com/watch?v=HrCbXNRP7eg&amp;t=472s", "Go to time")</f>
        <v/>
      </c>
    </row>
    <row r="3861">
      <c r="A3861">
        <f>HYPERLINK("https://www.youtube.com/watch?v=HrCbXNRP7eg", "Video")</f>
        <v/>
      </c>
      <c r="B3861" t="inlineStr">
        <is>
          <t>9:12</t>
        </is>
      </c>
      <c r="C3861" t="inlineStr">
        <is>
          <t>in an effort to be more direct?</t>
        </is>
      </c>
      <c r="D3861">
        <f>HYPERLINK("https://www.youtube.com/watch?v=HrCbXNRP7eg&amp;t=552s", "Go to time")</f>
        <v/>
      </c>
    </row>
    <row r="3862">
      <c r="A3862">
        <f>HYPERLINK("https://www.youtube.com/watch?v=WX_vN1QYgmE", "Video")</f>
        <v/>
      </c>
      <c r="B3862" t="inlineStr">
        <is>
          <t>10:41</t>
        </is>
      </c>
      <c r="C3862" t="inlineStr">
        <is>
          <t>These are all steps
in the right direction,</t>
        </is>
      </c>
      <c r="D3862">
        <f>HYPERLINK("https://www.youtube.com/watch?v=WX_vN1QYgmE&amp;t=641s", "Go to time")</f>
        <v/>
      </c>
    </row>
    <row r="3863">
      <c r="A3863">
        <f>HYPERLINK("https://www.youtube.com/watch?v=XowcxCYbug0", "Video")</f>
        <v/>
      </c>
      <c r="B3863" t="inlineStr">
        <is>
          <t>7:28</t>
        </is>
      </c>
      <c r="C3863" t="inlineStr">
        <is>
          <t>but also the coactor
and the codirector of the story.</t>
        </is>
      </c>
      <c r="D3863">
        <f>HYPERLINK("https://www.youtube.com/watch?v=XowcxCYbug0&amp;t=448s", "Go to time")</f>
        <v/>
      </c>
    </row>
    <row r="3864">
      <c r="A3864">
        <f>HYPERLINK("https://www.youtube.com/watch?v=z0HsPBKfhoI", "Video")</f>
        <v/>
      </c>
      <c r="B3864" t="inlineStr">
        <is>
          <t>8:43</t>
        </is>
      </c>
      <c r="C3864" t="inlineStr">
        <is>
          <t>that directed every device
that was in every corner of the world.</t>
        </is>
      </c>
      <c r="D3864">
        <f>HYPERLINK("https://www.youtube.com/watch?v=z0HsPBKfhoI&amp;t=523s", "Go to time")</f>
        <v/>
      </c>
    </row>
    <row r="3865">
      <c r="A3865">
        <f>HYPERLINK("https://www.youtube.com/watch?v=z0HsPBKfhoI", "Video")</f>
        <v/>
      </c>
      <c r="B3865" t="inlineStr">
        <is>
          <t>8:54</t>
        </is>
      </c>
      <c r="C3865" t="inlineStr">
        <is>
          <t>that direct the tides,</t>
        </is>
      </c>
      <c r="D3865">
        <f>HYPERLINK("https://www.youtube.com/watch?v=z0HsPBKfhoI&amp;t=534s", "Go to time")</f>
        <v/>
      </c>
    </row>
    <row r="3866">
      <c r="A3866">
        <f>HYPERLINK("https://www.youtube.com/watch?v=1fZ915L1w7I", "Video")</f>
        <v/>
      </c>
      <c r="B3866" t="inlineStr">
        <is>
          <t>5:40</t>
        </is>
      </c>
      <c r="C3866" t="inlineStr">
        <is>
          <t>but directly targeted metastases.</t>
        </is>
      </c>
      <c r="D3866">
        <f>HYPERLINK("https://www.youtube.com/watch?v=1fZ915L1w7I&amp;t=340s", "Go to time")</f>
        <v/>
      </c>
    </row>
    <row r="3867">
      <c r="A3867">
        <f>HYPERLINK("https://www.youtube.com/watch?v=1fZ915L1w7I", "Video")</f>
        <v/>
      </c>
      <c r="B3867" t="inlineStr">
        <is>
          <t>5:51</t>
        </is>
      </c>
      <c r="C3867" t="inlineStr">
        <is>
          <t>that directly target the spread of cancer.</t>
        </is>
      </c>
      <c r="D3867">
        <f>HYPERLINK("https://www.youtube.com/watch?v=1fZ915L1w7I&amp;t=351s", "Go to time")</f>
        <v/>
      </c>
    </row>
    <row r="3868">
      <c r="A3868">
        <f>HYPERLINK("https://www.youtube.com/watch?v=0-F3ufYQgNk", "Video")</f>
        <v/>
      </c>
      <c r="B3868" t="inlineStr">
        <is>
          <t>4:20</t>
        </is>
      </c>
      <c r="C3868" t="inlineStr">
        <is>
          <t>The US had just had
that direct Trump phone call</t>
        </is>
      </c>
      <c r="D3868">
        <f>HYPERLINK("https://www.youtube.com/watch?v=0-F3ufYQgNk&amp;t=260s", "Go to time")</f>
        <v/>
      </c>
    </row>
    <row r="3869">
      <c r="A3869">
        <f>HYPERLINK("https://www.youtube.com/watch?v=0-F3ufYQgNk", "Video")</f>
        <v/>
      </c>
      <c r="B3869" t="inlineStr">
        <is>
          <t>6:48</t>
        </is>
      </c>
      <c r="C3869" t="inlineStr">
        <is>
          <t>But does meet with the leader of this AfD,
goes and meets with her directly,</t>
        </is>
      </c>
      <c r="D3869">
        <f>HYPERLINK("https://www.youtube.com/watch?v=0-F3ufYQgNk&amp;t=408s", "Go to time")</f>
        <v/>
      </c>
    </row>
    <row r="3870">
      <c r="A3870">
        <f>HYPERLINK("https://www.youtube.com/watch?v=0-F3ufYQgNk", "Video")</f>
        <v/>
      </c>
      <c r="B3870" t="inlineStr">
        <is>
          <t>19:22</t>
        </is>
      </c>
      <c r="C3870" t="inlineStr">
        <is>
          <t>They're all directly loyal to him.</t>
        </is>
      </c>
      <c r="D3870">
        <f>HYPERLINK("https://www.youtube.com/watch?v=0-F3ufYQgNk&amp;t=1162s", "Go to time")</f>
        <v/>
      </c>
    </row>
    <row r="3871">
      <c r="A3871">
        <f>HYPERLINK("https://www.youtube.com/watch?v=0-F3ufYQgNk", "Video")</f>
        <v/>
      </c>
      <c r="B3871" t="inlineStr">
        <is>
          <t>26:23</t>
        </is>
      </c>
      <c r="C3871" t="inlineStr">
        <is>
          <t>and therefore want to work more directly</t>
        </is>
      </c>
      <c r="D3871">
        <f>HYPERLINK("https://www.youtube.com/watch?v=0-F3ufYQgNk&amp;t=1583s", "Go to time")</f>
        <v/>
      </c>
    </row>
    <row r="3872">
      <c r="A3872">
        <f>HYPERLINK("https://www.youtube.com/watch?v=0-F3ufYQgNk", "Video")</f>
        <v/>
      </c>
      <c r="B3872" t="inlineStr">
        <is>
          <t>37:06</t>
        </is>
      </c>
      <c r="C3872" t="inlineStr">
        <is>
          <t>is that Trump's direct policies
are going to hurt them economically.</t>
        </is>
      </c>
      <c r="D3872">
        <f>HYPERLINK("https://www.youtube.com/watch?v=0-F3ufYQgNk&amp;t=2226s", "Go to time")</f>
        <v/>
      </c>
    </row>
    <row r="3873">
      <c r="A3873">
        <f>HYPERLINK("https://www.youtube.com/watch?v=0-F3ufYQgNk", "Video")</f>
        <v/>
      </c>
      <c r="B3873" t="inlineStr">
        <is>
          <t>47:24</t>
        </is>
      </c>
      <c r="C3873" t="inlineStr">
        <is>
          <t>I’m talking about the Director
of National Intelligence.</t>
        </is>
      </c>
      <c r="D3873">
        <f>HYPERLINK("https://www.youtube.com/watch?v=0-F3ufYQgNk&amp;t=2844s", "Go to time")</f>
        <v/>
      </c>
    </row>
    <row r="3874">
      <c r="A3874">
        <f>HYPERLINK("https://www.youtube.com/watch?v=0-F3ufYQgNk", "Video")</f>
        <v/>
      </c>
      <c r="B3874" t="inlineStr">
        <is>
          <t>47:27</t>
        </is>
      </c>
      <c r="C3874" t="inlineStr">
        <is>
          <t>I’m talking about the Director of FBI.</t>
        </is>
      </c>
      <c r="D3874">
        <f>HYPERLINK("https://www.youtube.com/watch?v=0-F3ufYQgNk&amp;t=2847s", "Go to time")</f>
        <v/>
      </c>
    </row>
    <row r="3875">
      <c r="A3875">
        <f>HYPERLINK("https://www.youtube.com/watch?v=RtFFT4zjyTM", "Video")</f>
        <v/>
      </c>
      <c r="B3875" t="inlineStr">
        <is>
          <t>2:33</t>
        </is>
      </c>
      <c r="C3875" t="inlineStr">
        <is>
          <t>advanced care directives,</t>
        </is>
      </c>
      <c r="D3875">
        <f>HYPERLINK("https://www.youtube.com/watch?v=RtFFT4zjyTM&amp;t=153s", "Go to time")</f>
        <v/>
      </c>
    </row>
    <row r="3876">
      <c r="A3876">
        <f>HYPERLINK("https://www.youtube.com/watch?v=RtFFT4zjyTM", "Video")</f>
        <v/>
      </c>
      <c r="B3876" t="inlineStr">
        <is>
          <t>2:34</t>
        </is>
      </c>
      <c r="C3876" t="inlineStr">
        <is>
          <t>funeral directors</t>
        </is>
      </c>
      <c r="D3876">
        <f>HYPERLINK("https://www.youtube.com/watch?v=RtFFT4zjyTM&amp;t=154s", "Go to time")</f>
        <v/>
      </c>
    </row>
    <row r="3877">
      <c r="A3877">
        <f>HYPERLINK("https://www.youtube.com/watch?v=TS6lFDVR-3g", "Video")</f>
        <v/>
      </c>
      <c r="B3877" t="inlineStr">
        <is>
          <t>2:43</t>
        </is>
      </c>
      <c r="C3877" t="inlineStr">
        <is>
          <t>These early start policies
have a direct effect on how much --</t>
        </is>
      </c>
      <c r="D3877">
        <f>HYPERLINK("https://www.youtube.com/watch?v=TS6lFDVR-3g&amp;t=163s", "Go to time")</f>
        <v/>
      </c>
    </row>
    <row r="3878">
      <c r="A3878">
        <f>HYPERLINK("https://www.youtube.com/watch?v=jlhtTKPkg5M", "Video")</f>
        <v/>
      </c>
      <c r="B3878" t="inlineStr">
        <is>
          <t>0:29</t>
        </is>
      </c>
      <c r="C3878" t="inlineStr">
        <is>
          <t>"Tam, I'm in dire straits.</t>
        </is>
      </c>
      <c r="D3878">
        <f>HYPERLINK("https://www.youtube.com/watch?v=jlhtTKPkg5M&amp;t=29s", "Go to time")</f>
        <v/>
      </c>
    </row>
    <row r="3879">
      <c r="A3879">
        <f>HYPERLINK("https://www.youtube.com/watch?v=ZpT0cw9bmiw", "Video")</f>
        <v/>
      </c>
      <c r="B3879" t="inlineStr">
        <is>
          <t>5:32</t>
        </is>
      </c>
      <c r="C3879" t="inlineStr">
        <is>
          <t>Direct communication
and clear expectations,</t>
        </is>
      </c>
      <c r="D3879">
        <f>HYPERLINK("https://www.youtube.com/watch?v=ZpT0cw9bmiw&amp;t=332s", "Go to time")</f>
        <v/>
      </c>
    </row>
    <row r="3880">
      <c r="A3880">
        <f>HYPERLINK("https://www.youtube.com/watch?v=ZpT0cw9bmiw", "Video")</f>
        <v/>
      </c>
      <c r="B3880" t="inlineStr">
        <is>
          <t>10:33</t>
        </is>
      </c>
      <c r="C3880" t="inlineStr">
        <is>
          <t>like direct instruction,
when it's the best way into a lesson.</t>
        </is>
      </c>
      <c r="D3880">
        <f>HYPERLINK("https://www.youtube.com/watch?v=ZpT0cw9bmiw&amp;t=633s", "Go to time")</f>
        <v/>
      </c>
    </row>
    <row r="3881">
      <c r="A3881">
        <f>HYPERLINK("https://www.youtube.com/watch?v=lJUrQKY_A5g", "Video")</f>
        <v/>
      </c>
      <c r="B3881" t="inlineStr">
        <is>
          <t>7:18</t>
        </is>
      </c>
      <c r="C3881" t="inlineStr">
        <is>
          <t>like an invisible hand
nudging you in the right direction.</t>
        </is>
      </c>
      <c r="D3881">
        <f>HYPERLINK("https://www.youtube.com/watch?v=lJUrQKY_A5g&amp;t=438s", "Go to time")</f>
        <v/>
      </c>
    </row>
    <row r="3882">
      <c r="A3882">
        <f>HYPERLINK("https://www.youtube.com/watch?v=Fjbz-Rzmzxw", "Video")</f>
        <v/>
      </c>
      <c r="B3882" t="inlineStr">
        <is>
          <t>4:37</t>
        </is>
      </c>
      <c r="C3882" t="inlineStr">
        <is>
          <t>So we'll put our analysis
directly in the hands of those</t>
        </is>
      </c>
      <c r="D3882">
        <f>HYPERLINK("https://www.youtube.com/watch?v=Fjbz-Rzmzxw&amp;t=277s", "Go to time")</f>
        <v/>
      </c>
    </row>
    <row r="3883">
      <c r="A3883">
        <f>HYPERLINK("https://www.youtube.com/watch?v=wMMmvb2OlIQ", "Video")</f>
        <v/>
      </c>
      <c r="B3883" t="inlineStr">
        <is>
          <t>6:03</t>
        </is>
      </c>
      <c r="C3883" t="inlineStr">
        <is>
          <t>with city council's direction this</t>
        </is>
      </c>
      <c r="D3883">
        <f>HYPERLINK("https://www.youtube.com/watch?v=wMMmvb2OlIQ&amp;t=363s", "Go to time")</f>
        <v/>
      </c>
    </row>
    <row r="3884">
      <c r="A3884">
        <f>HYPERLINK("https://www.youtube.com/watch?v=8SJi0sHrEI4", "Video")</f>
        <v/>
      </c>
      <c r="B3884" t="inlineStr">
        <is>
          <t>0:40</t>
        </is>
      </c>
      <c r="C3884" t="inlineStr">
        <is>
          <t>that would shape our modern world
in a particular direction,</t>
        </is>
      </c>
      <c r="D3884">
        <f>HYPERLINK("https://www.youtube.com/watch?v=8SJi0sHrEI4&amp;t=40s", "Go to time")</f>
        <v/>
      </c>
    </row>
    <row r="3885">
      <c r="A3885">
        <f>HYPERLINK("https://www.youtube.com/watch?v=8SJi0sHrEI4", "Video")</f>
        <v/>
      </c>
      <c r="B3885" t="inlineStr">
        <is>
          <t>10:25</t>
        </is>
      </c>
      <c r="C3885" t="inlineStr">
        <is>
          <t>in completely the opposite direction.</t>
        </is>
      </c>
      <c r="D3885">
        <f>HYPERLINK("https://www.youtube.com/watch?v=8SJi0sHrEI4&amp;t=625s", "Go to time")</f>
        <v/>
      </c>
    </row>
    <row r="3886">
      <c r="A3886">
        <f>HYPERLINK("https://www.youtube.com/watch?v=30a4OlkenNU", "Video")</f>
        <v/>
      </c>
      <c r="B3886" t="inlineStr">
        <is>
          <t>1:23</t>
        </is>
      </c>
      <c r="C3886" t="inlineStr">
        <is>
          <t>I'm a theater director and a playwright,</t>
        </is>
      </c>
      <c r="D3886">
        <f>HYPERLINK("https://www.youtube.com/watch?v=30a4OlkenNU&amp;t=83s", "Go to time")</f>
        <v/>
      </c>
    </row>
    <row r="3887">
      <c r="A3887">
        <f>HYPERLINK("https://www.youtube.com/watch?v=30a4OlkenNU", "Video")</f>
        <v/>
      </c>
      <c r="B3887" t="inlineStr">
        <is>
          <t>7:14</t>
        </is>
      </c>
      <c r="C3887" t="inlineStr">
        <is>
          <t>we’re given dire prophecies.</t>
        </is>
      </c>
      <c r="D3887">
        <f>HYPERLINK("https://www.youtube.com/watch?v=30a4OlkenNU&amp;t=434s", "Go to time")</f>
        <v/>
      </c>
    </row>
    <row r="3888">
      <c r="A3888">
        <f>HYPERLINK("https://www.youtube.com/watch?v=gypAjPp6eps", "Video")</f>
        <v/>
      </c>
      <c r="B3888" t="inlineStr">
        <is>
          <t>11:16</t>
        </is>
      </c>
      <c r="C3888" t="inlineStr">
        <is>
          <t>as they're just reradiating it away
in another direction,</t>
        </is>
      </c>
      <c r="D3888">
        <f>HYPERLINK("https://www.youtube.com/watch?v=gypAjPp6eps&amp;t=676s", "Go to time")</f>
        <v/>
      </c>
    </row>
    <row r="3889">
      <c r="A3889">
        <f>HYPERLINK("https://www.youtube.com/watch?v=ldq6wKtQzU8", "Video")</f>
        <v/>
      </c>
      <c r="B3889" t="inlineStr">
        <is>
          <t>0:29</t>
        </is>
      </c>
      <c r="C3889" t="inlineStr">
        <is>
          <t>If these alien astronomers
had looked in our direction</t>
        </is>
      </c>
      <c r="D3889">
        <f>HYPERLINK("https://www.youtube.com/watch?v=ldq6wKtQzU8&amp;t=29s", "Go to time")</f>
        <v/>
      </c>
    </row>
    <row r="3890">
      <c r="A3890">
        <f>HYPERLINK("https://www.youtube.com/watch?v=ldq6wKtQzU8", "Video")</f>
        <v/>
      </c>
      <c r="B3890" t="inlineStr">
        <is>
          <t>7:13</t>
        </is>
      </c>
      <c r="C3890" t="inlineStr">
        <is>
          <t>directly at an inhabited planet</t>
        </is>
      </c>
      <c r="D3890">
        <f>HYPERLINK("https://www.youtube.com/watch?v=ldq6wKtQzU8&amp;t=433s", "Go to time")</f>
        <v/>
      </c>
    </row>
    <row r="3891">
      <c r="A3891">
        <f>HYPERLINK("https://www.youtube.com/watch?v=H6MVJm9ElMA", "Video")</f>
        <v/>
      </c>
      <c r="B3891" t="inlineStr">
        <is>
          <t>0:19</t>
        </is>
      </c>
      <c r="C3891" t="inlineStr">
        <is>
          <t>where technological marvels
are directed towards people's benefit,</t>
        </is>
      </c>
      <c r="D3891">
        <f>HYPERLINK("https://www.youtube.com/watch?v=H6MVJm9ElMA&amp;t=19s", "Go to time")</f>
        <v/>
      </c>
    </row>
    <row r="3892">
      <c r="A3892">
        <f>HYPERLINK("https://www.youtube.com/watch?v=H6MVJm9ElMA", "Video")</f>
        <v/>
      </c>
      <c r="B3892" t="inlineStr">
        <is>
          <t>2:15</t>
        </is>
      </c>
      <c r="C3892" t="inlineStr">
        <is>
          <t>benefit from and direct it.</t>
        </is>
      </c>
      <c r="D3892">
        <f>HYPERLINK("https://www.youtube.com/watch?v=H6MVJm9ElMA&amp;t=135s", "Go to time")</f>
        <v/>
      </c>
    </row>
    <row r="3893">
      <c r="A3893">
        <f>HYPERLINK("https://www.youtube.com/watch?v=H6MVJm9ElMA", "Video")</f>
        <v/>
      </c>
      <c r="B3893" t="inlineStr">
        <is>
          <t>3:54</t>
        </is>
      </c>
      <c r="C3893" t="inlineStr">
        <is>
          <t>building new collective intelligence
models to direct artificial intelligence,</t>
        </is>
      </c>
      <c r="D3893">
        <f>HYPERLINK("https://www.youtube.com/watch?v=H6MVJm9ElMA&amp;t=234s", "Go to time")</f>
        <v/>
      </c>
    </row>
    <row r="3894">
      <c r="A3894">
        <f>HYPERLINK("https://www.youtube.com/watch?v=onaiTOLPeUs", "Video")</f>
        <v/>
      </c>
      <c r="B3894" t="inlineStr">
        <is>
          <t>4:31</t>
        </is>
      </c>
      <c r="C3894" t="inlineStr">
        <is>
          <t>Is there a different way
we can direct traffic?</t>
        </is>
      </c>
      <c r="D3894">
        <f>HYPERLINK("https://www.youtube.com/watch?v=onaiTOLPeUs&amp;t=271s", "Go to time")</f>
        <v/>
      </c>
    </row>
    <row r="3895">
      <c r="A3895">
        <f>HYPERLINK("https://www.youtube.com/watch?v=x1Efv_wF5LE", "Video")</f>
        <v/>
      </c>
      <c r="B3895" t="inlineStr">
        <is>
          <t>7:02</t>
        </is>
      </c>
      <c r="C3895" t="inlineStr">
        <is>
          <t>but they signal a new direction of travel.</t>
        </is>
      </c>
      <c r="D3895">
        <f>HYPERLINK("https://www.youtube.com/watch?v=x1Efv_wF5LE&amp;t=422s", "Go to time")</f>
        <v/>
      </c>
    </row>
    <row r="3896">
      <c r="A3896">
        <f>HYPERLINK("https://www.youtube.com/watch?v=x1Efv_wF5LE", "Video")</f>
        <v/>
      </c>
      <c r="B3896" t="inlineStr">
        <is>
          <t>7:38</t>
        </is>
      </c>
      <c r="C3896" t="inlineStr">
        <is>
          <t>So we need more urgency
and directionality</t>
        </is>
      </c>
      <c r="D3896">
        <f>HYPERLINK("https://www.youtube.com/watch?v=x1Efv_wF5LE&amp;t=458s", "Go to time")</f>
        <v/>
      </c>
    </row>
    <row r="3897">
      <c r="A3897">
        <f>HYPERLINK("https://www.youtube.com/watch?v=cenxg8j-Rc0", "Video")</f>
        <v/>
      </c>
      <c r="B3897" t="inlineStr">
        <is>
          <t>7:31</t>
        </is>
      </c>
      <c r="C3897" t="inlineStr">
        <is>
          <t>because I think they're going to give you
direction to a life well lived.</t>
        </is>
      </c>
      <c r="D3897">
        <f>HYPERLINK("https://www.youtube.com/watch?v=cenxg8j-Rc0&amp;t=451s", "Go to time")</f>
        <v/>
      </c>
    </row>
    <row r="3898">
      <c r="A3898">
        <f>HYPERLINK("https://www.youtube.com/watch?v=k-duWafgHsY", "Video")</f>
        <v/>
      </c>
      <c r="B3898" t="inlineStr">
        <is>
          <t>0:08</t>
        </is>
      </c>
      <c r="C3898" t="inlineStr">
        <is>
          <t>Director: Sound rolling.</t>
        </is>
      </c>
      <c r="D3898">
        <f>HYPERLINK("https://www.youtube.com/watch?v=k-duWafgHsY&amp;t=8s", "Go to time")</f>
        <v/>
      </c>
    </row>
    <row r="3899">
      <c r="A3899">
        <f>HYPERLINK("https://www.youtube.com/watch?v=2UZKME9WP9M", "Video")</f>
        <v/>
      </c>
      <c r="B3899" t="inlineStr">
        <is>
          <t>8:29</t>
        </is>
      </c>
      <c r="C3899" t="inlineStr">
        <is>
          <t>all walking in different
directions across the plaza,</t>
        </is>
      </c>
      <c r="D3899">
        <f>HYPERLINK("https://www.youtube.com/watch?v=2UZKME9WP9M&amp;t=509s", "Go to time")</f>
        <v/>
      </c>
    </row>
    <row r="3900">
      <c r="A3900">
        <f>HYPERLINK("https://www.youtube.com/watch?v=2UZKME9WP9M", "Video")</f>
        <v/>
      </c>
      <c r="B3900" t="inlineStr">
        <is>
          <t>8:32</t>
        </is>
      </c>
      <c r="C3900" t="inlineStr">
        <is>
          <t>but all looking 45 degrees
to the direction that they're moving.</t>
        </is>
      </c>
      <c r="D3900">
        <f>HYPERLINK("https://www.youtube.com/watch?v=2UZKME9WP9M&amp;t=512s", "Go to time")</f>
        <v/>
      </c>
    </row>
    <row r="3901">
      <c r="A3901">
        <f>HYPERLINK("https://www.youtube.com/watch?v=2UZKME9WP9M", "Video")</f>
        <v/>
      </c>
      <c r="B3901" t="inlineStr">
        <is>
          <t>8:36</t>
        </is>
      </c>
      <c r="C3901" t="inlineStr">
        <is>
          <t>Everybody's moving
in different directions,</t>
        </is>
      </c>
      <c r="D3901">
        <f>HYPERLINK("https://www.youtube.com/watch?v=2UZKME9WP9M&amp;t=516s", "Go to time")</f>
        <v/>
      </c>
    </row>
    <row r="3902">
      <c r="A3902">
        <f>HYPERLINK("https://www.youtube.com/watch?v=2UZKME9WP9M", "Video")</f>
        <v/>
      </c>
      <c r="B3902" t="inlineStr">
        <is>
          <t>8:38</t>
        </is>
      </c>
      <c r="C3902" t="inlineStr">
        <is>
          <t>everybody's looking
in different directions,</t>
        </is>
      </c>
      <c r="D3902">
        <f>HYPERLINK("https://www.youtube.com/watch?v=2UZKME9WP9M&amp;t=518s", "Go to time")</f>
        <v/>
      </c>
    </row>
    <row r="3903">
      <c r="A3903">
        <f>HYPERLINK("https://www.youtube.com/watch?v=2UZKME9WP9M", "Video")</f>
        <v/>
      </c>
      <c r="B3903" t="inlineStr">
        <is>
          <t>8:40</t>
        </is>
      </c>
      <c r="C3903" t="inlineStr">
        <is>
          <t>but they're all looking 45 degrees
to the direction of motion.</t>
        </is>
      </c>
      <c r="D3903">
        <f>HYPERLINK("https://www.youtube.com/watch?v=2UZKME9WP9M&amp;t=520s", "Go to time")</f>
        <v/>
      </c>
    </row>
    <row r="3904">
      <c r="A3904">
        <f>HYPERLINK("https://www.youtube.com/watch?v=2UZKME9WP9M", "Video")</f>
        <v/>
      </c>
      <c r="B3904" t="inlineStr">
        <is>
          <t>9:42</t>
        </is>
      </c>
      <c r="C3904" t="inlineStr">
        <is>
          <t>they are all actually lined up
in space in the same direction,</t>
        </is>
      </c>
      <c r="D3904">
        <f>HYPERLINK("https://www.youtube.com/watch?v=2UZKME9WP9M&amp;t=582s", "Go to time")</f>
        <v/>
      </c>
    </row>
    <row r="3905">
      <c r="A3905">
        <f>HYPERLINK("https://www.youtube.com/watch?v=2UZKME9WP9M", "Video")</f>
        <v/>
      </c>
      <c r="B3905" t="inlineStr">
        <is>
          <t>9:46</t>
        </is>
      </c>
      <c r="C3905" t="inlineStr">
        <is>
          <t>and they're all tilted in space
in the same direction.</t>
        </is>
      </c>
      <c r="D3905">
        <f>HYPERLINK("https://www.youtube.com/watch?v=2UZKME9WP9M&amp;t=586s", "Go to time")</f>
        <v/>
      </c>
    </row>
    <row r="3906">
      <c r="A3906">
        <f>HYPERLINK("https://www.youtube.com/watch?v=2UZKME9WP9M", "Video")</f>
        <v/>
      </c>
      <c r="B3906" t="inlineStr">
        <is>
          <t>9:49</t>
        </is>
      </c>
      <c r="C3906" t="inlineStr">
        <is>
          <t>It's as if all those people on the plaza
are all walking in the same direction</t>
        </is>
      </c>
      <c r="D3906">
        <f>HYPERLINK("https://www.youtube.com/watch?v=2UZKME9WP9M&amp;t=589s", "Go to time")</f>
        <v/>
      </c>
    </row>
    <row r="3907">
      <c r="A3907">
        <f>HYPERLINK("https://www.youtube.com/watch?v=2UZKME9WP9M", "Video")</f>
        <v/>
      </c>
      <c r="B3907" t="inlineStr">
        <is>
          <t>10:48</t>
        </is>
      </c>
      <c r="C3907" t="inlineStr">
        <is>
          <t>how it was kind of pulled away
from the Sun in one direction?</t>
        </is>
      </c>
      <c r="D3907">
        <f>HYPERLINK("https://www.youtube.com/watch?v=2UZKME9WP9M&amp;t=648s", "Go to time")</f>
        <v/>
      </c>
    </row>
    <row r="3908">
      <c r="A3908">
        <f>HYPERLINK("https://www.youtube.com/watch?v=YKufhUZRJ1E", "Video")</f>
        <v/>
      </c>
      <c r="B3908" t="inlineStr">
        <is>
          <t>7:20</t>
        </is>
      </c>
      <c r="C3908" t="inlineStr">
        <is>
          <t>It's constantly changing and we need
to decide which direction to go.</t>
        </is>
      </c>
      <c r="D3908">
        <f>HYPERLINK("https://www.youtube.com/watch?v=YKufhUZRJ1E&amp;t=440s", "Go to time")</f>
        <v/>
      </c>
    </row>
    <row r="3909">
      <c r="A3909">
        <f>HYPERLINK("https://www.youtube.com/watch?v=VJoQj00RZHg", "Video")</f>
        <v/>
      </c>
      <c r="B3909" t="inlineStr">
        <is>
          <t>2:44</t>
        </is>
      </c>
      <c r="C3909" t="inlineStr">
        <is>
          <t>no direct eye contact,</t>
        </is>
      </c>
      <c r="D3909">
        <f>HYPERLINK("https://www.youtube.com/watch?v=VJoQj00RZHg&amp;t=164s", "Go to time")</f>
        <v/>
      </c>
    </row>
    <row r="3910">
      <c r="A3910">
        <f>HYPERLINK("https://www.youtube.com/watch?v=UxQDG6WQT5s", "Video")</f>
        <v/>
      </c>
      <c r="B3910" t="inlineStr">
        <is>
          <t>4:40</t>
        </is>
      </c>
      <c r="C3910" t="inlineStr">
        <is>
          <t>to transform wind speed,
gust and direction</t>
        </is>
      </c>
      <c r="D3910">
        <f>HYPERLINK("https://www.youtube.com/watch?v=UxQDG6WQT5s&amp;t=280s", "Go to time")</f>
        <v/>
      </c>
    </row>
    <row r="3911">
      <c r="A3911">
        <f>HYPERLINK("https://www.youtube.com/watch?v=irXSdueKyOs", "Video")</f>
        <v/>
      </c>
      <c r="B3911" t="inlineStr">
        <is>
          <t>6:52</t>
        </is>
      </c>
      <c r="C3911" t="inlineStr">
        <is>
          <t>You change direction.</t>
        </is>
      </c>
      <c r="D3911">
        <f>HYPERLINK("https://www.youtube.com/watch?v=irXSdueKyOs&amp;t=412s", "Go to time")</f>
        <v/>
      </c>
    </row>
    <row r="3912">
      <c r="A3912">
        <f>HYPERLINK("https://www.youtube.com/watch?v=kTS1jJgXsfw", "Video")</f>
        <v/>
      </c>
      <c r="B3912" t="inlineStr">
        <is>
          <t>0:17</t>
        </is>
      </c>
      <c r="C3912" t="inlineStr">
        <is>
          <t>I completely lost my sense of direction.</t>
        </is>
      </c>
      <c r="D3912">
        <f>HYPERLINK("https://www.youtube.com/watch?v=kTS1jJgXsfw&amp;t=17s", "Go to time")</f>
        <v/>
      </c>
    </row>
    <row r="3913">
      <c r="A3913">
        <f>HYPERLINK("https://www.youtube.com/watch?v=Pl8OlkkwRpc", "Video")</f>
        <v/>
      </c>
      <c r="B3913" t="inlineStr">
        <is>
          <t>13:40</t>
        </is>
      </c>
      <c r="C3913" t="inlineStr">
        <is>
          <t>It went directly
to her mom's mobile device</t>
        </is>
      </c>
      <c r="D3913">
        <f>HYPERLINK("https://www.youtube.com/watch?v=Pl8OlkkwRpc&amp;t=820s", "Go to time")</f>
        <v/>
      </c>
    </row>
    <row r="3914">
      <c r="A3914">
        <f>HYPERLINK("https://www.youtube.com/watch?v=hHOX3dlhhZ0", "Video")</f>
        <v/>
      </c>
      <c r="B3914" t="inlineStr">
        <is>
          <t>1:50</t>
        </is>
      </c>
      <c r="C3914" t="inlineStr">
        <is>
          <t>You see, I grew up
in dire poverty in the inner city,</t>
        </is>
      </c>
      <c r="D3914">
        <f>HYPERLINK("https://www.youtube.com/watch?v=hHOX3dlhhZ0&amp;t=110s", "Go to time")</f>
        <v/>
      </c>
    </row>
    <row r="3915">
      <c r="A3915">
        <f>HYPERLINK("https://www.youtube.com/watch?v=3y5f2l5yM4c", "Video")</f>
        <v/>
      </c>
      <c r="B3915" t="inlineStr">
        <is>
          <t>2:57</t>
        </is>
      </c>
      <c r="C3915" t="inlineStr">
        <is>
          <t>Today, I'm the creative director</t>
        </is>
      </c>
      <c r="D3915">
        <f>HYPERLINK("https://www.youtube.com/watch?v=3y5f2l5yM4c&amp;t=177s", "Go to time")</f>
        <v/>
      </c>
    </row>
    <row r="3916">
      <c r="A3916">
        <f>HYPERLINK("https://www.youtube.com/watch?v=3y5f2l5yM4c", "Video")</f>
        <v/>
      </c>
      <c r="B3916" t="inlineStr">
        <is>
          <t>3:02</t>
        </is>
      </c>
      <c r="C3916" t="inlineStr">
        <is>
          <t>"Creative director" is a weird title</t>
        </is>
      </c>
      <c r="D3916">
        <f>HYPERLINK("https://www.youtube.com/watch?v=3y5f2l5yM4c&amp;t=182s", "Go to time")</f>
        <v/>
      </c>
    </row>
    <row r="3917">
      <c r="A3917">
        <f>HYPERLINK("https://www.youtube.com/watch?v=lRx8ocxmmDI", "Video")</f>
        <v/>
      </c>
      <c r="B3917" t="inlineStr">
        <is>
          <t>0:31</t>
        </is>
      </c>
      <c r="C3917" t="inlineStr">
        <is>
          <t>Even though my middle school
orchestra director</t>
        </is>
      </c>
      <c r="D3917">
        <f>HYPERLINK("https://www.youtube.com/watch?v=lRx8ocxmmDI&amp;t=31s", "Go to time")</f>
        <v/>
      </c>
    </row>
    <row r="3918">
      <c r="A3918">
        <f>HYPERLINK("https://www.youtube.com/watch?v=lRx8ocxmmDI", "Video")</f>
        <v/>
      </c>
      <c r="B3918" t="inlineStr">
        <is>
          <t>6:24</t>
        </is>
      </c>
      <c r="C3918" t="inlineStr">
        <is>
          <t>directly to those who would
benefit from them the most.</t>
        </is>
      </c>
      <c r="D3918">
        <f>HYPERLINK("https://www.youtube.com/watch?v=lRx8ocxmmDI&amp;t=384s", "Go to time")</f>
        <v/>
      </c>
    </row>
    <row r="3919">
      <c r="A3919">
        <f>HYPERLINK("https://www.youtube.com/watch?v=yuy9yQlFZAU", "Video")</f>
        <v/>
      </c>
      <c r="B3919" t="inlineStr">
        <is>
          <t>4:44</t>
        </is>
      </c>
      <c r="C3919" t="inlineStr">
        <is>
          <t>because we're all moving
in the same direction,</t>
        </is>
      </c>
      <c r="D3919">
        <f>HYPERLINK("https://www.youtube.com/watch?v=yuy9yQlFZAU&amp;t=284s", "Go to time")</f>
        <v/>
      </c>
    </row>
    <row r="3920">
      <c r="A3920">
        <f>HYPERLINK("https://www.youtube.com/watch?v=dzWRHi-Bmuk", "Video")</f>
        <v/>
      </c>
      <c r="B3920" t="inlineStr">
        <is>
          <t>4:07</t>
        </is>
      </c>
      <c r="C3920" t="inlineStr">
        <is>
          <t>Under the direction and encouragement
of their governments,</t>
        </is>
      </c>
      <c r="D3920">
        <f>HYPERLINK("https://www.youtube.com/watch?v=dzWRHi-Bmuk&amp;t=247s", "Go to time")</f>
        <v/>
      </c>
    </row>
    <row r="3921">
      <c r="A3921">
        <f>HYPERLINK("https://www.youtube.com/watch?v=dzWRHi-Bmuk", "Video")</f>
        <v/>
      </c>
      <c r="B3921" t="inlineStr">
        <is>
          <t>4:59</t>
        </is>
      </c>
      <c r="C3921" t="inlineStr">
        <is>
          <t>So was direct air capture,</t>
        </is>
      </c>
      <c r="D3921">
        <f>HYPERLINK("https://www.youtube.com/watch?v=dzWRHi-Bmuk&amp;t=299s", "Go to time")</f>
        <v/>
      </c>
    </row>
    <row r="3922">
      <c r="A3922">
        <f>HYPERLINK("https://www.youtube.com/watch?v=FrqBWQ-mVEc", "Video")</f>
        <v/>
      </c>
      <c r="B3922" t="inlineStr">
        <is>
          <t>9:03</t>
        </is>
      </c>
      <c r="C3922" t="inlineStr">
        <is>
          <t>So we can improve ourselves
in all directions.</t>
        </is>
      </c>
      <c r="D3922">
        <f>HYPERLINK("https://www.youtube.com/watch?v=FrqBWQ-mVEc&amp;t=543s", "Go to time")</f>
        <v/>
      </c>
    </row>
    <row r="3923">
      <c r="A3923">
        <f>HYPERLINK("https://www.youtube.com/watch?v=tt0HOe7gf7I", "Video")</f>
        <v/>
      </c>
      <c r="B3923" t="inlineStr">
        <is>
          <t>1:47</t>
        </is>
      </c>
      <c r="C3923" t="inlineStr">
        <is>
          <t>directed to addressing extreme poverty.</t>
        </is>
      </c>
      <c r="D3923">
        <f>HYPERLINK("https://www.youtube.com/watch?v=tt0HOe7gf7I&amp;t=107s", "Go to time")</f>
        <v/>
      </c>
    </row>
    <row r="3924">
      <c r="A3924">
        <f>HYPERLINK("https://www.youtube.com/watch?v=tt0HOe7gf7I", "Video")</f>
        <v/>
      </c>
      <c r="B3924" t="inlineStr">
        <is>
          <t>2:58</t>
        </is>
      </c>
      <c r="C3924" t="inlineStr">
        <is>
          <t>which was directed towards
trying to address poverty</t>
        </is>
      </c>
      <c r="D3924">
        <f>HYPERLINK("https://www.youtube.com/watch?v=tt0HOe7gf7I&amp;t=178s", "Go to time")</f>
        <v/>
      </c>
    </row>
    <row r="3925">
      <c r="A3925">
        <f>HYPERLINK("https://www.youtube.com/watch?v=tt0HOe7gf7I", "Video")</f>
        <v/>
      </c>
      <c r="B3925" t="inlineStr">
        <is>
          <t>10:14</t>
        </is>
      </c>
      <c r="C3925" t="inlineStr">
        <is>
          <t>and money can be directed
directly to their phone,</t>
        </is>
      </c>
      <c r="D3925">
        <f>HYPERLINK("https://www.youtube.com/watch?v=tt0HOe7gf7I&amp;t=614s", "Go to time")</f>
        <v/>
      </c>
    </row>
    <row r="3926">
      <c r="A3926">
        <f>HYPERLINK("https://www.youtube.com/watch?v=tt0HOe7gf7I", "Video")</f>
        <v/>
      </c>
      <c r="B3926" t="inlineStr">
        <is>
          <t>11:43</t>
        </is>
      </c>
      <c r="C3926" t="inlineStr">
        <is>
          <t>you can send 30 dollars a month
directly to someone in extreme poverty.</t>
        </is>
      </c>
      <c r="D3926">
        <f>HYPERLINK("https://www.youtube.com/watch?v=tt0HOe7gf7I&amp;t=703s", "Go to time")</f>
        <v/>
      </c>
    </row>
    <row r="3927">
      <c r="A3927">
        <f>HYPERLINK("https://www.youtube.com/watch?v=nz0cAjXVepg", "Video")</f>
        <v/>
      </c>
      <c r="B3927" t="inlineStr">
        <is>
          <t>1:36</t>
        </is>
      </c>
      <c r="C3927" t="inlineStr">
        <is>
          <t>The director had been embezzling
every cent donated to the orphanage,</t>
        </is>
      </c>
      <c r="D3927">
        <f>HYPERLINK("https://www.youtube.com/watch?v=nz0cAjXVepg&amp;t=96s", "Go to time")</f>
        <v/>
      </c>
    </row>
    <row r="3928">
      <c r="A3928">
        <f>HYPERLINK("https://www.youtube.com/watch?v=nz0cAjXVepg", "Video")</f>
        <v/>
      </c>
      <c r="B3928" t="inlineStr">
        <is>
          <t>1:51</t>
        </is>
      </c>
      <c r="C3928" t="inlineStr">
        <is>
          <t>that the director had been physically
and sexually abusing the kids.</t>
        </is>
      </c>
      <c r="D3928">
        <f>HYPERLINK("https://www.youtube.com/watch?v=nz0cAjXVepg&amp;t=111s", "Go to time")</f>
        <v/>
      </c>
    </row>
    <row r="3929">
      <c r="A3929">
        <f>HYPERLINK("https://www.youtube.com/watch?v=nz0cAjXVepg", "Video")</f>
        <v/>
      </c>
      <c r="B3929" t="inlineStr">
        <is>
          <t>12:32</t>
        </is>
      </c>
      <c r="C3929" t="inlineStr">
        <is>
          <t>By redirecting our support
and our donations</t>
        </is>
      </c>
      <c r="D3929">
        <f>HYPERLINK("https://www.youtube.com/watch?v=nz0cAjXVepg&amp;t=752s", "Go to time")</f>
        <v/>
      </c>
    </row>
    <row r="3930">
      <c r="A3930">
        <f>HYPERLINK("https://www.youtube.com/watch?v=3VTsIju1dLI", "Video")</f>
        <v/>
      </c>
      <c r="B3930" t="inlineStr">
        <is>
          <t>1:15</t>
        </is>
      </c>
      <c r="C3930" t="inlineStr">
        <is>
          <t>and then the director calls "Action!"</t>
        </is>
      </c>
      <c r="D3930">
        <f>HYPERLINK("https://www.youtube.com/watch?v=3VTsIju1dLI&amp;t=75s", "Go to time")</f>
        <v/>
      </c>
    </row>
    <row r="3931">
      <c r="A3931">
        <f>HYPERLINK("https://www.youtube.com/watch?v=BvpmZktlBFs", "Video")</f>
        <v/>
      </c>
      <c r="B3931" t="inlineStr">
        <is>
          <t>4:46</t>
        </is>
      </c>
      <c r="C3931" t="inlineStr">
        <is>
          <t>directly asking, "What is the cause
of mental illness?"</t>
        </is>
      </c>
      <c r="D3931">
        <f>HYPERLINK("https://www.youtube.com/watch?v=BvpmZktlBFs&amp;t=286s", "Go to time")</f>
        <v/>
      </c>
    </row>
    <row r="3932">
      <c r="A3932">
        <f>HYPERLINK("https://www.youtube.com/watch?v=eKkI6-HeWXo", "Video")</f>
        <v/>
      </c>
      <c r="B3932" t="inlineStr">
        <is>
          <t>11:19</t>
        </is>
      </c>
      <c r="C3932" t="inlineStr">
        <is>
          <t>go in the direction
that everything else is going,</t>
        </is>
      </c>
      <c r="D3932">
        <f>HYPERLINK("https://www.youtube.com/watch?v=eKkI6-HeWXo&amp;t=679s", "Go to time")</f>
        <v/>
      </c>
    </row>
    <row r="3933">
      <c r="A3933">
        <f>HYPERLINK("https://www.youtube.com/watch?v=opdCfb8cCFw", "Video")</f>
        <v/>
      </c>
      <c r="B3933" t="inlineStr">
        <is>
          <t>2:14</t>
        </is>
      </c>
      <c r="C3933" t="inlineStr">
        <is>
          <t>And she looked back at me directly,</t>
        </is>
      </c>
      <c r="D3933">
        <f>HYPERLINK("https://www.youtube.com/watch?v=opdCfb8cCFw&amp;t=134s", "Go to time")</f>
        <v/>
      </c>
    </row>
    <row r="3934">
      <c r="A3934">
        <f>HYPERLINK("https://www.youtube.com/watch?v=6djPLVa9aQ4", "Video")</f>
        <v/>
      </c>
      <c r="B3934" t="inlineStr">
        <is>
          <t>7:15</t>
        </is>
      </c>
      <c r="C3934" t="inlineStr">
        <is>
          <t>they can't follow directions,
they have short attention spans,</t>
        </is>
      </c>
      <c r="D3934">
        <f>HYPERLINK("https://www.youtube.com/watch?v=6djPLVa9aQ4&amp;t=435s", "Go to time")</f>
        <v/>
      </c>
    </row>
    <row r="3935">
      <c r="A3935">
        <f>HYPERLINK("https://www.youtube.com/watch?v=xgZC6da4mco", "Video")</f>
        <v/>
      </c>
      <c r="B3935" t="inlineStr">
        <is>
          <t>7:34</t>
        </is>
      </c>
      <c r="C3935" t="inlineStr">
        <is>
          <t>Direct conflict of interest.</t>
        </is>
      </c>
      <c r="D3935">
        <f>HYPERLINK("https://www.youtube.com/watch?v=xgZC6da4mco&amp;t=454s", "Go to time")</f>
        <v/>
      </c>
    </row>
    <row r="3936">
      <c r="A3936">
        <f>HYPERLINK("https://www.youtube.com/watch?v=xgZC6da4mco", "Video")</f>
        <v/>
      </c>
      <c r="B3936" t="inlineStr">
        <is>
          <t>9:15</t>
        </is>
      </c>
      <c r="C3936" t="inlineStr">
        <is>
          <t>Now the director general
of this year's COP,</t>
        </is>
      </c>
      <c r="D3936">
        <f>HYPERLINK("https://www.youtube.com/watch?v=xgZC6da4mco&amp;t=555s", "Go to time")</f>
        <v/>
      </c>
    </row>
    <row r="3937">
      <c r="A3937">
        <f>HYPERLINK("https://www.youtube.com/watch?v=xgZC6da4mco", "Video")</f>
        <v/>
      </c>
      <c r="B3937" t="inlineStr">
        <is>
          <t>13:49</t>
        </is>
      </c>
      <c r="C3937" t="inlineStr">
        <is>
          <t>Now it's called direct air capture.</t>
        </is>
      </c>
      <c r="D3937">
        <f>HYPERLINK("https://www.youtube.com/watch?v=xgZC6da4mco&amp;t=829s", "Go to time")</f>
        <v/>
      </c>
    </row>
    <row r="3938">
      <c r="A3938">
        <f>HYPERLINK("https://www.youtube.com/watch?v=xgZC6da4mco", "Video")</f>
        <v/>
      </c>
      <c r="B3938" t="inlineStr">
        <is>
          <t>15:52</t>
        </is>
      </c>
      <c r="C3938" t="inlineStr">
        <is>
          <t>The biggest obstacle to direct
air capture is probably physics.</t>
        </is>
      </c>
      <c r="D3938">
        <f>HYPERLINK("https://www.youtube.com/watch?v=xgZC6da4mco&amp;t=952s", "Go to time")</f>
        <v/>
      </c>
    </row>
    <row r="3939">
      <c r="A3939">
        <f>HYPERLINK("https://www.youtube.com/watch?v=xgZC6da4mco", "Video")</f>
        <v/>
      </c>
      <c r="B3939" t="inlineStr">
        <is>
          <t>18:59</t>
        </is>
      </c>
      <c r="C3939" t="inlineStr">
        <is>
          <t>I think they're driven by incentives
that push them in the opposite direction.</t>
        </is>
      </c>
      <c r="D3939">
        <f>HYPERLINK("https://www.youtube.com/watch?v=xgZC6da4mco&amp;t=1139s", "Go to time")</f>
        <v/>
      </c>
    </row>
    <row r="3940">
      <c r="A3940">
        <f>HYPERLINK("https://www.youtube.com/watch?v=xgZC6da4mco", "Video")</f>
        <v/>
      </c>
      <c r="B3940" t="inlineStr">
        <is>
          <t>21:46</t>
        </is>
      </c>
      <c r="C3940" t="inlineStr">
        <is>
          <t>Are we going in the right direction
or the wrong direction?</t>
        </is>
      </c>
      <c r="D3940">
        <f>HYPERLINK("https://www.youtube.com/watch?v=xgZC6da4mco&amp;t=1306s", "Go to time")</f>
        <v/>
      </c>
    </row>
    <row r="3941">
      <c r="A3941">
        <f>HYPERLINK("https://www.youtube.com/watch?v=SNHUu7YkNjA", "Video")</f>
        <v/>
      </c>
      <c r="B3941" t="inlineStr">
        <is>
          <t>3:17</t>
        </is>
      </c>
      <c r="C3941" t="inlineStr">
        <is>
          <t>guide and direct our ability to do</t>
        </is>
      </c>
      <c r="D3941">
        <f>HYPERLINK("https://www.youtube.com/watch?v=SNHUu7YkNjA&amp;t=197s", "Go to time")</f>
        <v/>
      </c>
    </row>
    <row r="3942">
      <c r="A3942">
        <f>HYPERLINK("https://www.youtube.com/watch?v=yJX1Te0jey0", "Video")</f>
        <v/>
      </c>
      <c r="B3942" t="inlineStr">
        <is>
          <t>1:38</t>
        </is>
      </c>
      <c r="C3942" t="inlineStr">
        <is>
          <t>we could directly help
to cut our annual emissions.</t>
        </is>
      </c>
      <c r="D3942">
        <f>HYPERLINK("https://www.youtube.com/watch?v=yJX1Te0jey0&amp;t=98s", "Go to time")</f>
        <v/>
      </c>
    </row>
    <row r="3943">
      <c r="A3943">
        <f>HYPERLINK("https://www.youtube.com/watch?v=yJX1Te0jey0", "Video")</f>
        <v/>
      </c>
      <c r="B3943" t="inlineStr">
        <is>
          <t>1:41</t>
        </is>
      </c>
      <c r="C3943" t="inlineStr">
        <is>
          <t>And if we could start to tip the balance
in the other direction,</t>
        </is>
      </c>
      <c r="D3943">
        <f>HYPERLINK("https://www.youtube.com/watch?v=yJX1Te0jey0&amp;t=101s", "Go to time")</f>
        <v/>
      </c>
    </row>
    <row r="3944">
      <c r="A3944">
        <f>HYPERLINK("https://www.youtube.com/watch?v=N0vRIqeoefs", "Video")</f>
        <v/>
      </c>
      <c r="B3944" t="inlineStr">
        <is>
          <t>0:35</t>
        </is>
      </c>
      <c r="C3944" t="inlineStr">
        <is>
          <t>I graduated from university
to become a theater director,</t>
        </is>
      </c>
      <c r="D3944">
        <f>HYPERLINK("https://www.youtube.com/watch?v=N0vRIqeoefs&amp;t=35s", "Go to time")</f>
        <v/>
      </c>
    </row>
    <row r="3945">
      <c r="A3945">
        <f>HYPERLINK("https://www.youtube.com/watch?v=N0vRIqeoefs", "Video")</f>
        <v/>
      </c>
      <c r="B3945" t="inlineStr">
        <is>
          <t>8:52</t>
        </is>
      </c>
      <c r="C3945" t="inlineStr">
        <is>
          <t>wanting desperately
to be a theater director,</t>
        </is>
      </c>
      <c r="D3945">
        <f>HYPERLINK("https://www.youtube.com/watch?v=N0vRIqeoefs&amp;t=532s", "Go to time")</f>
        <v/>
      </c>
    </row>
    <row r="3946">
      <c r="A3946">
        <f>HYPERLINK("https://www.youtube.com/watch?v=N0vRIqeoefs", "Video")</f>
        <v/>
      </c>
      <c r="B3946" t="inlineStr">
        <is>
          <t>8:58</t>
        </is>
      </c>
      <c r="C3946" t="inlineStr">
        <is>
          <t>"Well, there are three women
directors in Britain," he said, "Jude."</t>
        </is>
      </c>
      <c r="D3946">
        <f>HYPERLINK("https://www.youtube.com/watch?v=N0vRIqeoefs&amp;t=538s", "Go to time")</f>
        <v/>
      </c>
    </row>
    <row r="3947">
      <c r="A3947">
        <f>HYPERLINK("https://www.youtube.com/watch?v=N0vRIqeoefs", "Video")</f>
        <v/>
      </c>
      <c r="B3947" t="inlineStr">
        <is>
          <t>9:20</t>
        </is>
      </c>
      <c r="C3947" t="inlineStr">
        <is>
          <t>He thought it was silly
that I wanted to be a director.</t>
        </is>
      </c>
      <c r="D3947">
        <f>HYPERLINK("https://www.youtube.com/watch?v=N0vRIqeoefs&amp;t=560s", "Go to time")</f>
        <v/>
      </c>
    </row>
    <row r="3948">
      <c r="A3948">
        <f>HYPERLINK("https://www.youtube.com/watch?v=cXbXNV9-ZAg", "Video")</f>
        <v/>
      </c>
      <c r="B3948" t="inlineStr">
        <is>
          <t>10:17</t>
        </is>
      </c>
      <c r="C3948" t="inlineStr">
        <is>
          <t>If you don't know about "Spirited Away"
and its director, Hayao Miyazaki,</t>
        </is>
      </c>
      <c r="D3948">
        <f>HYPERLINK("https://www.youtube.com/watch?v=cXbXNV9-ZAg&amp;t=617s", "Go to time")</f>
        <v/>
      </c>
    </row>
    <row r="3949">
      <c r="A3949">
        <f>HYPERLINK("https://www.youtube.com/watch?v=xjvTIP7pV20", "Video")</f>
        <v/>
      </c>
      <c r="B3949" t="inlineStr">
        <is>
          <t>9:46</t>
        </is>
      </c>
      <c r="C3949" t="inlineStr">
        <is>
          <t>A lot of this is directed
at language arts,</t>
        </is>
      </c>
      <c r="D3949">
        <f>HYPERLINK("https://www.youtube.com/watch?v=xjvTIP7pV20&amp;t=586s", "Go to time")</f>
        <v/>
      </c>
    </row>
    <row r="3950">
      <c r="A3950">
        <f>HYPERLINK("https://www.youtube.com/watch?v=pOdIn86ZM1E", "Video")</f>
        <v/>
      </c>
      <c r="B3950" t="inlineStr">
        <is>
          <t>1:21</t>
        </is>
      </c>
      <c r="C3950" t="inlineStr">
        <is>
          <t>Aerosols directly scatter
sunlight back to space,</t>
        </is>
      </c>
      <c r="D3950">
        <f>HYPERLINK("https://www.youtube.com/watch?v=pOdIn86ZM1E&amp;t=81s", "Go to time")</f>
        <v/>
      </c>
    </row>
    <row r="3951">
      <c r="A3951">
        <f>HYPERLINK("https://www.youtube.com/watch?v=pOdIn86ZM1E", "Video")</f>
        <v/>
      </c>
      <c r="B3951" t="inlineStr">
        <is>
          <t>10:51</t>
        </is>
      </c>
      <c r="C3951" t="inlineStr">
        <is>
          <t>Their direct engagement in this research
is absolutely critical</t>
        </is>
      </c>
      <c r="D3951">
        <f>HYPERLINK("https://www.youtube.com/watch?v=pOdIn86ZM1E&amp;t=651s", "Go to time")</f>
        <v/>
      </c>
    </row>
    <row r="3952">
      <c r="A3952">
        <f>HYPERLINK("https://www.youtube.com/watch?v=P7vnspDNx7g", "Video")</f>
        <v/>
      </c>
      <c r="B3952" t="inlineStr">
        <is>
          <t>7:46</t>
        </is>
      </c>
      <c r="C3952" t="inlineStr">
        <is>
          <t>and instead target the information
in the brain directly.</t>
        </is>
      </c>
      <c r="D3952">
        <f>HYPERLINK("https://www.youtube.com/watch?v=P7vnspDNx7g&amp;t=466s", "Go to time")</f>
        <v/>
      </c>
    </row>
    <row r="3953">
      <c r="A3953">
        <f>HYPERLINK("https://www.youtube.com/watch?v=Rw7TWQ-Rt2Q", "Video")</f>
        <v/>
      </c>
      <c r="B3953" t="inlineStr">
        <is>
          <t>2:13</t>
        </is>
      </c>
      <c r="C3953" t="inlineStr">
        <is>
          <t>that will point you
in the right direction,</t>
        </is>
      </c>
      <c r="D3953">
        <f>HYPERLINK("https://www.youtube.com/watch?v=Rw7TWQ-Rt2Q&amp;t=133s", "Go to time")</f>
        <v/>
      </c>
    </row>
    <row r="3954">
      <c r="A3954">
        <f>HYPERLINK("https://www.youtube.com/watch?v=UL95OYBRbOc", "Video")</f>
        <v/>
      </c>
      <c r="B3954" t="inlineStr">
        <is>
          <t>1:44</t>
        </is>
      </c>
      <c r="C3954" t="inlineStr">
        <is>
          <t>the director of education,
Christian Cotz --</t>
        </is>
      </c>
      <c r="D3954">
        <f>HYPERLINK("https://www.youtube.com/watch?v=UL95OYBRbOc&amp;t=104s", "Go to time")</f>
        <v/>
      </c>
    </row>
    <row r="3955">
      <c r="A3955">
        <f>HYPERLINK("https://www.youtube.com/watch?v=UL95OYBRbOc", "Video")</f>
        <v/>
      </c>
      <c r="B3955" t="inlineStr">
        <is>
          <t>11:25</t>
        </is>
      </c>
      <c r="C3955" t="inlineStr">
        <is>
          <t>By confronting hard history directly.</t>
        </is>
      </c>
      <c r="D3955">
        <f>HYPERLINK("https://www.youtube.com/watch?v=UL95OYBRbOc&amp;t=685s", "Go to time")</f>
        <v/>
      </c>
    </row>
    <row r="3956">
      <c r="A3956">
        <f>HYPERLINK("https://www.youtube.com/watch?v=qKJv4S5peJQ", "Video")</f>
        <v/>
      </c>
      <c r="B3956" t="inlineStr">
        <is>
          <t>0:17</t>
        </is>
      </c>
      <c r="C3956" t="inlineStr">
        <is>
          <t>It's because our attention is pulled
in so many different directions at a time,</t>
        </is>
      </c>
      <c r="D3956">
        <f>HYPERLINK("https://www.youtube.com/watch?v=qKJv4S5peJQ&amp;t=17s", "Go to time")</f>
        <v/>
      </c>
    </row>
    <row r="3957">
      <c r="A3957">
        <f>HYPERLINK("https://www.youtube.com/watch?v=qKJv4S5peJQ", "Video")</f>
        <v/>
      </c>
      <c r="B3957" t="inlineStr">
        <is>
          <t>0:38</t>
        </is>
      </c>
      <c r="C3957" t="inlineStr">
        <is>
          <t>There are two ways
you direct your attention.</t>
        </is>
      </c>
      <c r="D3957">
        <f>HYPERLINK("https://www.youtube.com/watch?v=qKJv4S5peJQ&amp;t=38s", "Go to time")</f>
        <v/>
      </c>
    </row>
    <row r="3958">
      <c r="A3958">
        <f>HYPERLINK("https://www.youtube.com/watch?v=qKJv4S5peJQ", "Video")</f>
        <v/>
      </c>
      <c r="B3958" t="inlineStr">
        <is>
          <t>1:02</t>
        </is>
      </c>
      <c r="C3958" t="inlineStr">
        <is>
          <t>Your overt attention,
your direction of the eyes,</t>
        </is>
      </c>
      <c r="D3958">
        <f>HYPERLINK("https://www.youtube.com/watch?v=qKJv4S5peJQ&amp;t=62s", "Go to time")</f>
        <v/>
      </c>
    </row>
    <row r="3959">
      <c r="A3959">
        <f>HYPERLINK("https://www.youtube.com/watch?v=qKJv4S5peJQ", "Video")</f>
        <v/>
      </c>
      <c r="B3959" t="inlineStr">
        <is>
          <t>2:59</t>
        </is>
      </c>
      <c r="C3959" t="inlineStr">
        <is>
          <t>I asked people to look directly
in one of the squares</t>
        </is>
      </c>
      <c r="D3959">
        <f>HYPERLINK("https://www.youtube.com/watch?v=qKJv4S5peJQ&amp;t=179s", "Go to time")</f>
        <v/>
      </c>
    </row>
    <row r="3960">
      <c r="A3960">
        <f>HYPERLINK("https://www.youtube.com/watch?v=kuT7zWZEwl0", "Video")</f>
        <v/>
      </c>
      <c r="B3960" t="inlineStr">
        <is>
          <t>0:53</t>
        </is>
      </c>
      <c r="C3960" t="inlineStr">
        <is>
          <t>I heard shots from one direction.</t>
        </is>
      </c>
      <c r="D3960">
        <f>HYPERLINK("https://www.youtube.com/watch?v=kuT7zWZEwl0&amp;t=53s", "Go to time")</f>
        <v/>
      </c>
    </row>
    <row r="3961">
      <c r="A3961">
        <f>HYPERLINK("https://www.youtube.com/watch?v=kuT7zWZEwl0", "Video")</f>
        <v/>
      </c>
      <c r="B3961" t="inlineStr">
        <is>
          <t>0:56</t>
        </is>
      </c>
      <c r="C3961" t="inlineStr">
        <is>
          <t>Luckily, we were already
moving in the opposite direction.</t>
        </is>
      </c>
      <c r="D3961">
        <f>HYPERLINK("https://www.youtube.com/watch?v=kuT7zWZEwl0&amp;t=56s", "Go to time")</f>
        <v/>
      </c>
    </row>
    <row r="3962">
      <c r="A3962">
        <f>HYPERLINK("https://www.youtube.com/watch?v=kuT7zWZEwl0", "Video")</f>
        <v/>
      </c>
      <c r="B3962" t="inlineStr">
        <is>
          <t>8:37</t>
        </is>
      </c>
      <c r="C3962" t="inlineStr">
        <is>
          <t>that they had no direct liability
for how their products were used.</t>
        </is>
      </c>
      <c r="D3962">
        <f>HYPERLINK("https://www.youtube.com/watch?v=kuT7zWZEwl0&amp;t=517s", "Go to time")</f>
        <v/>
      </c>
    </row>
    <row r="3963">
      <c r="A3963">
        <f>HYPERLINK("https://www.youtube.com/watch?v=b28brIs1OmM", "Video")</f>
        <v/>
      </c>
      <c r="B3963" t="inlineStr">
        <is>
          <t>1:10</t>
        </is>
      </c>
      <c r="C3963" t="inlineStr">
        <is>
          <t>and director of operations
for the Lebanese Airlines</t>
        </is>
      </c>
      <c r="D3963">
        <f>HYPERLINK("https://www.youtube.com/watch?v=b28brIs1OmM&amp;t=70s", "Go to time")</f>
        <v/>
      </c>
    </row>
    <row r="3964">
      <c r="A3964">
        <f>HYPERLINK("https://www.youtube.com/watch?v=8IGZ_M0OOmA", "Video")</f>
        <v/>
      </c>
      <c r="B3964" t="inlineStr">
        <is>
          <t>24:16</t>
        </is>
      </c>
      <c r="C3964" t="inlineStr">
        <is>
          <t>It is a choice to change
the direction that we have been going.</t>
        </is>
      </c>
      <c r="D3964">
        <f>HYPERLINK("https://www.youtube.com/watch?v=8IGZ_M0OOmA&amp;t=1456s", "Go to time")</f>
        <v/>
      </c>
    </row>
    <row r="3965">
      <c r="A3965">
        <f>HYPERLINK("https://www.youtube.com/watch?v=8IGZ_M0OOmA", "Video")</f>
        <v/>
      </c>
      <c r="B3965" t="inlineStr">
        <is>
          <t>26:26</t>
        </is>
      </c>
      <c r="C3965" t="inlineStr">
        <is>
          <t>Anthony Romero is the executive director</t>
        </is>
      </c>
      <c r="D3965">
        <f>HYPERLINK("https://www.youtube.com/watch?v=8IGZ_M0OOmA&amp;t=1586s", "Go to time")</f>
        <v/>
      </c>
    </row>
    <row r="3966">
      <c r="A3966">
        <f>HYPERLINK("https://www.youtube.com/watch?v=8IGZ_M0OOmA", "Video")</f>
        <v/>
      </c>
      <c r="B3966" t="inlineStr">
        <is>
          <t>63:28</t>
        </is>
      </c>
      <c r="C3966" t="inlineStr">
        <is>
          <t>I would direct you to LCCHR's website
for the eight pillars,</t>
        </is>
      </c>
      <c r="D3966">
        <f>HYPERLINK("https://www.youtube.com/watch?v=8IGZ_M0OOmA&amp;t=3808s", "Go to time")</f>
        <v/>
      </c>
    </row>
    <row r="3967">
      <c r="A3967">
        <f>HYPERLINK("https://www.youtube.com/watch?v=8IGZ_M0OOmA", "Video")</f>
        <v/>
      </c>
      <c r="B3967" t="inlineStr">
        <is>
          <t>64:34</t>
        </is>
      </c>
      <c r="C3967" t="inlineStr">
        <is>
          <t>that can be spent and directed</t>
        </is>
      </c>
      <c r="D3967">
        <f>HYPERLINK("https://www.youtube.com/watch?v=8IGZ_M0OOmA&amp;t=3874s", "Go to time")</f>
        <v/>
      </c>
    </row>
    <row r="3968">
      <c r="A3968">
        <f>HYPERLINK("https://www.youtube.com/watch?v=dcsrHfPDP2M", "Video")</f>
        <v/>
      </c>
      <c r="B3968" t="inlineStr">
        <is>
          <t>12:30</t>
        </is>
      </c>
      <c r="C3968" t="inlineStr">
        <is>
          <t>We have a directory of artists
throughout the UK</t>
        </is>
      </c>
      <c r="D3968">
        <f>HYPERLINK("https://www.youtube.com/watch?v=dcsrHfPDP2M&amp;t=750s", "Go to time")</f>
        <v/>
      </c>
    </row>
    <row r="3969">
      <c r="A3969">
        <f>HYPERLINK("https://www.youtube.com/watch?v=Ji4sq73W7BM", "Video")</f>
        <v/>
      </c>
      <c r="B3969" t="inlineStr">
        <is>
          <t>9:48</t>
        </is>
      </c>
      <c r="C3969" t="inlineStr">
        <is>
          <t>that came directly from the Middle East.</t>
        </is>
      </c>
      <c r="D3969">
        <f>HYPERLINK("https://www.youtube.com/watch?v=Ji4sq73W7BM&amp;t=588s", "Go to time")</f>
        <v/>
      </c>
    </row>
    <row r="3970">
      <c r="A3970">
        <f>HYPERLINK("https://www.youtube.com/watch?v=RIpz9GiEAyc", "Video")</f>
        <v/>
      </c>
      <c r="B3970" t="inlineStr">
        <is>
          <t>5:04</t>
        </is>
      </c>
      <c r="C3970" t="inlineStr">
        <is>
          <t>we can direct our attention,
our resources, our dollars</t>
        </is>
      </c>
      <c r="D3970">
        <f>HYPERLINK("https://www.youtube.com/watch?v=RIpz9GiEAyc&amp;t=304s", "Go to time")</f>
        <v/>
      </c>
    </row>
    <row r="3971">
      <c r="A3971">
        <f>HYPERLINK("https://www.youtube.com/watch?v=RIpz9GiEAyc", "Video")</f>
        <v/>
      </c>
      <c r="B3971" t="inlineStr">
        <is>
          <t>12:05</t>
        </is>
      </c>
      <c r="C3971" t="inlineStr">
        <is>
          <t>that by directing our attention
to the people doing the good stuff,</t>
        </is>
      </c>
      <c r="D3971">
        <f>HYPERLINK("https://www.youtube.com/watch?v=RIpz9GiEAyc&amp;t=725s", "Go to time")</f>
        <v/>
      </c>
    </row>
    <row r="3972">
      <c r="A3972">
        <f>HYPERLINK("https://www.youtube.com/watch?v=4zLmWpMDY8Q", "Video")</f>
        <v/>
      </c>
      <c r="B3972" t="inlineStr">
        <is>
          <t>7:27</t>
        </is>
      </c>
      <c r="C3972" t="inlineStr">
        <is>
          <t>there's a direct link between
increased artificial light at night</t>
        </is>
      </c>
      <c r="D3972">
        <f>HYPERLINK("https://www.youtube.com/watch?v=4zLmWpMDY8Q&amp;t=447s", "Go to time")</f>
        <v/>
      </c>
    </row>
    <row r="3973">
      <c r="A3973">
        <f>HYPERLINK("https://www.youtube.com/watch?v=oNBvC25bxQU", "Video")</f>
        <v/>
      </c>
      <c r="B3973" t="inlineStr">
        <is>
          <t>7:37</t>
        </is>
      </c>
      <c r="C3973" t="inlineStr">
        <is>
          <t>It's supposed to direct our behavior
and help us avoid danger,</t>
        </is>
      </c>
      <c r="D3973">
        <f>HYPERLINK("https://www.youtube.com/watch?v=oNBvC25bxQU&amp;t=457s", "Go to time")</f>
        <v/>
      </c>
    </row>
    <row r="3974">
      <c r="A3974">
        <f>HYPERLINK("https://www.youtube.com/watch?v=oNBvC25bxQU", "Video")</f>
        <v/>
      </c>
      <c r="B3974" t="inlineStr">
        <is>
          <t>22:11</t>
        </is>
      </c>
      <c r="C3974" t="inlineStr">
        <is>
          <t>And again, to go back to the metaphor
of the monk walking directly into China,</t>
        </is>
      </c>
      <c r="D3974">
        <f>HYPERLINK("https://www.youtube.com/watch?v=oNBvC25bxQU&amp;t=1331s", "Go to time")</f>
        <v/>
      </c>
    </row>
    <row r="3975">
      <c r="A3975">
        <f>HYPERLINK("https://www.youtube.com/watch?v=wmE8dQcZgB4", "Video")</f>
        <v/>
      </c>
      <c r="B3975" t="inlineStr">
        <is>
          <t>10:10</t>
        </is>
      </c>
      <c r="C3975" t="inlineStr">
        <is>
          <t>we'll refund the subscription amount
directly into the child's bank account.</t>
        </is>
      </c>
      <c r="D3975">
        <f>HYPERLINK("https://www.youtube.com/watch?v=wmE8dQcZgB4&amp;t=610s", "Go to time")</f>
        <v/>
      </c>
    </row>
    <row r="3976">
      <c r="A3976">
        <f>HYPERLINK("https://www.youtube.com/watch?v=5z_krRwSyt8", "Video")</f>
        <v/>
      </c>
      <c r="B3976" t="inlineStr">
        <is>
          <t>1:06</t>
        </is>
      </c>
      <c r="C3976" t="inlineStr">
        <is>
          <t>is stretching the universe out
in every direction,</t>
        </is>
      </c>
      <c r="D3976">
        <f>HYPERLINK("https://www.youtube.com/watch?v=5z_krRwSyt8&amp;t=66s", "Go to time")</f>
        <v/>
      </c>
    </row>
    <row r="3977">
      <c r="A3977">
        <f>HYPERLINK("https://www.youtube.com/watch?v=5z_krRwSyt8", "Video")</f>
        <v/>
      </c>
      <c r="B3977" t="inlineStr">
        <is>
          <t>8:38</t>
        </is>
      </c>
      <c r="C3977" t="inlineStr">
        <is>
          <t>is directly defined by all the particles
and forces in the universe</t>
        </is>
      </c>
      <c r="D3977">
        <f>HYPERLINK("https://www.youtube.com/watch?v=5z_krRwSyt8&amp;t=518s", "Go to time")</f>
        <v/>
      </c>
    </row>
    <row r="3978">
      <c r="A3978">
        <f>HYPERLINK("https://www.youtube.com/watch?v=K926HAKRFvw", "Video")</f>
        <v/>
      </c>
      <c r="B3978" t="inlineStr">
        <is>
          <t>6:52</t>
        </is>
      </c>
      <c r="C3978" t="inlineStr">
        <is>
          <t>So what you see here
is almost a direct comparison</t>
        </is>
      </c>
      <c r="D3978">
        <f>HYPERLINK("https://www.youtube.com/watch?v=K926HAKRFvw&amp;t=412s", "Go to time")</f>
        <v/>
      </c>
    </row>
    <row r="3979">
      <c r="A3979">
        <f>HYPERLINK("https://www.youtube.com/watch?v=JWRqI2ZRHWQ", "Video")</f>
        <v/>
      </c>
      <c r="B3979" t="inlineStr">
        <is>
          <t>24:03</t>
        </is>
      </c>
      <c r="C3979" t="inlineStr">
        <is>
          <t>direction</t>
        </is>
      </c>
      <c r="D3979">
        <f>HYPERLINK("https://www.youtube.com/watch?v=JWRqI2ZRHWQ&amp;t=1443s", "Go to time")</f>
        <v/>
      </c>
    </row>
    <row r="3980">
      <c r="A3980">
        <f>HYPERLINK("https://www.youtube.com/watch?v=i_1_J-T-XYQ", "Video")</f>
        <v/>
      </c>
      <c r="B3980" t="inlineStr">
        <is>
          <t>35:27</t>
        </is>
      </c>
      <c r="C3980" t="inlineStr">
        <is>
          <t>very dire straits if we can find</t>
        </is>
      </c>
      <c r="D3980">
        <f>HYPERLINK("https://www.youtube.com/watch?v=i_1_J-T-XYQ&amp;t=2127s", "Go to time")</f>
        <v/>
      </c>
    </row>
    <row r="3981">
      <c r="A3981">
        <f>HYPERLINK("https://www.youtube.com/watch?v=i_1_J-T-XYQ", "Video")</f>
        <v/>
      </c>
      <c r="B3981" t="inlineStr">
        <is>
          <t>49:03</t>
        </is>
      </c>
      <c r="C3981" t="inlineStr">
        <is>
          <t>difficult and dire time and and again</t>
        </is>
      </c>
      <c r="D3981">
        <f>HYPERLINK("https://www.youtube.com/watch?v=i_1_J-T-XYQ&amp;t=2943s", "Go to time")</f>
        <v/>
      </c>
    </row>
    <row r="3982">
      <c r="A3982">
        <f>HYPERLINK("https://www.youtube.com/watch?v=sNQfoYm3WI0", "Video")</f>
        <v/>
      </c>
      <c r="B3982" t="inlineStr">
        <is>
          <t>10:43</t>
        </is>
      </c>
      <c r="C3982" t="inlineStr">
        <is>
          <t>has a healthy marine system
directive for 2020.</t>
        </is>
      </c>
      <c r="D3982">
        <f>HYPERLINK("https://www.youtube.com/watch?v=sNQfoYm3WI0&amp;t=643s", "Go to time")</f>
        <v/>
      </c>
    </row>
    <row r="3983">
      <c r="A3983">
        <f>HYPERLINK("https://www.youtube.com/watch?v=rAhyvSk9cF0", "Video")</f>
        <v/>
      </c>
      <c r="B3983" t="inlineStr">
        <is>
          <t>7:58</t>
        </is>
      </c>
      <c r="C3983" t="inlineStr">
        <is>
          <t>who speaks directly to sea creatures
and the water itself.</t>
        </is>
      </c>
      <c r="D3983">
        <f>HYPERLINK("https://www.youtube.com/watch?v=rAhyvSk9cF0&amp;t=478s", "Go to time")</f>
        <v/>
      </c>
    </row>
    <row r="3984">
      <c r="A3984">
        <f>HYPERLINK("https://www.youtube.com/watch?v=MIA_1xQc7x8", "Video")</f>
        <v/>
      </c>
      <c r="B3984" t="inlineStr">
        <is>
          <t>9:11</t>
        </is>
      </c>
      <c r="C3984" t="inlineStr">
        <is>
          <t>onto a common direction of travel</t>
        </is>
      </c>
      <c r="D3984">
        <f>HYPERLINK("https://www.youtube.com/watch?v=MIA_1xQc7x8&amp;t=551s", "Go to time")</f>
        <v/>
      </c>
    </row>
    <row r="3985">
      <c r="A3985">
        <f>HYPERLINK("https://www.youtube.com/watch?v=MIA_1xQc7x8", "Video")</f>
        <v/>
      </c>
      <c r="B3985" t="inlineStr">
        <is>
          <t>11:44</t>
        </is>
      </c>
      <c r="C3985" t="inlineStr">
        <is>
          <t>And it wasn't just those
who had participated directly.</t>
        </is>
      </c>
      <c r="D3985">
        <f>HYPERLINK("https://www.youtube.com/watch?v=MIA_1xQc7x8&amp;t=704s", "Go to time")</f>
        <v/>
      </c>
    </row>
    <row r="3986">
      <c r="A3986">
        <f>HYPERLINK("https://www.youtube.com/watch?v=ORthzIOEf30", "Video")</f>
        <v/>
      </c>
      <c r="B3986" t="inlineStr">
        <is>
          <t>9:38</t>
        </is>
      </c>
      <c r="C3986" t="inlineStr">
        <is>
          <t>others have evolved
in the opposite direction,</t>
        </is>
      </c>
      <c r="D3986">
        <f>HYPERLINK("https://www.youtube.com/watch?v=ORthzIOEf30&amp;t=578s", "Go to time")</f>
        <v/>
      </c>
    </row>
    <row r="3987">
      <c r="A3987">
        <f>HYPERLINK("https://www.youtube.com/watch?v=4GpNYaDkBcs", "Video")</f>
        <v/>
      </c>
      <c r="B3987" t="inlineStr">
        <is>
          <t>1:03</t>
        </is>
      </c>
      <c r="C3987" t="inlineStr">
        <is>
          <t>but they were built for a world
where communication was one-directional</t>
        </is>
      </c>
      <c r="D3987">
        <f>HYPERLINK("https://www.youtube.com/watch?v=4GpNYaDkBcs&amp;t=63s", "Go to time")</f>
        <v/>
      </c>
    </row>
    <row r="3988">
      <c r="A3988">
        <f>HYPERLINK("https://www.youtube.com/watch?v=AI7M-JTC6_w", "Video")</f>
        <v/>
      </c>
      <c r="B3988" t="inlineStr">
        <is>
          <t>7:44</t>
        </is>
      </c>
      <c r="C3988" t="inlineStr">
        <is>
          <t>that can bend in every direction
and also elongate.</t>
        </is>
      </c>
      <c r="D3988">
        <f>HYPERLINK("https://www.youtube.com/watch?v=AI7M-JTC6_w&amp;t=464s", "Go to time")</f>
        <v/>
      </c>
    </row>
    <row r="3989">
      <c r="A3989">
        <f>HYPERLINK("https://www.youtube.com/watch?v=rcBu29r6nJM", "Video")</f>
        <v/>
      </c>
      <c r="B3989" t="inlineStr">
        <is>
          <t>3:50</t>
        </is>
      </c>
      <c r="C3989" t="inlineStr">
        <is>
          <t>This means direct emissions
from facilities,</t>
        </is>
      </c>
      <c r="D3989">
        <f>HYPERLINK("https://www.youtube.com/watch?v=rcBu29r6nJM&amp;t=230s", "Go to time")</f>
        <v/>
      </c>
    </row>
    <row r="3990">
      <c r="A3990">
        <f>HYPERLINK("https://www.youtube.com/watch?v=rcBu29r6nJM", "Video")</f>
        <v/>
      </c>
      <c r="B3990" t="inlineStr">
        <is>
          <t>4:13</t>
        </is>
      </c>
      <c r="C3990" t="inlineStr">
        <is>
          <t>because it comes from outside
its direct scope of activity.</t>
        </is>
      </c>
      <c r="D3990">
        <f>HYPERLINK("https://www.youtube.com/watch?v=rcBu29r6nJM&amp;t=253s", "Go to time")</f>
        <v/>
      </c>
    </row>
    <row r="3991">
      <c r="A3991">
        <f>HYPERLINK("https://www.youtube.com/watch?v=rcBu29r6nJM", "Video")</f>
        <v/>
      </c>
      <c r="B3991" t="inlineStr">
        <is>
          <t>8:20</t>
        </is>
      </c>
      <c r="C3991" t="inlineStr">
        <is>
          <t>like direct measurements,</t>
        </is>
      </c>
      <c r="D3991">
        <f>HYPERLINK("https://www.youtube.com/watch?v=rcBu29r6nJM&amp;t=500s", "Go to time")</f>
        <v/>
      </c>
    </row>
    <row r="3992">
      <c r="A3992">
        <f>HYPERLINK("https://www.youtube.com/watch?v=hJP5GqnTrNo", "Video")</f>
        <v/>
      </c>
      <c r="B3992" t="inlineStr">
        <is>
          <t>8:42</t>
        </is>
      </c>
      <c r="C3992" t="inlineStr">
        <is>
          <t>Now to even more directly
hit this use case.</t>
        </is>
      </c>
      <c r="D3992">
        <f>HYPERLINK("https://www.youtube.com/watch?v=hJP5GqnTrNo&amp;t=522s", "Go to time")</f>
        <v/>
      </c>
    </row>
    <row r="3993">
      <c r="A3993">
        <f>HYPERLINK("https://www.youtube.com/watch?v=hJP5GqnTrNo", "Video")</f>
        <v/>
      </c>
      <c r="B3993" t="inlineStr">
        <is>
          <t>8:57</t>
        </is>
      </c>
      <c r="C3993" t="inlineStr">
        <is>
          <t>but this is to directly use AI,
use generative AI,</t>
        </is>
      </c>
      <c r="D3993">
        <f>HYPERLINK("https://www.youtube.com/watch?v=hJP5GqnTrNo&amp;t=537s", "Go to time")</f>
        <v/>
      </c>
    </row>
    <row r="3994">
      <c r="A3994">
        <f>HYPERLINK("https://www.youtube.com/watch?v=WJo98LfIfEA", "Video")</f>
        <v/>
      </c>
      <c r="B3994" t="inlineStr">
        <is>
          <t>18:13</t>
        </is>
      </c>
      <c r="C3994" t="inlineStr">
        <is>
          <t>in redirecting their pain
into something more constructive?</t>
        </is>
      </c>
      <c r="D3994">
        <f>HYPERLINK("https://www.youtube.com/watch?v=WJo98LfIfEA&amp;t=1093s", "Go to time")</f>
        <v/>
      </c>
    </row>
    <row r="3995">
      <c r="A3995">
        <f>HYPERLINK("https://www.youtube.com/watch?v=9w0PL2_-oAE", "Video")</f>
        <v/>
      </c>
      <c r="B3995" t="inlineStr">
        <is>
          <t>8:50</t>
        </is>
      </c>
      <c r="C3995" t="inlineStr">
        <is>
          <t>that direction</t>
        </is>
      </c>
      <c r="D3995">
        <f>HYPERLINK("https://www.youtube.com/watch?v=9w0PL2_-oAE&amp;t=530s", "Go to time")</f>
        <v/>
      </c>
    </row>
    <row r="3996">
      <c r="A3996">
        <f>HYPERLINK("https://www.youtube.com/watch?v=9w0PL2_-oAE", "Video")</f>
        <v/>
      </c>
      <c r="B3996" t="inlineStr">
        <is>
          <t>46:51</t>
        </is>
      </c>
      <c r="C3996" t="inlineStr">
        <is>
          <t>like the dutch are very direct and you</t>
        </is>
      </c>
      <c r="D3996">
        <f>HYPERLINK("https://www.youtube.com/watch?v=9w0PL2_-oAE&amp;t=2811s", "Go to time")</f>
        <v/>
      </c>
    </row>
    <row r="3997">
      <c r="A3997">
        <f>HYPERLINK("https://www.youtube.com/watch?v=9w0PL2_-oAE", "Video")</f>
        <v/>
      </c>
      <c r="B3997" t="inlineStr">
        <is>
          <t>47:12</t>
        </is>
      </c>
      <c r="C3997" t="inlineStr">
        <is>
          <t>this and it's like no you weren't direct</t>
        </is>
      </c>
      <c r="D3997">
        <f>HYPERLINK("https://www.youtube.com/watch?v=9w0PL2_-oAE&amp;t=2832s", "Go to time")</f>
        <v/>
      </c>
    </row>
    <row r="3998">
      <c r="A3998">
        <f>HYPERLINK("https://www.youtube.com/watch?v=9w0PL2_-oAE", "Video")</f>
        <v/>
      </c>
      <c r="B3998" t="inlineStr">
        <is>
          <t>47:14</t>
        </is>
      </c>
      <c r="C3998" t="inlineStr">
        <is>
          <t>because we're so direct and the</t>
        </is>
      </c>
      <c r="D3998">
        <f>HYPERLINK("https://www.youtube.com/watch?v=9w0PL2_-oAE&amp;t=2834s", "Go to time")</f>
        <v/>
      </c>
    </row>
    <row r="3999">
      <c r="A3999">
        <f>HYPERLINK("https://www.youtube.com/watch?v=9w0PL2_-oAE", "Video")</f>
        <v/>
      </c>
      <c r="B3999" t="inlineStr">
        <is>
          <t>54:52</t>
        </is>
      </c>
      <c r="C3999" t="inlineStr">
        <is>
          <t>we going in the right direction going</t>
        </is>
      </c>
      <c r="D3999">
        <f>HYPERLINK("https://www.youtube.com/watch?v=9w0PL2_-oAE&amp;t=3292s", "Go to time")</f>
        <v/>
      </c>
    </row>
    <row r="4000">
      <c r="A4000">
        <f>HYPERLINK("https://www.youtube.com/watch?v=dd1IeIHA0S8", "Video")</f>
        <v/>
      </c>
      <c r="B4000" t="inlineStr">
        <is>
          <t>1:07</t>
        </is>
      </c>
      <c r="C4000" t="inlineStr">
        <is>
          <t>it's changing directions
in midair with acute angles,</t>
        </is>
      </c>
      <c r="D4000">
        <f>HYPERLINK("https://www.youtube.com/watch?v=dd1IeIHA0S8&amp;t=67s", "Go to time")</f>
        <v/>
      </c>
    </row>
    <row r="4001">
      <c r="A4001">
        <f>HYPERLINK("https://www.youtube.com/watch?v=wQmBsbt9blg", "Video")</f>
        <v/>
      </c>
      <c r="B4001" t="inlineStr">
        <is>
          <t>2:43</t>
        </is>
      </c>
      <c r="C4001" t="inlineStr">
        <is>
          <t>have found that they are interested
in developing direct relations,</t>
        </is>
      </c>
      <c r="D4001">
        <f>HYPERLINK("https://www.youtube.com/watch?v=wQmBsbt9blg&amp;t=163s", "Go to time")</f>
        <v/>
      </c>
    </row>
    <row r="4002">
      <c r="A4002">
        <f>HYPERLINK("https://www.youtube.com/watch?v=wQmBsbt9blg", "Video")</f>
        <v/>
      </c>
      <c r="B4002" t="inlineStr">
        <is>
          <t>3:08</t>
        </is>
      </c>
      <c r="C4002" t="inlineStr">
        <is>
          <t>Bahrain and Morocco all directly
established diplomatic relations</t>
        </is>
      </c>
      <c r="D4002">
        <f>HYPERLINK("https://www.youtube.com/watch?v=wQmBsbt9blg&amp;t=188s", "Go to time")</f>
        <v/>
      </c>
    </row>
    <row r="4003">
      <c r="A4003">
        <f>HYPERLINK("https://www.youtube.com/watch?v=wQmBsbt9blg", "Video")</f>
        <v/>
      </c>
      <c r="B4003" t="inlineStr">
        <is>
          <t>11:22</t>
        </is>
      </c>
      <c r="C4003" t="inlineStr">
        <is>
          <t>And they may well have direct American
support in trying to accomplish that.</t>
        </is>
      </c>
      <c r="D4003">
        <f>HYPERLINK("https://www.youtube.com/watch?v=wQmBsbt9blg&amp;t=682s", "Go to time")</f>
        <v/>
      </c>
    </row>
    <row r="4004">
      <c r="A4004">
        <f>HYPERLINK("https://www.youtube.com/watch?v=wQmBsbt9blg", "Video")</f>
        <v/>
      </c>
      <c r="B4004" t="inlineStr">
        <is>
          <t>13:05</t>
        </is>
      </c>
      <c r="C4004" t="inlineStr">
        <is>
          <t>or whether those are direct incursions,</t>
        </is>
      </c>
      <c r="D4004">
        <f>HYPERLINK("https://www.youtube.com/watch?v=wQmBsbt9blg&amp;t=785s", "Go to time")</f>
        <v/>
      </c>
    </row>
    <row r="4005">
      <c r="A4005">
        <f>HYPERLINK("https://www.youtube.com/watch?v=wQmBsbt9blg", "Video")</f>
        <v/>
      </c>
      <c r="B4005" t="inlineStr">
        <is>
          <t>28:41</t>
        </is>
      </c>
      <c r="C4005" t="inlineStr">
        <is>
          <t>that fingers Iran
as having directly orchestrated</t>
        </is>
      </c>
      <c r="D4005">
        <f>HYPERLINK("https://www.youtube.com/watch?v=wQmBsbt9blg&amp;t=1721s", "Go to time")</f>
        <v/>
      </c>
    </row>
    <row r="4006">
      <c r="A4006">
        <f>HYPERLINK("https://www.youtube.com/watch?v=wQmBsbt9blg", "Video")</f>
        <v/>
      </c>
      <c r="B4006" t="inlineStr">
        <is>
          <t>29:01</t>
        </is>
      </c>
      <c r="C4006" t="inlineStr">
        <is>
          <t>and provided military support
directly for Hamas.</t>
        </is>
      </c>
      <c r="D4006">
        <f>HYPERLINK("https://www.youtube.com/watch?v=wQmBsbt9blg&amp;t=1741s", "Go to time")</f>
        <v/>
      </c>
    </row>
    <row r="4007">
      <c r="A4007">
        <f>HYPERLINK("https://www.youtube.com/watch?v=wQmBsbt9blg", "Video")</f>
        <v/>
      </c>
      <c r="B4007" t="inlineStr">
        <is>
          <t>29:33</t>
        </is>
      </c>
      <c r="C4007" t="inlineStr">
        <is>
          <t>and gets a lot of direct military support
and training from the Iranians,</t>
        </is>
      </c>
      <c r="D4007">
        <f>HYPERLINK("https://www.youtube.com/watch?v=wQmBsbt9blg&amp;t=1773s", "Go to time")</f>
        <v/>
      </c>
    </row>
    <row r="4008">
      <c r="A4008">
        <f>HYPERLINK("https://www.youtube.com/watch?v=wQmBsbt9blg", "Video")</f>
        <v/>
      </c>
      <c r="B4008" t="inlineStr">
        <is>
          <t>31:28</t>
        </is>
      </c>
      <c r="C4008" t="inlineStr">
        <is>
          <t>that the Iranians might be willing
to engage directly</t>
        </is>
      </c>
      <c r="D4008">
        <f>HYPERLINK("https://www.youtube.com/watch?v=wQmBsbt9blg&amp;t=1888s", "Go to time")</f>
        <v/>
      </c>
    </row>
    <row r="4009">
      <c r="A4009">
        <f>HYPERLINK("https://www.youtube.com/watch?v=wQmBsbt9blg", "Video")</f>
        <v/>
      </c>
      <c r="B4009" t="inlineStr">
        <is>
          <t>32:14</t>
        </is>
      </c>
      <c r="C4009" t="inlineStr">
        <is>
          <t>that the Iranians directly ordered this.</t>
        </is>
      </c>
      <c r="D4009">
        <f>HYPERLINK("https://www.youtube.com/watch?v=wQmBsbt9blg&amp;t=1934s", "Go to time")</f>
        <v/>
      </c>
    </row>
    <row r="4010">
      <c r="A4010">
        <f>HYPERLINK("https://www.youtube.com/watch?v=wQmBsbt9blg", "Video")</f>
        <v/>
      </c>
      <c r="B4010" t="inlineStr">
        <is>
          <t>42:00</t>
        </is>
      </c>
      <c r="C4010" t="inlineStr">
        <is>
          <t>But clearly people
that are writing me directly,</t>
        </is>
      </c>
      <c r="D4010">
        <f>HYPERLINK("https://www.youtube.com/watch?v=wQmBsbt9blg&amp;t=2520s", "Go to time")</f>
        <v/>
      </c>
    </row>
    <row r="4011">
      <c r="A4011">
        <f>HYPERLINK("https://www.youtube.com/watch?v=wQmBsbt9blg", "Video")</f>
        <v/>
      </c>
      <c r="B4011" t="inlineStr">
        <is>
          <t>45:50</t>
        </is>
      </c>
      <c r="C4011" t="inlineStr">
        <is>
          <t>marching orders from one direct leader.</t>
        </is>
      </c>
      <c r="D4011">
        <f>HYPERLINK("https://www.youtube.com/watch?v=wQmBsbt9blg&amp;t=2750s", "Go to time")</f>
        <v/>
      </c>
    </row>
    <row r="4012">
      <c r="A4012">
        <f>HYPERLINK("https://www.youtube.com/watch?v=srhCnPUmJDI", "Video")</f>
        <v/>
      </c>
      <c r="B4012" t="inlineStr">
        <is>
          <t>8:40</t>
        </is>
      </c>
      <c r="C4012" t="inlineStr">
        <is>
          <t>but we're trending in the right direction.</t>
        </is>
      </c>
      <c r="D4012">
        <f>HYPERLINK("https://www.youtube.com/watch?v=srhCnPUmJDI&amp;t=520s", "Go to time")</f>
        <v/>
      </c>
    </row>
    <row r="4013">
      <c r="A4013">
        <f>HYPERLINK("https://www.youtube.com/watch?v=xiwIvp7aKRk", "Video")</f>
        <v/>
      </c>
      <c r="B4013" t="inlineStr">
        <is>
          <t>3:15</t>
        </is>
      </c>
      <c r="C4013" t="inlineStr">
        <is>
          <t>And the present does not move
in one direction.</t>
        </is>
      </c>
      <c r="D4013">
        <f>HYPERLINK("https://www.youtube.com/watch?v=xiwIvp7aKRk&amp;t=195s", "Go to time")</f>
        <v/>
      </c>
    </row>
    <row r="4014">
      <c r="A4014">
        <f>HYPERLINK("https://www.youtube.com/watch?v=RB0zvhRZu-0", "Video")</f>
        <v/>
      </c>
      <c r="B4014" t="inlineStr">
        <is>
          <t>4:16</t>
        </is>
      </c>
      <c r="C4014" t="inlineStr">
        <is>
          <t>This includes development
of direct air capture sorbents</t>
        </is>
      </c>
      <c r="D4014">
        <f>HYPERLINK("https://www.youtube.com/watch?v=RB0zvhRZu-0&amp;t=256s", "Go to time")</f>
        <v/>
      </c>
    </row>
    <row r="4015">
      <c r="A4015">
        <f>HYPERLINK("https://www.youtube.com/watch?v=8goi3AD4RWo", "Video")</f>
        <v/>
      </c>
      <c r="B4015" t="inlineStr">
        <is>
          <t>4:39</t>
        </is>
      </c>
      <c r="C4015" t="inlineStr">
        <is>
          <t>Look for moments when you can give
partial direction, empower someone</t>
        </is>
      </c>
      <c r="D4015">
        <f>HYPERLINK("https://www.youtube.com/watch?v=8goi3AD4RWo&amp;t=279s", "Go to time")</f>
        <v/>
      </c>
    </row>
    <row r="4016">
      <c r="A4016">
        <f>HYPERLINK("https://www.youtube.com/watch?v=YW1-7OFolJg", "Video")</f>
        <v/>
      </c>
      <c r="B4016" t="inlineStr">
        <is>
          <t>8:10</t>
        </is>
      </c>
      <c r="C4016" t="inlineStr">
        <is>
          <t>in a direction to reduce
overheating of the snails.</t>
        </is>
      </c>
      <c r="D4016">
        <f>HYPERLINK("https://www.youtube.com/watch?v=YW1-7OFolJg&amp;t=490s", "Go to time")</f>
        <v/>
      </c>
    </row>
    <row r="4017">
      <c r="A4017">
        <f>HYPERLINK("https://www.youtube.com/watch?v=JrjjOGI6YB4", "Video")</f>
        <v/>
      </c>
      <c r="B4017" t="inlineStr">
        <is>
          <t>16:20</t>
        </is>
      </c>
      <c r="C4017" t="inlineStr">
        <is>
          <t>with multidirectional cameras.</t>
        </is>
      </c>
      <c r="D4017">
        <f>HYPERLINK("https://www.youtube.com/watch?v=JrjjOGI6YB4&amp;t=980s", "Go to time")</f>
        <v/>
      </c>
    </row>
    <row r="4018">
      <c r="A4018">
        <f>HYPERLINK("https://www.youtube.com/watch?v=xnfEBUI_YTE", "Video")</f>
        <v/>
      </c>
      <c r="B4018" t="inlineStr">
        <is>
          <t>2:36</t>
        </is>
      </c>
      <c r="C4018" t="inlineStr">
        <is>
          <t>who are the direct
descendants of dinosaurs,</t>
        </is>
      </c>
      <c r="D4018">
        <f>HYPERLINK("https://www.youtube.com/watch?v=xnfEBUI_YTE&amp;t=156s", "Go to time")</f>
        <v/>
      </c>
    </row>
    <row r="4019">
      <c r="A4019">
        <f>HYPERLINK("https://www.youtube.com/watch?v=xnfEBUI_YTE", "Video")</f>
        <v/>
      </c>
      <c r="B4019" t="inlineStr">
        <is>
          <t>3:51</t>
        </is>
      </c>
      <c r="C4019" t="inlineStr">
        <is>
          <t>This is where the top surface of the lungs
comes into direct contact</t>
        </is>
      </c>
      <c r="D4019">
        <f>HYPERLINK("https://www.youtube.com/watch?v=xnfEBUI_YTE&amp;t=231s", "Go to time")</f>
        <v/>
      </c>
    </row>
    <row r="4020">
      <c r="A4020">
        <f>HYPERLINK("https://www.youtube.com/watch?v=xnfEBUI_YTE", "Video")</f>
        <v/>
      </c>
      <c r="B4020" t="inlineStr">
        <is>
          <t>5:30</t>
        </is>
      </c>
      <c r="C4020" t="inlineStr">
        <is>
          <t>It is then unidirectionally ventilated</t>
        </is>
      </c>
      <c r="D4020">
        <f>HYPERLINK("https://www.youtube.com/watch?v=xnfEBUI_YTE&amp;t=330s", "Go to time")</f>
        <v/>
      </c>
    </row>
    <row r="4021">
      <c r="A4021">
        <f>HYPERLINK("https://www.youtube.com/watch?v=vWJwa7lntTs", "Video")</f>
        <v/>
      </c>
      <c r="B4021" t="inlineStr">
        <is>
          <t>6:13</t>
        </is>
      </c>
      <c r="C4021" t="inlineStr">
        <is>
          <t>I added more ideas
and I helped direct scenes.</t>
        </is>
      </c>
      <c r="D4021">
        <f>HYPERLINK("https://www.youtube.com/watch?v=vWJwa7lntTs&amp;t=373s", "Go to time")</f>
        <v/>
      </c>
    </row>
    <row r="4022">
      <c r="A4022">
        <f>HYPERLINK("https://www.youtube.com/watch?v=oIAQcvewgTg", "Video")</f>
        <v/>
      </c>
      <c r="B4022" t="inlineStr">
        <is>
          <t>4:04</t>
        </is>
      </c>
      <c r="C4022" t="inlineStr">
        <is>
          <t>that in Michigan we had
a form of direct democracy,</t>
        </is>
      </c>
      <c r="D4022">
        <f>HYPERLINK("https://www.youtube.com/watch?v=oIAQcvewgTg&amp;t=244s", "Go to time")</f>
        <v/>
      </c>
    </row>
    <row r="4023">
      <c r="A4023">
        <f>HYPERLINK("https://www.youtube.com/watch?v=C6mNITMY7e0", "Video")</f>
        <v/>
      </c>
      <c r="B4023" t="inlineStr">
        <is>
          <t>7:08</t>
        </is>
      </c>
      <c r="C4023" t="inlineStr">
        <is>
          <t>to provide strategic direction,</t>
        </is>
      </c>
      <c r="D4023">
        <f>HYPERLINK("https://www.youtube.com/watch?v=C6mNITMY7e0&amp;t=428s", "Go to time")</f>
        <v/>
      </c>
    </row>
    <row r="4024">
      <c r="A4024">
        <f>HYPERLINK("https://www.youtube.com/watch?v=_vCIktrORFU", "Video")</f>
        <v/>
      </c>
      <c r="B4024" t="inlineStr">
        <is>
          <t>5:44</t>
        </is>
      </c>
      <c r="C4024" t="inlineStr">
        <is>
          <t>or just plain breathing
in the wrong direction on a windy day.</t>
        </is>
      </c>
      <c r="D4024">
        <f>HYPERLINK("https://www.youtube.com/watch?v=_vCIktrORFU&amp;t=344s", "Go to time")</f>
        <v/>
      </c>
    </row>
    <row r="4025">
      <c r="A4025">
        <f>HYPERLINK("https://www.youtube.com/watch?v=dQYfflJ4V5Q", "Video")</f>
        <v/>
      </c>
      <c r="B4025" t="inlineStr">
        <is>
          <t>3:59</t>
        </is>
      </c>
      <c r="C4025" t="inlineStr">
        <is>
          <t>all the direct emissions
from your fleets and your factories</t>
        </is>
      </c>
      <c r="D4025">
        <f>HYPERLINK("https://www.youtube.com/watch?v=dQYfflJ4V5Q&amp;t=239s", "Go to time")</f>
        <v/>
      </c>
    </row>
    <row r="4026">
      <c r="A4026">
        <f>HYPERLINK("https://www.youtube.com/watch?v=dQYfflJ4V5Q", "Video")</f>
        <v/>
      </c>
      <c r="B4026" t="inlineStr">
        <is>
          <t>4:27</t>
        </is>
      </c>
      <c r="C4026" t="inlineStr">
        <is>
          <t>This is all the indirect emissions
from how people use your products</t>
        </is>
      </c>
      <c r="D4026">
        <f>HYPERLINK("https://www.youtube.com/watch?v=dQYfflJ4V5Q&amp;t=267s", "Go to time")</f>
        <v/>
      </c>
    </row>
    <row r="4027">
      <c r="A4027">
        <f>HYPERLINK("https://www.youtube.com/watch?v=7INMrxpc7nw", "Video")</f>
        <v/>
      </c>
      <c r="B4027" t="inlineStr">
        <is>
          <t>2:51</t>
        </is>
      </c>
      <c r="C4027" t="inlineStr">
        <is>
          <t>A lot of these things wouldn't be part
of our direct carbon emissions,</t>
        </is>
      </c>
      <c r="D4027">
        <f>HYPERLINK("https://www.youtube.com/watch?v=7INMrxpc7nw&amp;t=171s", "Go to time")</f>
        <v/>
      </c>
    </row>
    <row r="4028">
      <c r="A4028">
        <f>HYPERLINK("https://www.youtube.com/watch?v=83R0ZaRKF90", "Video")</f>
        <v/>
      </c>
      <c r="B4028" t="inlineStr">
        <is>
          <t>6:34</t>
        </is>
      </c>
      <c r="C4028" t="inlineStr">
        <is>
          <t>Think about the last time
you gave directions to a stranger.</t>
        </is>
      </c>
      <c r="D4028">
        <f>HYPERLINK("https://www.youtube.com/watch?v=83R0ZaRKF90&amp;t=394s", "Go to time")</f>
        <v/>
      </c>
    </row>
    <row r="4029">
      <c r="A4029">
        <f>HYPERLINK("https://www.youtube.com/watch?v=83R0ZaRKF90", "Video")</f>
        <v/>
      </c>
      <c r="B4029" t="inlineStr">
        <is>
          <t>6:40</t>
        </is>
      </c>
      <c r="C4029" t="inlineStr">
        <is>
          <t>we're giving directions to millions.</t>
        </is>
      </c>
      <c r="D4029">
        <f>HYPERLINK("https://www.youtube.com/watch?v=83R0ZaRKF90&amp;t=400s", "Go to time")</f>
        <v/>
      </c>
    </row>
    <row r="4030">
      <c r="A4030">
        <f>HYPERLINK("https://www.youtube.com/watch?v=6G3UIrqiFLw", "Video")</f>
        <v/>
      </c>
      <c r="B4030" t="inlineStr">
        <is>
          <t>1:49</t>
        </is>
      </c>
      <c r="C4030" t="inlineStr">
        <is>
          <t>in beta-amyloid
directly in the brain itself.</t>
        </is>
      </c>
      <c r="D4030">
        <f>HYPERLINK("https://www.youtube.com/watch?v=6G3UIrqiFLw&amp;t=109s", "Go to time")</f>
        <v/>
      </c>
    </row>
    <row r="4031">
      <c r="A4031">
        <f>HYPERLINK("https://www.youtube.com/watch?v=k0Fx6igxRv8", "Video")</f>
        <v/>
      </c>
      <c r="B4031" t="inlineStr">
        <is>
          <t>13:07</t>
        </is>
      </c>
      <c r="C4031" t="inlineStr">
        <is>
          <t>Not directly, not militarily.</t>
        </is>
      </c>
      <c r="D4031">
        <f>HYPERLINK("https://www.youtube.com/watch?v=k0Fx6igxRv8&amp;t=787s", "Go to time")</f>
        <v/>
      </c>
    </row>
    <row r="4032">
      <c r="A4032">
        <f>HYPERLINK("https://www.youtube.com/watch?v=k0Fx6igxRv8", "Video")</f>
        <v/>
      </c>
      <c r="B4032" t="inlineStr">
        <is>
          <t>16:22</t>
        </is>
      </c>
      <c r="C4032" t="inlineStr">
        <is>
          <t>So they are not as affected directly
by a cut-off from Russia.</t>
        </is>
      </c>
      <c r="D4032">
        <f>HYPERLINK("https://www.youtube.com/watch?v=k0Fx6igxRv8&amp;t=982s", "Go to time")</f>
        <v/>
      </c>
    </row>
    <row r="4033">
      <c r="A4033">
        <f>HYPERLINK("https://www.youtube.com/watch?v=k0Fx6igxRv8", "Video")</f>
        <v/>
      </c>
      <c r="B4033" t="inlineStr">
        <is>
          <t>16:51</t>
        </is>
      </c>
      <c r="C4033" t="inlineStr">
        <is>
          <t>that the Americans will not want
to engage in direct diplomacy,</t>
        </is>
      </c>
      <c r="D4033">
        <f>HYPERLINK("https://www.youtube.com/watch?v=k0Fx6igxRv8&amp;t=1011s", "Go to time")</f>
        <v/>
      </c>
    </row>
    <row r="4034">
      <c r="A4034">
        <f>HYPERLINK("https://www.youtube.com/watch?v=k0Fx6igxRv8", "Video")</f>
        <v/>
      </c>
      <c r="B4034" t="inlineStr">
        <is>
          <t>17:39</t>
        </is>
      </c>
      <c r="C4034" t="inlineStr">
        <is>
          <t>it doesn't affect the Americans as much
in terms of a direct security issue.</t>
        </is>
      </c>
      <c r="D4034">
        <f>HYPERLINK("https://www.youtube.com/watch?v=k0Fx6igxRv8&amp;t=1059s", "Go to time")</f>
        <v/>
      </c>
    </row>
    <row r="4035">
      <c r="A4035">
        <f>HYPERLINK("https://www.youtube.com/watch?v=k0Fx6igxRv8", "Video")</f>
        <v/>
      </c>
      <c r="B4035" t="inlineStr">
        <is>
          <t>22:22</t>
        </is>
      </c>
      <c r="C4035" t="inlineStr">
        <is>
          <t>And the IMF provided a lot of relief
in special drawing rights and direct aid</t>
        </is>
      </c>
      <c r="D4035">
        <f>HYPERLINK("https://www.youtube.com/watch?v=k0Fx6igxRv8&amp;t=1342s", "Go to time")</f>
        <v/>
      </c>
    </row>
    <row r="4036">
      <c r="A4036">
        <f>HYPERLINK("https://www.youtube.com/watch?v=k0Fx6igxRv8", "Video")</f>
        <v/>
      </c>
      <c r="B4036" t="inlineStr">
        <is>
          <t>23:16</t>
        </is>
      </c>
      <c r="C4036" t="inlineStr">
        <is>
          <t>a direct consequence of the end
of the peace dividend more structurally.</t>
        </is>
      </c>
      <c r="D4036">
        <f>HYPERLINK("https://www.youtube.com/watch?v=k0Fx6igxRv8&amp;t=1396s", "Go to time")</f>
        <v/>
      </c>
    </row>
    <row r="4037">
      <c r="A4037">
        <f>HYPERLINK("https://www.youtube.com/watch?v=k0Fx6igxRv8", "Video")</f>
        <v/>
      </c>
      <c r="B4037" t="inlineStr">
        <is>
          <t>32:41</t>
        </is>
      </c>
      <c r="C4037" t="inlineStr">
        <is>
          <t>unless he is told
directly to from Beijing.</t>
        </is>
      </c>
      <c r="D4037">
        <f>HYPERLINK("https://www.youtube.com/watch?v=k0Fx6igxRv8&amp;t=1961s", "Go to time")</f>
        <v/>
      </c>
    </row>
    <row r="4038">
      <c r="A4038">
        <f>HYPERLINK("https://www.youtube.com/watch?v=k0Fx6igxRv8", "Video")</f>
        <v/>
      </c>
      <c r="B4038" t="inlineStr">
        <is>
          <t>37:44</t>
        </is>
      </c>
      <c r="C4038" t="inlineStr">
        <is>
          <t>I mean, he and his direct reports
have rattled nuclear sabers</t>
        </is>
      </c>
      <c r="D4038">
        <f>HYPERLINK("https://www.youtube.com/watch?v=k0Fx6igxRv8&amp;t=2264s", "Go to time")</f>
        <v/>
      </c>
    </row>
    <row r="4039">
      <c r="A4039">
        <f>HYPERLINK("https://www.youtube.com/watch?v=k0Fx6igxRv8", "Video")</f>
        <v/>
      </c>
      <c r="B4039" t="inlineStr">
        <is>
          <t>43:01</t>
        </is>
      </c>
      <c r="C4039" t="inlineStr">
        <is>
          <t>in the United States and Europe
that will resist direct decoupling.</t>
        </is>
      </c>
      <c r="D4039">
        <f>HYPERLINK("https://www.youtube.com/watch?v=k0Fx6igxRv8&amp;t=2581s", "Go to time")</f>
        <v/>
      </c>
    </row>
    <row r="4040">
      <c r="A4040">
        <f>HYPERLINK("https://www.youtube.com/watch?v=j_GzkjHtFiA", "Video")</f>
        <v/>
      </c>
      <c r="B4040" t="inlineStr">
        <is>
          <t>8:50</t>
        </is>
      </c>
      <c r="C4040" t="inlineStr">
        <is>
          <t>but there's no direct radio contact
with, for example, the Curiosity rover.</t>
        </is>
      </c>
      <c r="D4040">
        <f>HYPERLINK("https://www.youtube.com/watch?v=j_GzkjHtFiA&amp;t=530s", "Go to time")</f>
        <v/>
      </c>
    </row>
    <row r="4041">
      <c r="A4041">
        <f>HYPERLINK("https://www.youtube.com/watch?v=fw01_q0cxM8", "Video")</f>
        <v/>
      </c>
      <c r="B4041" t="inlineStr">
        <is>
          <t>4:12</t>
        </is>
      </c>
      <c r="C4041" t="inlineStr">
        <is>
          <t>of the direction of travel
in our global economy,</t>
        </is>
      </c>
      <c r="D4041">
        <f>HYPERLINK("https://www.youtube.com/watch?v=fw01_q0cxM8&amp;t=252s", "Go to time")</f>
        <v/>
      </c>
    </row>
    <row r="4042">
      <c r="A4042">
        <f>HYPERLINK("https://www.youtube.com/watch?v=fw01_q0cxM8", "Video")</f>
        <v/>
      </c>
      <c r="B4042" t="inlineStr">
        <is>
          <t>6:18</t>
        </is>
      </c>
      <c r="C4042" t="inlineStr">
        <is>
          <t>it's not just the direct impacts,</t>
        </is>
      </c>
      <c r="D4042">
        <f>HYPERLINK("https://www.youtube.com/watch?v=fw01_q0cxM8&amp;t=378s", "Go to time")</f>
        <v/>
      </c>
    </row>
    <row r="4043">
      <c r="A4043">
        <f>HYPERLINK("https://www.youtube.com/watch?v=fw01_q0cxM8", "Video")</f>
        <v/>
      </c>
      <c r="B4043" t="inlineStr">
        <is>
          <t>6:20</t>
        </is>
      </c>
      <c r="C4043" t="inlineStr">
        <is>
          <t>but also some indirect impacts.</t>
        </is>
      </c>
      <c r="D4043">
        <f>HYPERLINK("https://www.youtube.com/watch?v=fw01_q0cxM8&amp;t=380s", "Go to time")</f>
        <v/>
      </c>
    </row>
    <row r="4044">
      <c r="A4044">
        <f>HYPERLINK("https://www.youtube.com/watch?v=Tu01sNfs5SQ", "Video")</f>
        <v/>
      </c>
      <c r="B4044" t="inlineStr">
        <is>
          <t>3:35</t>
        </is>
      </c>
      <c r="C4044" t="inlineStr">
        <is>
          <t>is not to target them directly</t>
        </is>
      </c>
      <c r="D4044">
        <f>HYPERLINK("https://www.youtube.com/watch?v=Tu01sNfs5SQ&amp;t=215s", "Go to time")</f>
        <v/>
      </c>
    </row>
    <row r="4045">
      <c r="A4045">
        <f>HYPERLINK("https://www.youtube.com/watch?v=Tu01sNfs5SQ", "Video")</f>
        <v/>
      </c>
      <c r="B4045" t="inlineStr">
        <is>
          <t>7:12</t>
        </is>
      </c>
      <c r="C4045" t="inlineStr">
        <is>
          <t>that directly affect people's health --</t>
        </is>
      </c>
      <c r="D4045">
        <f>HYPERLINK("https://www.youtube.com/watch?v=Tu01sNfs5SQ&amp;t=432s", "Go to time")</f>
        <v/>
      </c>
    </row>
    <row r="4046">
      <c r="A4046">
        <f>HYPERLINK("https://www.youtube.com/watch?v=Dn1nYrnsmr4", "Video")</f>
        <v/>
      </c>
      <c r="B4046" t="inlineStr">
        <is>
          <t>16:53</t>
        </is>
      </c>
      <c r="C4046" t="inlineStr">
        <is>
          <t>be a natural diversity in that direction</t>
        </is>
      </c>
      <c r="D4046">
        <f>HYPERLINK("https://www.youtube.com/watch?v=Dn1nYrnsmr4&amp;t=1013s", "Go to time")</f>
        <v/>
      </c>
    </row>
    <row r="4047">
      <c r="A4047">
        <f>HYPERLINK("https://www.youtube.com/watch?v=PkGCtSkbnjQ", "Video")</f>
        <v/>
      </c>
      <c r="B4047" t="inlineStr">
        <is>
          <t>5:54</t>
        </is>
      </c>
      <c r="C4047" t="inlineStr">
        <is>
          <t>And we could see a direct relation
between the level of engagement</t>
        </is>
      </c>
      <c r="D4047">
        <f>HYPERLINK("https://www.youtube.com/watch?v=PkGCtSkbnjQ&amp;t=354s", "Go to time")</f>
        <v/>
      </c>
    </row>
    <row r="4048">
      <c r="A4048">
        <f>HYPERLINK("https://www.youtube.com/watch?v=hiWgbXibGSE", "Video")</f>
        <v/>
      </c>
      <c r="B4048" t="inlineStr">
        <is>
          <t>5:57</t>
        </is>
      </c>
      <c r="C4048" t="inlineStr">
        <is>
          <t>is a step in the right direction.</t>
        </is>
      </c>
      <c r="D4048">
        <f>HYPERLINK("https://www.youtube.com/watch?v=hiWgbXibGSE&amp;t=357s", "Go to time")</f>
        <v/>
      </c>
    </row>
    <row r="4049">
      <c r="A4049">
        <f>HYPERLINK("https://www.youtube.com/watch?v=k5jEkTm5GIU", "Video")</f>
        <v/>
      </c>
      <c r="B4049" t="inlineStr">
        <is>
          <t>8:14</t>
        </is>
      </c>
      <c r="C4049" t="inlineStr">
        <is>
          <t>brain sensors provide direct access
to the part of ourselves</t>
        </is>
      </c>
      <c r="D4049">
        <f>HYPERLINK("https://www.youtube.com/watch?v=k5jEkTm5GIU&amp;t=494s", "Go to time")</f>
        <v/>
      </c>
    </row>
    <row r="4050">
      <c r="A4050">
        <f>HYPERLINK("https://www.youtube.com/watch?v=k5jEkTm5GIU", "Video")</f>
        <v/>
      </c>
      <c r="B4050" t="inlineStr">
        <is>
          <t>11:57</t>
        </is>
      </c>
      <c r="C4050" t="inlineStr">
        <is>
          <t>where most of our brains can be directly
accessed and changed by others.</t>
        </is>
      </c>
      <c r="D4050">
        <f>HYPERLINK("https://www.youtube.com/watch?v=k5jEkTm5GIU&amp;t=717s", "Go to time")</f>
        <v/>
      </c>
    </row>
    <row r="4051">
      <c r="A4051">
        <f>HYPERLINK("https://www.youtube.com/watch?v=TLZ6W-Nqv1I", "Video")</f>
        <v/>
      </c>
      <c r="B4051" t="inlineStr">
        <is>
          <t>7:17</t>
        </is>
      </c>
      <c r="C4051" t="inlineStr">
        <is>
          <t>And on issues that are, you know,
not within our direct control.</t>
        </is>
      </c>
      <c r="D4051">
        <f>HYPERLINK("https://www.youtube.com/watch?v=TLZ6W-Nqv1I&amp;t=437s", "Go to time")</f>
        <v/>
      </c>
    </row>
    <row r="4052">
      <c r="A4052">
        <f>HYPERLINK("https://www.youtube.com/watch?v=TLZ6W-Nqv1I", "Video")</f>
        <v/>
      </c>
      <c r="B4052" t="inlineStr">
        <is>
          <t>8:39</t>
        </is>
      </c>
      <c r="C4052" t="inlineStr">
        <is>
          <t>because our direct suppliers,
they only make meat patties.</t>
        </is>
      </c>
      <c r="D4052">
        <f>HYPERLINK("https://www.youtube.com/watch?v=TLZ6W-Nqv1I&amp;t=519s", "Go to time")</f>
        <v/>
      </c>
    </row>
    <row r="4053">
      <c r="A4053">
        <f>HYPERLINK("https://www.youtube.com/watch?v=TLZ6W-Nqv1I", "Video")</f>
        <v/>
      </c>
      <c r="B4053" t="inlineStr">
        <is>
          <t>8:49</t>
        </is>
      </c>
      <c r="C4053" t="inlineStr">
        <is>
          <t>And while we were so directly opposed</t>
        </is>
      </c>
      <c r="D4053">
        <f>HYPERLINK("https://www.youtube.com/watch?v=TLZ6W-Nqv1I&amp;t=529s", "Go to time")</f>
        <v/>
      </c>
    </row>
    <row r="4054">
      <c r="A4054">
        <f>HYPERLINK("https://www.youtube.com/watch?v=GqGksNRYu8s", "Video")</f>
        <v/>
      </c>
      <c r="B4054" t="inlineStr">
        <is>
          <t>8:19</t>
        </is>
      </c>
      <c r="C4054" t="inlineStr">
        <is>
          <t>and less trust directly in other people.</t>
        </is>
      </c>
      <c r="D4054">
        <f>HYPERLINK("https://www.youtube.com/watch?v=GqGksNRYu8s&amp;t=499s", "Go to time")</f>
        <v/>
      </c>
    </row>
    <row r="4055">
      <c r="A4055">
        <f>HYPERLINK("https://www.youtube.com/watch?v=zJcYAqNfgtA", "Video")</f>
        <v/>
      </c>
      <c r="B4055" t="inlineStr">
        <is>
          <t>2:56</t>
        </is>
      </c>
      <c r="C4055" t="inlineStr">
        <is>
          <t>who happened to transition
at the same time in different directions.</t>
        </is>
      </c>
      <c r="D4055">
        <f>HYPERLINK("https://www.youtube.com/watch?v=zJcYAqNfgtA&amp;t=176s", "Go to time")</f>
        <v/>
      </c>
    </row>
    <row r="4056">
      <c r="A4056">
        <f>HYPERLINK("https://www.youtube.com/watch?v=zJcYAqNfgtA", "Video")</f>
        <v/>
      </c>
      <c r="B4056" t="inlineStr">
        <is>
          <t>4:47</t>
        </is>
      </c>
      <c r="C4056" t="inlineStr">
        <is>
          <t>if you're a man in direct
competition with a woman</t>
        </is>
      </c>
      <c r="D4056">
        <f>HYPERLINK("https://www.youtube.com/watch?v=zJcYAqNfgtA&amp;t=287s", "Go to time")</f>
        <v/>
      </c>
    </row>
    <row r="4057">
      <c r="A4057">
        <f>HYPERLINK("https://www.youtube.com/watch?v=zJcYAqNfgtA", "Video")</f>
        <v/>
      </c>
      <c r="B4057" t="inlineStr">
        <is>
          <t>12:24</t>
        </is>
      </c>
      <c r="C4057" t="inlineStr">
        <is>
          <t>and the direction and the confidence</t>
        </is>
      </c>
      <c r="D4057">
        <f>HYPERLINK("https://www.youtube.com/watch?v=zJcYAqNfgtA&amp;t=744s", "Go to time")</f>
        <v/>
      </c>
    </row>
    <row r="4058">
      <c r="A4058">
        <f>HYPERLINK("https://www.youtube.com/watch?v=rFpDK2KhAgw", "Video")</f>
        <v/>
      </c>
      <c r="B4058" t="inlineStr">
        <is>
          <t>8:30</t>
        </is>
      </c>
      <c r="C4058" t="inlineStr">
        <is>
          <t>Or, if you ask someone for directions,</t>
        </is>
      </c>
      <c r="D4058">
        <f>HYPERLINK("https://www.youtube.com/watch?v=rFpDK2KhAgw&amp;t=510s", "Go to time")</f>
        <v/>
      </c>
    </row>
    <row r="4059">
      <c r="A4059">
        <f>HYPERLINK("https://www.youtube.com/watch?v=rfA1ThekjGM", "Video")</f>
        <v/>
      </c>
      <c r="B4059" t="inlineStr">
        <is>
          <t>1:56</t>
        </is>
      </c>
      <c r="C4059" t="inlineStr">
        <is>
          <t>that either directly generate
profit from data</t>
        </is>
      </c>
      <c r="D4059">
        <f>HYPERLINK("https://www.youtube.com/watch?v=rfA1ThekjGM&amp;t=116s", "Go to time")</f>
        <v/>
      </c>
    </row>
    <row r="4060">
      <c r="A4060">
        <f>HYPERLINK("https://www.youtube.com/watch?v=c8WMM_PUOj0", "Video")</f>
        <v/>
      </c>
      <c r="B4060" t="inlineStr">
        <is>
          <t>7:33</t>
        </is>
      </c>
      <c r="C4060" t="inlineStr">
        <is>
          <t>So you and I are direct beneficiaries
of removed rainforests.</t>
        </is>
      </c>
      <c r="D4060">
        <f>HYPERLINK("https://www.youtube.com/watch?v=c8WMM_PUOj0&amp;t=453s", "Go to time")</f>
        <v/>
      </c>
    </row>
    <row r="4061">
      <c r="A4061">
        <f>HYPERLINK("https://www.youtube.com/watch?v=GFpciGYBELo", "Video")</f>
        <v/>
      </c>
      <c r="B4061" t="inlineStr">
        <is>
          <t>0:58</t>
        </is>
      </c>
      <c r="C4061" t="inlineStr">
        <is>
          <t>Berkeley in California and director of</t>
        </is>
      </c>
      <c r="D4061">
        <f>HYPERLINK("https://www.youtube.com/watch?v=GFpciGYBELo&amp;t=58s", "Go to time")</f>
        <v/>
      </c>
    </row>
    <row r="4062">
      <c r="A4062">
        <f>HYPERLINK("https://www.youtube.com/watch?v=GFpciGYBELo", "Video")</f>
        <v/>
      </c>
      <c r="B4062" t="inlineStr">
        <is>
          <t>13:29</t>
        </is>
      </c>
      <c r="C4062" t="inlineStr">
        <is>
          <t>opposite directions we lose the signal</t>
        </is>
      </c>
      <c r="D4062">
        <f>HYPERLINK("https://www.youtube.com/watch?v=GFpciGYBELo&amp;t=809s", "Go to time")</f>
        <v/>
      </c>
    </row>
    <row r="4063">
      <c r="A4063">
        <f>HYPERLINK("https://www.youtube.com/watch?v=GFpciGYBELo", "Video")</f>
        <v/>
      </c>
      <c r="B4063" t="inlineStr">
        <is>
          <t>56:46</t>
        </is>
      </c>
      <c r="C4063" t="inlineStr">
        <is>
          <t>opposite direction when you start to</t>
        </is>
      </c>
      <c r="D4063">
        <f>HYPERLINK("https://www.youtube.com/watch?v=GFpciGYBELo&amp;t=3406s", "Go to time")</f>
        <v/>
      </c>
    </row>
    <row r="4064">
      <c r="A4064">
        <f>HYPERLINK("https://www.youtube.com/watch?v=GFpciGYBELo", "Video")</f>
        <v/>
      </c>
      <c r="B4064" t="inlineStr">
        <is>
          <t>57:03</t>
        </is>
      </c>
      <c r="C4064" t="inlineStr">
        <is>
          <t>and it's actually bi-directional</t>
        </is>
      </c>
      <c r="D4064">
        <f>HYPERLINK("https://www.youtube.com/watch?v=GFpciGYBELo&amp;t=3423s", "Go to time")</f>
        <v/>
      </c>
    </row>
    <row r="4065">
      <c r="A4065">
        <f>HYPERLINK("https://www.youtube.com/watch?v=oupHYHv_me0", "Video")</f>
        <v/>
      </c>
      <c r="B4065" t="inlineStr">
        <is>
          <t>1:28</t>
        </is>
      </c>
      <c r="C4065" t="inlineStr">
        <is>
          <t>I direct Media Entrepreneurship
and Innovation</t>
        </is>
      </c>
      <c r="D4065">
        <f>HYPERLINK("https://www.youtube.com/watch?v=oupHYHv_me0&amp;t=88s", "Go to time")</f>
        <v/>
      </c>
    </row>
    <row r="4066">
      <c r="A4066">
        <f>HYPERLINK("https://www.youtube.com/watch?v=oupHYHv_me0", "Video")</f>
        <v/>
      </c>
      <c r="B4066" t="inlineStr">
        <is>
          <t>7:48</t>
        </is>
      </c>
      <c r="C4066" t="inlineStr">
        <is>
          <t>you can also sell directly to your buyer
without an intermediary,</t>
        </is>
      </c>
      <c r="D4066">
        <f>HYPERLINK("https://www.youtube.com/watch?v=oupHYHv_me0&amp;t=468s", "Go to time")</f>
        <v/>
      </c>
    </row>
    <row r="4067">
      <c r="A4067">
        <f>HYPERLINK("https://www.youtube.com/watch?v=oupHYHv_me0", "Video")</f>
        <v/>
      </c>
      <c r="B4067" t="inlineStr">
        <is>
          <t>9:22</t>
        </is>
      </c>
      <c r="C4067" t="inlineStr">
        <is>
          <t>and artists you want
a direct connection with.</t>
        </is>
      </c>
      <c r="D4067">
        <f>HYPERLINK("https://www.youtube.com/watch?v=oupHYHv_me0&amp;t=562s", "Go to time")</f>
        <v/>
      </c>
    </row>
    <row r="4068">
      <c r="A4068">
        <f>HYPERLINK("https://www.youtube.com/watch?v=oupHYHv_me0", "Video")</f>
        <v/>
      </c>
      <c r="B4068" t="inlineStr">
        <is>
          <t>9:40</t>
        </is>
      </c>
      <c r="C4068" t="inlineStr">
        <is>
          <t>Once purchased directly from the artist,</t>
        </is>
      </c>
      <c r="D4068">
        <f>HYPERLINK("https://www.youtube.com/watch?v=oupHYHv_me0&amp;t=580s", "Go to time")</f>
        <v/>
      </c>
    </row>
    <row r="4069">
      <c r="A4069">
        <f>HYPERLINK("https://www.youtube.com/watch?v=rftagV38YKY", "Video")</f>
        <v/>
      </c>
      <c r="B4069" t="inlineStr">
        <is>
          <t>13:00</t>
        </is>
      </c>
      <c r="C4069" t="inlineStr">
        <is>
          <t>my Egyptian co-director, Mohamed Youssef,
approached me and said,</t>
        </is>
      </c>
      <c r="D4069">
        <f>HYPERLINK("https://www.youtube.com/watch?v=rftagV38YKY&amp;t=780s", "Go to time")</f>
        <v/>
      </c>
    </row>
    <row r="4070">
      <c r="A4070">
        <f>HYPERLINK("https://www.youtube.com/watch?v=fwvbx80QidM", "Video")</f>
        <v/>
      </c>
      <c r="B4070" t="inlineStr">
        <is>
          <t>1:55</t>
        </is>
      </c>
      <c r="C4070" t="inlineStr">
        <is>
          <t>directly into the hands
of artists and managers,</t>
        </is>
      </c>
      <c r="D4070">
        <f>HYPERLINK("https://www.youtube.com/watch?v=fwvbx80QidM&amp;t=115s", "Go to time")</f>
        <v/>
      </c>
    </row>
    <row r="4071">
      <c r="A4071">
        <f>HYPERLINK("https://www.youtube.com/watch?v=5knT5m2Kmrc", "Video")</f>
        <v/>
      </c>
      <c r="B4071" t="inlineStr">
        <is>
          <t>3:46</t>
        </is>
      </c>
      <c r="C4071" t="inlineStr">
        <is>
          <t>direct mechanism on the ground</t>
        </is>
      </c>
      <c r="D4071">
        <f>HYPERLINK("https://www.youtube.com/watch?v=5knT5m2Kmrc&amp;t=226s", "Go to time")</f>
        <v/>
      </c>
    </row>
    <row r="4072">
      <c r="A4072">
        <f>HYPERLINK("https://www.youtube.com/watch?v=5knT5m2Kmrc", "Video")</f>
        <v/>
      </c>
      <c r="B4072" t="inlineStr">
        <is>
          <t>8:05</t>
        </is>
      </c>
      <c r="C4072" t="inlineStr">
        <is>
          <t>and it's dire.</t>
        </is>
      </c>
      <c r="D4072">
        <f>HYPERLINK("https://www.youtube.com/watch?v=5knT5m2Kmrc&amp;t=485s", "Go to time")</f>
        <v/>
      </c>
    </row>
    <row r="4073">
      <c r="A4073">
        <f>HYPERLINK("https://www.youtube.com/watch?v=oyjIqtEVVB0", "Video")</f>
        <v/>
      </c>
      <c r="B4073" t="inlineStr">
        <is>
          <t>13:24</t>
        </is>
      </c>
      <c r="C4073" t="inlineStr">
        <is>
          <t>direction of travel</t>
        </is>
      </c>
      <c r="D4073">
        <f>HYPERLINK("https://www.youtube.com/watch?v=oyjIqtEVVB0&amp;t=804s", "Go to time")</f>
        <v/>
      </c>
    </row>
    <row r="4074">
      <c r="A4074">
        <f>HYPERLINK("https://www.youtube.com/watch?v=oyjIqtEVVB0", "Video")</f>
        <v/>
      </c>
      <c r="B4074" t="inlineStr">
        <is>
          <t>16:15</t>
        </is>
      </c>
      <c r="C4074" t="inlineStr">
        <is>
          <t>you know one direction to work and and</t>
        </is>
      </c>
      <c r="D4074">
        <f>HYPERLINK("https://www.youtube.com/watch?v=oyjIqtEVVB0&amp;t=975s", "Go to time")</f>
        <v/>
      </c>
    </row>
    <row r="4075">
      <c r="A4075">
        <f>HYPERLINK("https://www.youtube.com/watch?v=oyjIqtEVVB0", "Video")</f>
        <v/>
      </c>
      <c r="B4075" t="inlineStr">
        <is>
          <t>31:08</t>
        </is>
      </c>
      <c r="C4075" t="inlineStr">
        <is>
          <t>in the clean direction um so so</t>
        </is>
      </c>
      <c r="D4075">
        <f>HYPERLINK("https://www.youtube.com/watch?v=oyjIqtEVVB0&amp;t=1868s", "Go to time")</f>
        <v/>
      </c>
    </row>
    <row r="4076">
      <c r="A4076">
        <f>HYPERLINK("https://www.youtube.com/watch?v=IStsehNAOL8", "Video")</f>
        <v/>
      </c>
      <c r="B4076" t="inlineStr">
        <is>
          <t>1:22</t>
        </is>
      </c>
      <c r="C4076" t="inlineStr">
        <is>
          <t>So I do direct this Harvard Study
of Adult Development.</t>
        </is>
      </c>
      <c r="D4076">
        <f>HYPERLINK("https://www.youtube.com/watch?v=IStsehNAOL8&amp;t=82s", "Go to time")</f>
        <v/>
      </c>
    </row>
    <row r="4077">
      <c r="A4077">
        <f>HYPERLINK("https://www.youtube.com/watch?v=IStsehNAOL8", "Video")</f>
        <v/>
      </c>
      <c r="B4077" t="inlineStr">
        <is>
          <t>14:05</t>
        </is>
      </c>
      <c r="C4077" t="inlineStr">
        <is>
          <t>We want different studies
to point in the same direction.</t>
        </is>
      </c>
      <c r="D4077">
        <f>HYPERLINK("https://www.youtube.com/watch?v=IStsehNAOL8&amp;t=845s", "Go to time")</f>
        <v/>
      </c>
    </row>
    <row r="4078">
      <c r="A4078">
        <f>HYPERLINK("https://www.youtube.com/watch?v=IStsehNAOL8", "Video")</f>
        <v/>
      </c>
      <c r="B4078" t="inlineStr">
        <is>
          <t>24:43</t>
        </is>
      </c>
      <c r="C4078" t="inlineStr">
        <is>
          <t>that directing this study
has changed about my life.</t>
        </is>
      </c>
      <c r="D4078">
        <f>HYPERLINK("https://www.youtube.com/watch?v=IStsehNAOL8&amp;t=1483s", "Go to time")</f>
        <v/>
      </c>
    </row>
    <row r="4079">
      <c r="A4079">
        <f>HYPERLINK("https://www.youtube.com/watch?v=C_78DM8fG6E", "Video")</f>
        <v/>
      </c>
      <c r="B4079" t="inlineStr">
        <is>
          <t>0:10</t>
        </is>
      </c>
      <c r="C4079" t="inlineStr">
        <is>
          <t>and we wanted to help steer it
in a positive direction.</t>
        </is>
      </c>
      <c r="D4079">
        <f>HYPERLINK("https://www.youtube.com/watch?v=C_78DM8fG6E&amp;t=10s", "Go to time")</f>
        <v/>
      </c>
    </row>
    <row r="4080">
      <c r="A4080">
        <f>HYPERLINK("https://www.youtube.com/watch?v=kZeVIJqW1ts", "Video")</f>
        <v/>
      </c>
      <c r="B4080" t="inlineStr">
        <is>
          <t>13:19</t>
        </is>
      </c>
      <c r="C4080" t="inlineStr">
        <is>
          <t>when they come directly from the people</t>
        </is>
      </c>
      <c r="D4080">
        <f>HYPERLINK("https://www.youtube.com/watch?v=kZeVIJqW1ts&amp;t=799s", "Go to time")</f>
        <v/>
      </c>
    </row>
    <row r="4081">
      <c r="A4081">
        <f>HYPERLINK("https://www.youtube.com/watch?v=3-UcGCnJ14c", "Video")</f>
        <v/>
      </c>
      <c r="B4081" t="inlineStr">
        <is>
          <t>2:00</t>
        </is>
      </c>
      <c r="C4081" t="inlineStr">
        <is>
          <t>The resulting constitutional flaw
directly contradicts international law,</t>
        </is>
      </c>
      <c r="D4081">
        <f>HYPERLINK("https://www.youtube.com/watch?v=3-UcGCnJ14c&amp;t=120s", "Go to time")</f>
        <v/>
      </c>
    </row>
    <row r="4082">
      <c r="A4082">
        <f>HYPERLINK("https://www.youtube.com/watch?v=KCxbl5QgFZw", "Video")</f>
        <v/>
      </c>
      <c r="B4082" t="inlineStr">
        <is>
          <t>13:23</t>
        </is>
      </c>
      <c r="C4082" t="inlineStr">
        <is>
          <t>IXK: I think it's a direct relationship,</t>
        </is>
      </c>
      <c r="D4082">
        <f>HYPERLINK("https://www.youtube.com/watch?v=KCxbl5QgFZw&amp;t=803s", "Go to time")</f>
        <v/>
      </c>
    </row>
    <row r="4083">
      <c r="A4083">
        <f>HYPERLINK("https://www.youtube.com/watch?v=KCxbl5QgFZw", "Video")</f>
        <v/>
      </c>
      <c r="B4083" t="inlineStr">
        <is>
          <t>17:46</t>
        </is>
      </c>
      <c r="C4083" t="inlineStr">
        <is>
          <t>whose poverty was the direct result</t>
        </is>
      </c>
      <c r="D4083">
        <f>HYPERLINK("https://www.youtube.com/watch?v=KCxbl5QgFZw&amp;t=1066s", "Go to time")</f>
        <v/>
      </c>
    </row>
    <row r="4084">
      <c r="A4084">
        <f>HYPERLINK("https://www.youtube.com/watch?v=3wxBTEo8-T8", "Video")</f>
        <v/>
      </c>
      <c r="B4084" t="inlineStr">
        <is>
          <t>2:21</t>
        </is>
      </c>
      <c r="C4084" t="inlineStr">
        <is>
          <t>as the assistant casting director
on "As the World Turns."</t>
        </is>
      </c>
      <c r="D4084">
        <f>HYPERLINK("https://www.youtube.com/watch?v=3wxBTEo8-T8&amp;t=141s", "Go to time")</f>
        <v/>
      </c>
    </row>
    <row r="4085">
      <c r="A4085">
        <f>HYPERLINK("https://www.youtube.com/watch?v=kdqUhTnAgJU", "Video")</f>
        <v/>
      </c>
      <c r="B4085" t="inlineStr">
        <is>
          <t>2:09</t>
        </is>
      </c>
      <c r="C4085" t="inlineStr">
        <is>
          <t>The legendary and notorious
FBI Director J. Edgar Hoover believed,</t>
        </is>
      </c>
      <c r="D4085">
        <f>HYPERLINK("https://www.youtube.com/watch?v=kdqUhTnAgJU&amp;t=129s", "Go to time")</f>
        <v/>
      </c>
    </row>
    <row r="4086">
      <c r="A4086">
        <f>HYPERLINK("https://www.youtube.com/watch?v=kdqUhTnAgJU", "Video")</f>
        <v/>
      </c>
      <c r="B4086" t="inlineStr">
        <is>
          <t>13:23</t>
        </is>
      </c>
      <c r="C4086" t="inlineStr">
        <is>
          <t>and protect our data
from this redirection and misuse.</t>
        </is>
      </c>
      <c r="D4086">
        <f>HYPERLINK("https://www.youtube.com/watch?v=kdqUhTnAgJU&amp;t=803s", "Go to time")</f>
        <v/>
      </c>
    </row>
    <row r="4087">
      <c r="A4087">
        <f>HYPERLINK("https://www.youtube.com/watch?v=a_yYWpiC3t0", "Video")</f>
        <v/>
      </c>
      <c r="B4087" t="inlineStr">
        <is>
          <t>9:16</t>
        </is>
      </c>
      <c r="C4087" t="inlineStr">
        <is>
          <t>and Bill Burns, the director of the CIA,</t>
        </is>
      </c>
      <c r="D4087">
        <f>HYPERLINK("https://www.youtube.com/watch?v=a_yYWpiC3t0&amp;t=556s", "Go to time")</f>
        <v/>
      </c>
    </row>
    <row r="4088">
      <c r="A4088">
        <f>HYPERLINK("https://www.youtube.com/watch?v=a_yYWpiC3t0", "Video")</f>
        <v/>
      </c>
      <c r="B4088" t="inlineStr">
        <is>
          <t>20:48</t>
        </is>
      </c>
      <c r="C4088" t="inlineStr">
        <is>
          <t>IB: Not directly, but indirectly.</t>
        </is>
      </c>
      <c r="D4088">
        <f>HYPERLINK("https://www.youtube.com/watch?v=a_yYWpiC3t0&amp;t=1248s", "Go to time")</f>
        <v/>
      </c>
    </row>
    <row r="4089">
      <c r="A4089">
        <f>HYPERLINK("https://www.youtube.com/watch?v=a_yYWpiC3t0", "Video")</f>
        <v/>
      </c>
      <c r="B4089" t="inlineStr">
        <is>
          <t>42:49</t>
        </is>
      </c>
      <c r="C4089" t="inlineStr">
        <is>
          <t>You know, I mean, give direct interviews</t>
        </is>
      </c>
      <c r="D4089">
        <f>HYPERLINK("https://www.youtube.com/watch?v=a_yYWpiC3t0&amp;t=2569s", "Go to time")</f>
        <v/>
      </c>
    </row>
    <row r="4090">
      <c r="A4090">
        <f>HYPERLINK("https://www.youtube.com/watch?v=uEATpbQ9md4", "Video")</f>
        <v/>
      </c>
      <c r="B4090" t="inlineStr">
        <is>
          <t>2:41</t>
        </is>
      </c>
      <c r="C4090" t="inlineStr">
        <is>
          <t>to the Taliban’s General Directorate
of Intelligence headquarters,</t>
        </is>
      </c>
      <c r="D4090">
        <f>HYPERLINK("https://www.youtube.com/watch?v=uEATpbQ9md4&amp;t=161s", "Go to time")</f>
        <v/>
      </c>
    </row>
    <row r="4091">
      <c r="A4091">
        <f>HYPERLINK("https://www.youtube.com/watch?v=uEATpbQ9md4", "Video")</f>
        <v/>
      </c>
      <c r="B4091" t="inlineStr">
        <is>
          <t>5:24</t>
        </is>
      </c>
      <c r="C4091" t="inlineStr">
        <is>
          <t>that have infrastructure to ensure
aid is getting directly into the hands</t>
        </is>
      </c>
      <c r="D4091">
        <f>HYPERLINK("https://www.youtube.com/watch?v=uEATpbQ9md4&amp;t=324s", "Go to time")</f>
        <v/>
      </c>
    </row>
    <row r="4092">
      <c r="A4092">
        <f>HYPERLINK("https://www.youtube.com/watch?v=uEATpbQ9md4", "Video")</f>
        <v/>
      </c>
      <c r="B4092" t="inlineStr">
        <is>
          <t>7:26</t>
        </is>
      </c>
      <c r="C4092" t="inlineStr">
        <is>
          <t>were the direct result of effective
diplomacy with the Taliban</t>
        </is>
      </c>
      <c r="D4092">
        <f>HYPERLINK("https://www.youtube.com/watch?v=uEATpbQ9md4&amp;t=446s", "Go to time")</f>
        <v/>
      </c>
    </row>
    <row r="4093">
      <c r="A4093">
        <f>HYPERLINK("https://www.youtube.com/watch?v=Oo2upU6ny-I", "Video")</f>
        <v/>
      </c>
      <c r="B4093" t="inlineStr">
        <is>
          <t>4:29</t>
        </is>
      </c>
      <c r="C4093" t="inlineStr">
        <is>
          <t>it feels like you're talking
directly to me."</t>
        </is>
      </c>
      <c r="D4093">
        <f>HYPERLINK("https://www.youtube.com/watch?v=Oo2upU6ny-I&amp;t=269s", "Go to time")</f>
        <v/>
      </c>
    </row>
    <row r="4094">
      <c r="A4094">
        <f>HYPERLINK("https://www.youtube.com/watch?v=z3d_UsYgt1c", "Video")</f>
        <v/>
      </c>
      <c r="B4094" t="inlineStr">
        <is>
          <t>1:07</t>
        </is>
      </c>
      <c r="C4094" t="inlineStr">
        <is>
          <t>by observing the wind direction,</t>
        </is>
      </c>
      <c r="D4094">
        <f>HYPERLINK("https://www.youtube.com/watch?v=z3d_UsYgt1c&amp;t=67s", "Go to time")</f>
        <v/>
      </c>
    </row>
    <row r="4095">
      <c r="A4095">
        <f>HYPERLINK("https://www.youtube.com/watch?v=zTStDvUtQWc", "Video")</f>
        <v/>
      </c>
      <c r="B4095" t="inlineStr">
        <is>
          <t>1:34</t>
        </is>
      </c>
      <c r="C4095" t="inlineStr">
        <is>
          <t>a CEO works with executives
to set the direction, the budgets</t>
        </is>
      </c>
      <c r="D4095">
        <f>HYPERLINK("https://www.youtube.com/watch?v=zTStDvUtQWc&amp;t=94s", "Go to time")</f>
        <v/>
      </c>
    </row>
    <row r="4096">
      <c r="A4096">
        <f>HYPERLINK("https://www.youtube.com/watch?v=P6FORpg0KVo", "Video")</f>
        <v/>
      </c>
      <c r="B4096" t="inlineStr">
        <is>
          <t>3:05</t>
        </is>
      </c>
      <c r="C4096" t="inlineStr">
        <is>
          <t>And it's because you can directly
make more money</t>
        </is>
      </c>
      <c r="D4096">
        <f>HYPERLINK("https://www.youtube.com/watch?v=P6FORpg0KVo&amp;t=185s", "Go to time")</f>
        <v/>
      </c>
    </row>
    <row r="4097">
      <c r="A4097">
        <f>HYPERLINK("https://www.youtube.com/watch?v=gMsQO5u7-NQ", "Video")</f>
        <v/>
      </c>
      <c r="B4097" t="inlineStr">
        <is>
          <t>7:57</t>
        </is>
      </c>
      <c r="C4097" t="inlineStr">
        <is>
          <t>about the direction compute is going in.</t>
        </is>
      </c>
      <c r="D4097">
        <f>HYPERLINK("https://www.youtube.com/watch?v=gMsQO5u7-NQ&amp;t=477s", "Go to time")</f>
        <v/>
      </c>
    </row>
    <row r="4098">
      <c r="A4098">
        <f>HYPERLINK("https://www.youtube.com/watch?v=2LkDU0iKaro", "Video")</f>
        <v/>
      </c>
      <c r="B4098" t="inlineStr">
        <is>
          <t>10:14</t>
        </is>
      </c>
      <c r="C4098" t="inlineStr">
        <is>
          <t>Reluctantly, I pointed him
in a different direction.</t>
        </is>
      </c>
      <c r="D4098">
        <f>HYPERLINK("https://www.youtube.com/watch?v=2LkDU0iKaro&amp;t=614s", "Go to time")</f>
        <v/>
      </c>
    </row>
    <row r="4099">
      <c r="A4099">
        <f>HYPERLINK("https://www.youtube.com/watch?v=2LkDU0iKaro", "Video")</f>
        <v/>
      </c>
      <c r="B4099" t="inlineStr">
        <is>
          <t>10:49</t>
        </is>
      </c>
      <c r="C4099" t="inlineStr">
        <is>
          <t>I'd point her in the right direction.</t>
        </is>
      </c>
      <c r="D4099">
        <f>HYPERLINK("https://www.youtube.com/watch?v=2LkDU0iKaro&amp;t=649s", "Go to time")</f>
        <v/>
      </c>
    </row>
    <row r="4100">
      <c r="A4100">
        <f>HYPERLINK("https://www.youtube.com/watch?v=4CGFPbFqdJ4", "Video")</f>
        <v/>
      </c>
      <c r="B4100" t="inlineStr">
        <is>
          <t>3:42</t>
        </is>
      </c>
      <c r="C4100" t="inlineStr">
        <is>
          <t>and I direct a laboratory
that researches nanotechnology,</t>
        </is>
      </c>
      <c r="D4100">
        <f>HYPERLINK("https://www.youtube.com/watch?v=4CGFPbFqdJ4&amp;t=222s", "Go to time")</f>
        <v/>
      </c>
    </row>
    <row r="4101">
      <c r="A4101">
        <f>HYPERLINK("https://www.youtube.com/watch?v=cJg_tPB0Nu0", "Video")</f>
        <v/>
      </c>
      <c r="B4101" t="inlineStr">
        <is>
          <t>1:45</t>
        </is>
      </c>
      <c r="C4101" t="inlineStr">
        <is>
          <t>So I got into directing music videos.</t>
        </is>
      </c>
      <c r="D4101">
        <f>HYPERLINK("https://www.youtube.com/watch?v=cJg_tPB0Nu0&amp;t=105s", "Go to time")</f>
        <v/>
      </c>
    </row>
    <row r="4102">
      <c r="A4102">
        <f>HYPERLINK("https://www.youtube.com/watch?v=cJg_tPB0Nu0", "Video")</f>
        <v/>
      </c>
      <c r="B4102" t="inlineStr">
        <is>
          <t>2:35</t>
        </is>
      </c>
      <c r="C4102" t="inlineStr">
        <is>
          <t>and professional career
to becoming a music video director.</t>
        </is>
      </c>
      <c r="D4102">
        <f>HYPERLINK("https://www.youtube.com/watch?v=cJg_tPB0Nu0&amp;t=155s", "Go to time")</f>
        <v/>
      </c>
    </row>
    <row r="4103">
      <c r="A4103">
        <f>HYPERLINK("https://www.youtube.com/watch?v=cJg_tPB0Nu0", "Video")</f>
        <v/>
      </c>
      <c r="B4103" t="inlineStr">
        <is>
          <t>6:48</t>
        </is>
      </c>
      <c r="C4103" t="inlineStr">
        <is>
          <t>We found that we have a unique,
direct path into your senses,</t>
        </is>
      </c>
      <c r="D4103">
        <f>HYPERLINK("https://www.youtube.com/watch?v=cJg_tPB0Nu0&amp;t=408s", "Go to time")</f>
        <v/>
      </c>
    </row>
    <row r="4104">
      <c r="A4104">
        <f>HYPERLINK("https://www.youtube.com/watch?v=cJg_tPB0Nu0", "Video")</f>
        <v/>
      </c>
      <c r="B4104" t="inlineStr">
        <is>
          <t>6:59</t>
        </is>
      </c>
      <c r="C4104" t="inlineStr">
        <is>
          <t>we're going to take every direction
that you could possibly look,</t>
        </is>
      </c>
      <c r="D4104">
        <f>HYPERLINK("https://www.youtube.com/watch?v=cJg_tPB0Nu0&amp;t=419s", "Go to time")</f>
        <v/>
      </c>
    </row>
    <row r="4105">
      <c r="A4105">
        <f>HYPERLINK("https://www.youtube.com/watch?v=cJg_tPB0Nu0", "Video")</f>
        <v/>
      </c>
      <c r="B4105" t="inlineStr">
        <is>
          <t>9:16</t>
        </is>
      </c>
      <c r="C4105" t="inlineStr">
        <is>
          <t>Directing VR is not like
directing for the rectangle.</t>
        </is>
      </c>
      <c r="D4105">
        <f>HYPERLINK("https://www.youtube.com/watch?v=cJg_tPB0Nu0&amp;t=556s", "Go to time")</f>
        <v/>
      </c>
    </row>
    <row r="4106">
      <c r="A4106">
        <f>HYPERLINK("https://www.youtube.com/watch?v=cJg_tPB0Nu0", "Video")</f>
        <v/>
      </c>
      <c r="B4106" t="inlineStr">
        <is>
          <t>9:36</t>
        </is>
      </c>
      <c r="C4106" t="inlineStr">
        <is>
          <t>So I can use that to direct your attention
to where I want you to see.</t>
        </is>
      </c>
      <c r="D4106">
        <f>HYPERLINK("https://www.youtube.com/watch?v=cJg_tPB0Nu0&amp;t=576s", "Go to time")</f>
        <v/>
      </c>
    </row>
    <row r="4107">
      <c r="A4107">
        <f>HYPERLINK("https://www.youtube.com/watch?v=n5QmIQsw-Lg", "Video")</f>
        <v/>
      </c>
      <c r="B4107" t="inlineStr">
        <is>
          <t>4:04</t>
        </is>
      </c>
      <c r="C4107" t="inlineStr">
        <is>
          <t>And as a direct result of that,</t>
        </is>
      </c>
      <c r="D4107">
        <f>HYPERLINK("https://www.youtube.com/watch?v=n5QmIQsw-Lg&amp;t=244s", "Go to time")</f>
        <v/>
      </c>
    </row>
    <row r="4108">
      <c r="A4108">
        <f>HYPERLINK("https://www.youtube.com/watch?v=n5QmIQsw-Lg", "Video")</f>
        <v/>
      </c>
      <c r="B4108" t="inlineStr">
        <is>
          <t>10:35</t>
        </is>
      </c>
      <c r="C4108" t="inlineStr">
        <is>
          <t>and ask that simple and direct question:</t>
        </is>
      </c>
      <c r="D4108">
        <f>HYPERLINK("https://www.youtube.com/watch?v=n5QmIQsw-Lg&amp;t=635s", "Go to time")</f>
        <v/>
      </c>
    </row>
    <row r="4109">
      <c r="A4109">
        <f>HYPERLINK("https://www.youtube.com/watch?v=Ds_rzoyyfF0", "Video")</f>
        <v/>
      </c>
      <c r="B4109" t="inlineStr">
        <is>
          <t>0:27</t>
        </is>
      </c>
      <c r="C4109" t="inlineStr">
        <is>
          <t>But what if he worked
in the opposite direction?</t>
        </is>
      </c>
      <c r="D4109">
        <f>HYPERLINK("https://www.youtube.com/watch?v=Ds_rzoyyfF0&amp;t=27s", "Go to time")</f>
        <v/>
      </c>
    </row>
    <row r="4110">
      <c r="A4110">
        <f>HYPERLINK("https://www.youtube.com/watch?v=-XbrhfGNLOY", "Video")</f>
        <v/>
      </c>
      <c r="B4110" t="inlineStr">
        <is>
          <t>0:22</t>
        </is>
      </c>
      <c r="C4110" t="inlineStr">
        <is>
          <t>Ladies and gentlemen, live and direct
from New Orleans, Louisiana,</t>
        </is>
      </c>
      <c r="D4110">
        <f>HYPERLINK("https://www.youtube.com/watch?v=-XbrhfGNLOY&amp;t=22s", "Go to time")</f>
        <v/>
      </c>
    </row>
    <row r="4111">
      <c r="A4111">
        <f>HYPERLINK("https://www.youtube.com/watch?v=XgpdInYDs-U", "Video")</f>
        <v/>
      </c>
      <c r="B4111" t="inlineStr">
        <is>
          <t>1:18</t>
        </is>
      </c>
      <c r="C4111" t="inlineStr">
        <is>
          <t>So I design and direct live shows.</t>
        </is>
      </c>
      <c r="D4111">
        <f>HYPERLINK("https://www.youtube.com/watch?v=XgpdInYDs-U&amp;t=78s", "Go to time")</f>
        <v/>
      </c>
    </row>
    <row r="4112">
      <c r="A4112">
        <f>HYPERLINK("https://www.youtube.com/watch?v=XgpdInYDs-U", "Video")</f>
        <v/>
      </c>
      <c r="B4112" t="inlineStr">
        <is>
          <t>1:33</t>
        </is>
      </c>
      <c r="C4112" t="inlineStr">
        <is>
          <t>And for 40 years I've been creative
director for U2's live performances,</t>
        </is>
      </c>
      <c r="D4112">
        <f>HYPERLINK("https://www.youtube.com/watch?v=XgpdInYDs-U&amp;t=93s", "Go to time")</f>
        <v/>
      </c>
    </row>
    <row r="4113">
      <c r="A4113">
        <f>HYPERLINK("https://www.youtube.com/watch?v=pVeq-0dIqpk", "Video")</f>
        <v/>
      </c>
      <c r="B4113" t="inlineStr">
        <is>
          <t>3:40</t>
        </is>
      </c>
      <c r="C4113" t="inlineStr">
        <is>
          <t>And if you believe that my empathy
is directed towards you,</t>
        </is>
      </c>
      <c r="D4113">
        <f>HYPERLINK("https://www.youtube.com/watch?v=pVeq-0dIqpk&amp;t=220s", "Go to time")</f>
        <v/>
      </c>
    </row>
    <row r="4114">
      <c r="A4114">
        <f>HYPERLINK("https://www.youtube.com/watch?v=pVeq-0dIqpk", "Video")</f>
        <v/>
      </c>
      <c r="B4114" t="inlineStr">
        <is>
          <t>10:14</t>
        </is>
      </c>
      <c r="C4114" t="inlineStr">
        <is>
          <t>direct speech.</t>
        </is>
      </c>
      <c r="D4114">
        <f>HYPERLINK("https://www.youtube.com/watch?v=pVeq-0dIqpk&amp;t=614s", "Go to time")</f>
        <v/>
      </c>
    </row>
    <row r="4115">
      <c r="A4115">
        <f>HYPERLINK("https://www.youtube.com/watch?v=G-lWWxJPfFo", "Video")</f>
        <v/>
      </c>
      <c r="B4115" t="inlineStr">
        <is>
          <t>1:54</t>
        </is>
      </c>
      <c r="C4115" t="inlineStr">
        <is>
          <t>as an actor, a child actor,
and later as a director.</t>
        </is>
      </c>
      <c r="D4115">
        <f>HYPERLINK("https://www.youtube.com/watch?v=G-lWWxJPfFo&amp;t=114s", "Go to time")</f>
        <v/>
      </c>
    </row>
    <row r="4116">
      <c r="A4116">
        <f>HYPERLINK("https://www.youtube.com/watch?v=ZlSzEw0vmQ0", "Video")</f>
        <v/>
      </c>
      <c r="B4116" t="inlineStr">
        <is>
          <t>3:11</t>
        </is>
      </c>
      <c r="C4116" t="inlineStr">
        <is>
          <t>It has a direct parallel
to West African dances like mapouka.</t>
        </is>
      </c>
      <c r="D4116">
        <f>HYPERLINK("https://www.youtube.com/watch?v=ZlSzEw0vmQ0&amp;t=191s", "Go to time")</f>
        <v/>
      </c>
    </row>
    <row r="4117">
      <c r="A4117">
        <f>HYPERLINK("https://www.youtube.com/watch?v=t-K6bn9sc50", "Video")</f>
        <v/>
      </c>
      <c r="B4117" t="inlineStr">
        <is>
          <t>4:23</t>
        </is>
      </c>
      <c r="C4117" t="inlineStr">
        <is>
          <t>which is a direct result of human
greenhouse gas emissions.</t>
        </is>
      </c>
      <c r="D4117">
        <f>HYPERLINK("https://www.youtube.com/watch?v=t-K6bn9sc50&amp;t=263s", "Go to time")</f>
        <v/>
      </c>
    </row>
    <row r="4118">
      <c r="A4118">
        <f>HYPERLINK("https://www.youtube.com/watch?v=gyPoqFcvt9w", "Video")</f>
        <v/>
      </c>
      <c r="B4118" t="inlineStr">
        <is>
          <t>9:21</t>
        </is>
      </c>
      <c r="C4118" t="inlineStr">
        <is>
          <t>and nearly 16 years after that dire night,</t>
        </is>
      </c>
      <c r="D4118">
        <f>HYPERLINK("https://www.youtube.com/watch?v=gyPoqFcvt9w&amp;t=561s", "Go to time")</f>
        <v/>
      </c>
    </row>
    <row r="4119">
      <c r="A4119">
        <f>HYPERLINK("https://www.youtube.com/watch?v=JSiRpwZbZ7Q", "Video")</f>
        <v/>
      </c>
      <c r="B4119" t="inlineStr">
        <is>
          <t>1:57</t>
        </is>
      </c>
      <c r="C4119" t="inlineStr">
        <is>
          <t>This is direct evidence
of the activity of dozens,</t>
        </is>
      </c>
      <c r="D4119">
        <f>HYPERLINK("https://www.youtube.com/watch?v=JSiRpwZbZ7Q&amp;t=117s", "Go to time")</f>
        <v/>
      </c>
    </row>
    <row r="4120">
      <c r="A4120">
        <f>HYPERLINK("https://www.youtube.com/watch?v=JSiRpwZbZ7Q", "Video")</f>
        <v/>
      </c>
      <c r="B4120" t="inlineStr">
        <is>
          <t>3:01</t>
        </is>
      </c>
      <c r="C4120" t="inlineStr">
        <is>
          <t>Tracks will tell us the direction
an animal's going in,</t>
        </is>
      </c>
      <c r="D4120">
        <f>HYPERLINK("https://www.youtube.com/watch?v=JSiRpwZbZ7Q&amp;t=181s", "Go to time")</f>
        <v/>
      </c>
    </row>
    <row r="4121">
      <c r="A4121">
        <f>HYPERLINK("https://www.youtube.com/watch?v=KQ_sO9V0tyw", "Video")</f>
        <v/>
      </c>
      <c r="B4121" t="inlineStr">
        <is>
          <t>1:37</t>
        </is>
      </c>
      <c r="C4121" t="inlineStr">
        <is>
          <t>I would go directly
with the classical approach,</t>
        </is>
      </c>
      <c r="D4121">
        <f>HYPERLINK("https://www.youtube.com/watch?v=KQ_sO9V0tyw&amp;t=97s", "Go to time")</f>
        <v/>
      </c>
    </row>
    <row r="4122">
      <c r="A4122">
        <f>HYPERLINK("https://www.youtube.com/watch?v=tT8icNhydtg", "Video")</f>
        <v/>
      </c>
      <c r="B4122" t="inlineStr">
        <is>
          <t>5:24</t>
        </is>
      </c>
      <c r="C4122" t="inlineStr">
        <is>
          <t>but this time, directly
into the digital media itself.</t>
        </is>
      </c>
      <c r="D4122">
        <f>HYPERLINK("https://www.youtube.com/watch?v=tT8icNhydtg&amp;t=324s", "Go to time")</f>
        <v/>
      </c>
    </row>
    <row r="4123">
      <c r="A4123">
        <f>HYPERLINK("https://www.youtube.com/watch?v=tT8icNhydtg", "Video")</f>
        <v/>
      </c>
      <c r="B4123" t="inlineStr">
        <is>
          <t>6:55</t>
        </is>
      </c>
      <c r="C4123" t="inlineStr">
        <is>
          <t>Well, you can imagine how many directions
this could really go.</t>
        </is>
      </c>
      <c r="D4123">
        <f>HYPERLINK("https://www.youtube.com/watch?v=tT8icNhydtg&amp;t=415s", "Go to time")</f>
        <v/>
      </c>
    </row>
    <row r="4124">
      <c r="A4124">
        <f>HYPERLINK("https://www.youtube.com/watch?v=NWQ8y3TksrQ", "Video")</f>
        <v/>
      </c>
      <c r="B4124" t="inlineStr">
        <is>
          <t>1:15</t>
        </is>
      </c>
      <c r="C4124" t="inlineStr">
        <is>
          <t>Now, since 2013, I've been
the executive director</t>
        </is>
      </c>
      <c r="D4124">
        <f>HYPERLINK("https://www.youtube.com/watch?v=NWQ8y3TksrQ&amp;t=75s", "Go to time")</f>
        <v/>
      </c>
    </row>
    <row r="4125">
      <c r="A4125">
        <f>HYPERLINK("https://www.youtube.com/watch?v=nQo1NgQ-Yf0", "Video")</f>
        <v/>
      </c>
      <c r="B4125" t="inlineStr">
        <is>
          <t>6:35</t>
        </is>
      </c>
      <c r="C4125" t="inlineStr">
        <is>
          <t>as a new Director of Planning for NERC,</t>
        </is>
      </c>
      <c r="D4125">
        <f>HYPERLINK("https://www.youtube.com/watch?v=nQo1NgQ-Yf0&amp;t=395s", "Go to time")</f>
        <v/>
      </c>
    </row>
    <row r="4126">
      <c r="A4126">
        <f>HYPERLINK("https://www.youtube.com/watch?v=NA_u3MVvvWM", "Video")</f>
        <v/>
      </c>
      <c r="B4126" t="inlineStr">
        <is>
          <t>2:03</t>
        </is>
      </c>
      <c r="C4126" t="inlineStr">
        <is>
          <t>directly engage with the board
of directors and oh, of course,</t>
        </is>
      </c>
      <c r="D4126">
        <f>HYPERLINK("https://www.youtube.com/watch?v=NA_u3MVvvWM&amp;t=123s", "Go to time")</f>
        <v/>
      </c>
    </row>
    <row r="4127">
      <c r="A4127">
        <f>HYPERLINK("https://www.youtube.com/watch?v=VuJbzKpbIVk", "Video")</f>
        <v/>
      </c>
      <c r="B4127" t="inlineStr">
        <is>
          <t>3:05</t>
        </is>
      </c>
      <c r="C4127" t="inlineStr">
        <is>
          <t>whose direction they did not agree with.</t>
        </is>
      </c>
      <c r="D4127">
        <f>HYPERLINK("https://www.youtube.com/watch?v=VuJbzKpbIVk&amp;t=185s", "Go to time")</f>
        <v/>
      </c>
    </row>
    <row r="4128">
      <c r="A4128">
        <f>HYPERLINK("https://www.youtube.com/watch?v=VuJbzKpbIVk", "Video")</f>
        <v/>
      </c>
      <c r="B4128" t="inlineStr">
        <is>
          <t>4:11</t>
        </is>
      </c>
      <c r="C4128" t="inlineStr">
        <is>
          <t>I mean, she moved a number of her policies
in a more centrist direction,</t>
        </is>
      </c>
      <c r="D4128">
        <f>HYPERLINK("https://www.youtube.com/watch?v=VuJbzKpbIVk&amp;t=251s", "Go to time")</f>
        <v/>
      </c>
    </row>
    <row r="4129">
      <c r="A4129">
        <f>HYPERLINK("https://www.youtube.com/watch?v=VuJbzKpbIVk", "Video")</f>
        <v/>
      </c>
      <c r="B4129" t="inlineStr">
        <is>
          <t>21:41</t>
        </is>
      </c>
      <c r="C4129" t="inlineStr">
        <is>
          <t>then he will be in a personal position
of having directly disappointed</t>
        </is>
      </c>
      <c r="D4129">
        <f>HYPERLINK("https://www.youtube.com/watch?v=VuJbzKpbIVk&amp;t=1301s", "Go to time")</f>
        <v/>
      </c>
    </row>
    <row r="4130">
      <c r="A4130">
        <f>HYPERLINK("https://www.youtube.com/watch?v=VuJbzKpbIVk", "Video")</f>
        <v/>
      </c>
      <c r="B4130" t="inlineStr">
        <is>
          <t>26:59</t>
        </is>
      </c>
      <c r="C4130" t="inlineStr">
        <is>
          <t>and talking directly with Putin,</t>
        </is>
      </c>
      <c r="D4130">
        <f>HYPERLINK("https://www.youtube.com/watch?v=VuJbzKpbIVk&amp;t=1619s", "Go to time")</f>
        <v/>
      </c>
    </row>
    <row r="4131">
      <c r="A4131">
        <f>HYPERLINK("https://www.youtube.com/watch?v=k7i9uYruO3k", "Video")</f>
        <v/>
      </c>
      <c r="B4131" t="inlineStr">
        <is>
          <t>4:23</t>
        </is>
      </c>
      <c r="C4131" t="inlineStr">
        <is>
          <t>concepting and directing
the entire video.</t>
        </is>
      </c>
      <c r="D4131">
        <f>HYPERLINK("https://www.youtube.com/watch?v=k7i9uYruO3k&amp;t=263s", "Go to time")</f>
        <v/>
      </c>
    </row>
    <row r="4132">
      <c r="A4132">
        <f>HYPERLINK("https://www.youtube.com/watch?v=su4c2wwDteU", "Video")</f>
        <v/>
      </c>
      <c r="B4132" t="inlineStr">
        <is>
          <t>0:22</t>
        </is>
      </c>
      <c r="C4132" t="inlineStr">
        <is>
          <t>She directs the Laboratory of Intergroup
Relations and the Social Mind,</t>
        </is>
      </c>
      <c r="D4132">
        <f>HYPERLINK("https://www.youtube.com/watch?v=su4c2wwDteU&amp;t=22s", "Go to time")</f>
        <v/>
      </c>
    </row>
    <row r="4133">
      <c r="A4133">
        <f>HYPERLINK("https://www.youtube.com/watch?v=9OLxBvLvCoM", "Video")</f>
        <v/>
      </c>
      <c r="B4133" t="inlineStr">
        <is>
          <t>4:27</t>
        </is>
      </c>
      <c r="C4133" t="inlineStr">
        <is>
          <t>It can be combusted directly as a fuel
and emits zero carbon emissions.</t>
        </is>
      </c>
      <c r="D4133">
        <f>HYPERLINK("https://www.youtube.com/watch?v=9OLxBvLvCoM&amp;t=267s", "Go to time")</f>
        <v/>
      </c>
    </row>
    <row r="4134">
      <c r="A4134">
        <f>HYPERLINK("https://www.youtube.com/watch?v=oCgewIIKbSA", "Video")</f>
        <v/>
      </c>
      <c r="B4134" t="inlineStr">
        <is>
          <t>24:45</t>
        </is>
      </c>
      <c r="C4134" t="inlineStr">
        <is>
          <t>so much of the history that is directly</t>
        </is>
      </c>
      <c r="D4134">
        <f>HYPERLINK("https://www.youtube.com/watch?v=oCgewIIKbSA&amp;t=1485s", "Go to time")</f>
        <v/>
      </c>
    </row>
    <row r="4135">
      <c r="A4135">
        <f>HYPERLINK("https://www.youtube.com/watch?v=oCgewIIKbSA", "Video")</f>
        <v/>
      </c>
      <c r="B4135" t="inlineStr">
        <is>
          <t>24:55</t>
        </is>
      </c>
      <c r="C4135" t="inlineStr">
        <is>
          <t>in the right direction how can we see</t>
        </is>
      </c>
      <c r="D4135">
        <f>HYPERLINK("https://www.youtube.com/watch?v=oCgewIIKbSA&amp;t=1495s", "Go to time")</f>
        <v/>
      </c>
    </row>
    <row r="4136">
      <c r="A4136">
        <f>HYPERLINK("https://www.youtube.com/watch?v=hfDkDzZ9GsU", "Video")</f>
        <v/>
      </c>
      <c r="B4136" t="inlineStr">
        <is>
          <t>2:43</t>
        </is>
      </c>
      <c r="C4136" t="inlineStr">
        <is>
          <t>Cheryl was the nutrition director</t>
        </is>
      </c>
      <c r="D4136">
        <f>HYPERLINK("https://www.youtube.com/watch?v=hfDkDzZ9GsU&amp;t=163s", "Go to time")</f>
        <v/>
      </c>
    </row>
    <row r="4137">
      <c r="A4137">
        <f>HYPERLINK("https://www.youtube.com/watch?v=hfDkDzZ9GsU", "Video")</f>
        <v/>
      </c>
      <c r="B4137" t="inlineStr">
        <is>
          <t>9:01</t>
        </is>
      </c>
      <c r="C4137" t="inlineStr">
        <is>
          <t>Donna Martin is the school nutrition
director at Burke County</t>
        </is>
      </c>
      <c r="D4137">
        <f>HYPERLINK("https://www.youtube.com/watch?v=hfDkDzZ9GsU&amp;t=541s", "Go to time")</f>
        <v/>
      </c>
    </row>
    <row r="4138">
      <c r="A4138">
        <f>HYPERLINK("https://www.youtube.com/watch?v=_qgSz1UmcBM", "Video")</f>
        <v/>
      </c>
      <c r="B4138" t="inlineStr">
        <is>
          <t>12:47</t>
        </is>
      </c>
      <c r="C4138" t="inlineStr">
        <is>
          <t>so that it doesn't just move
in one direction or the other,</t>
        </is>
      </c>
      <c r="D4138">
        <f>HYPERLINK("https://www.youtube.com/watch?v=_qgSz1UmcBM&amp;t=767s", "Go to time")</f>
        <v/>
      </c>
    </row>
    <row r="4139">
      <c r="A4139">
        <f>HYPERLINK("https://www.youtube.com/watch?v=_qgSz1UmcBM", "Video")</f>
        <v/>
      </c>
      <c r="B4139" t="inlineStr">
        <is>
          <t>14:34</t>
        </is>
      </c>
      <c r="C4139" t="inlineStr">
        <is>
          <t>to give it directional information --
a built-in compass.</t>
        </is>
      </c>
      <c r="D4139">
        <f>HYPERLINK("https://www.youtube.com/watch?v=_qgSz1UmcBM&amp;t=874s", "Go to time")</f>
        <v/>
      </c>
    </row>
    <row r="4140">
      <c r="A4140">
        <f>HYPERLINK("https://www.youtube.com/watch?v=_qgSz1UmcBM", "Video")</f>
        <v/>
      </c>
      <c r="B4140" t="inlineStr">
        <is>
          <t>15:22</t>
        </is>
      </c>
      <c r="C4140" t="inlineStr">
        <is>
          <t>that is very sensitive
to the direction the bird flies</t>
        </is>
      </c>
      <c r="D4140">
        <f>HYPERLINK("https://www.youtube.com/watch?v=_qgSz1UmcBM&amp;t=922s", "Go to time")</f>
        <v/>
      </c>
    </row>
    <row r="4141">
      <c r="A4141">
        <f>HYPERLINK("https://www.youtube.com/watch?v=ozMCb0wOnMU", "Video")</f>
        <v/>
      </c>
      <c r="B4141" t="inlineStr">
        <is>
          <t>4:13</t>
        </is>
      </c>
      <c r="C4141" t="inlineStr">
        <is>
          <t>to plan, organize and direct
innovative marketing campaigns</t>
        </is>
      </c>
      <c r="D4141">
        <f>HYPERLINK("https://www.youtube.com/watch?v=ozMCb0wOnMU&amp;t=253s", "Go to time")</f>
        <v/>
      </c>
    </row>
    <row r="4142">
      <c r="A4142">
        <f>HYPERLINK("https://www.youtube.com/watch?v=gzzEUm_78Qw", "Video")</f>
        <v/>
      </c>
      <c r="B4142" t="inlineStr">
        <is>
          <t>0:56</t>
        </is>
      </c>
      <c r="C4142" t="inlineStr">
        <is>
          <t>that is directly linked
to our brain's limbic system,</t>
        </is>
      </c>
      <c r="D4142">
        <f>HYPERLINK("https://www.youtube.com/watch?v=gzzEUm_78Qw&amp;t=56s", "Go to time")</f>
        <v/>
      </c>
    </row>
    <row r="4143">
      <c r="A4143">
        <f>HYPERLINK("https://www.youtube.com/watch?v=gzzEUm_78Qw", "Video")</f>
        <v/>
      </c>
      <c r="B4143" t="inlineStr">
        <is>
          <t>4:28</t>
        </is>
      </c>
      <c r="C4143" t="inlineStr">
        <is>
          <t>is directly linked to how
we experience the world.</t>
        </is>
      </c>
      <c r="D4143">
        <f>HYPERLINK("https://www.youtube.com/watch?v=gzzEUm_78Qw&amp;t=268s", "Go to time")</f>
        <v/>
      </c>
    </row>
    <row r="4144">
      <c r="A4144">
        <f>HYPERLINK("https://www.youtube.com/watch?v=L-q-tSHo9Ho", "Video")</f>
        <v/>
      </c>
      <c r="B4144" t="inlineStr">
        <is>
          <t>5:18</t>
        </is>
      </c>
      <c r="C4144" t="inlineStr">
        <is>
          <t>And it can go in both directions.</t>
        </is>
      </c>
      <c r="D4144">
        <f>HYPERLINK("https://www.youtube.com/watch?v=L-q-tSHo9Ho&amp;t=318s", "Go to time")</f>
        <v/>
      </c>
    </row>
    <row r="4145">
      <c r="A4145">
        <f>HYPERLINK("https://www.youtube.com/watch?v=L-q-tSHo9Ho", "Video")</f>
        <v/>
      </c>
      <c r="B4145" t="inlineStr">
        <is>
          <t>6:38</t>
        </is>
      </c>
      <c r="C4145" t="inlineStr">
        <is>
          <t>Is it sex-related to have pressure
directly against your clitoris?</t>
        </is>
      </c>
      <c r="D4145">
        <f>HYPERLINK("https://www.youtube.com/watch?v=L-q-tSHo9Ho&amp;t=398s", "Go to time")</f>
        <v/>
      </c>
    </row>
    <row r="4146">
      <c r="A4146">
        <f>HYPERLINK("https://www.youtube.com/watch?v=3MwMII8n1qM", "Video")</f>
        <v/>
      </c>
      <c r="B4146" t="inlineStr">
        <is>
          <t>7:44</t>
        </is>
      </c>
      <c r="C4146" t="inlineStr">
        <is>
          <t>think outside your direct ecosystem</t>
        </is>
      </c>
      <c r="D4146">
        <f>HYPERLINK("https://www.youtube.com/watch?v=3MwMII8n1qM&amp;t=464s", "Go to time")</f>
        <v/>
      </c>
    </row>
    <row r="4147">
      <c r="A4147">
        <f>HYPERLINK("https://www.youtube.com/watch?v=3MwMII8n1qM", "Video")</f>
        <v/>
      </c>
      <c r="B4147" t="inlineStr">
        <is>
          <t>8:02</t>
        </is>
      </c>
      <c r="C4147" t="inlineStr">
        <is>
          <t>Other construction companies,
but they're direct competitors.</t>
        </is>
      </c>
      <c r="D4147">
        <f>HYPERLINK("https://www.youtube.com/watch?v=3MwMII8n1qM&amp;t=482s", "Go to time")</f>
        <v/>
      </c>
    </row>
    <row r="4148">
      <c r="A4148">
        <f>HYPERLINK("https://www.youtube.com/watch?v=eXdVDhOGqoE", "Video")</f>
        <v/>
      </c>
      <c r="B4148" t="inlineStr">
        <is>
          <t>10:11</t>
        </is>
      </c>
      <c r="C4148" t="inlineStr">
        <is>
          <t>and we can collectively decide
what direction we want to go in together.</t>
        </is>
      </c>
      <c r="D4148">
        <f>HYPERLINK("https://www.youtube.com/watch?v=eXdVDhOGqoE&amp;t=611s", "Go to time")</f>
        <v/>
      </c>
    </row>
    <row r="4149">
      <c r="A4149">
        <f>HYPERLINK("https://www.youtube.com/watch?v=ojZav0u29B4", "Video")</f>
        <v/>
      </c>
      <c r="B4149" t="inlineStr">
        <is>
          <t>0:59</t>
        </is>
      </c>
      <c r="C4149" t="inlineStr">
        <is>
          <t>we would not see such dire consequences</t>
        </is>
      </c>
      <c r="D4149">
        <f>HYPERLINK("https://www.youtube.com/watch?v=ojZav0u29B4&amp;t=59s", "Go to time")</f>
        <v/>
      </c>
    </row>
    <row r="4150">
      <c r="A4150">
        <f>HYPERLINK("https://www.youtube.com/watch?v=ros3INVOQEU", "Video")</f>
        <v/>
      </c>
      <c r="B4150" t="inlineStr">
        <is>
          <t>5:32</t>
        </is>
      </c>
      <c r="C4150" t="inlineStr">
        <is>
          <t>What you're going to see on screen
is a bidirectional conversation,</t>
        </is>
      </c>
      <c r="D4150">
        <f>HYPERLINK("https://www.youtube.com/watch?v=ros3INVOQEU&amp;t=332s", "Go to time")</f>
        <v/>
      </c>
    </row>
    <row r="4151">
      <c r="A4151">
        <f>HYPERLINK("https://www.youtube.com/watch?v=p-Yd4PdmYzg", "Video")</f>
        <v/>
      </c>
      <c r="B4151" t="inlineStr">
        <is>
          <t>1:10</t>
        </is>
      </c>
      <c r="C4151" t="inlineStr">
        <is>
          <t>We can order food to be delivered
directly to our sofa,</t>
        </is>
      </c>
      <c r="D4151">
        <f>HYPERLINK("https://www.youtube.com/watch?v=p-Yd4PdmYzg&amp;t=70s", "Go to time")</f>
        <v/>
      </c>
    </row>
    <row r="4152">
      <c r="A4152">
        <f>HYPERLINK("https://www.youtube.com/watch?v=bYi6GMv5Erw", "Video")</f>
        <v/>
      </c>
      <c r="B4152" t="inlineStr">
        <is>
          <t>6:58</t>
        </is>
      </c>
      <c r="C4152" t="inlineStr">
        <is>
          <t>and they work directly
with a designated advocate</t>
        </is>
      </c>
      <c r="D4152">
        <f>HYPERLINK("https://www.youtube.com/watch?v=bYi6GMv5Erw&amp;t=418s", "Go to time")</f>
        <v/>
      </c>
    </row>
    <row r="4153">
      <c r="A4153">
        <f>HYPERLINK("https://www.youtube.com/watch?v=eDPmvxtbC10", "Video")</f>
        <v/>
      </c>
      <c r="B4153" t="inlineStr">
        <is>
          <t>0:09</t>
        </is>
      </c>
      <c r="C4153" t="inlineStr">
        <is>
          <t>We're going to be talking
about your directorial feature debut</t>
        </is>
      </c>
      <c r="D4153">
        <f>HYPERLINK("https://www.youtube.com/watch?v=eDPmvxtbC10&amp;t=9s", "Go to time")</f>
        <v/>
      </c>
    </row>
    <row r="4154">
      <c r="A4154">
        <f>HYPERLINK("https://www.youtube.com/watch?v=XqUOgqlZ8bc", "Video")</f>
        <v/>
      </c>
      <c r="B4154" t="inlineStr">
        <is>
          <t>0:41</t>
        </is>
      </c>
      <c r="C4154" t="inlineStr">
        <is>
          <t>he constructed a pattern that could be
expanded infinitely in any direction</t>
        </is>
      </c>
      <c r="D4154">
        <f>HYPERLINK("https://www.youtube.com/watch?v=XqUOgqlZ8bc&amp;t=41s", "Go to time")</f>
        <v/>
      </c>
    </row>
    <row r="4155">
      <c r="A4155">
        <f>HYPERLINK("https://www.youtube.com/watch?v=cmpu58yv8-g", "Video")</f>
        <v/>
      </c>
      <c r="B4155" t="inlineStr">
        <is>
          <t>5:46</t>
        </is>
      </c>
      <c r="C4155" t="inlineStr">
        <is>
          <t>as a direct representation
of the world around you.</t>
        </is>
      </c>
      <c r="D4155">
        <f>HYPERLINK("https://www.youtube.com/watch?v=cmpu58yv8-g&amp;t=346s", "Go to time")</f>
        <v/>
      </c>
    </row>
    <row r="4156">
      <c r="A4156">
        <f>HYPERLINK("https://www.youtube.com/watch?v=eZ5MM28abKo", "Video")</f>
        <v/>
      </c>
      <c r="B4156" t="inlineStr">
        <is>
          <t>3:54</t>
        </is>
      </c>
      <c r="C4156" t="inlineStr">
        <is>
          <t>will go directly toward delivering
deworming treatments</t>
        </is>
      </c>
      <c r="D4156">
        <f>HYPERLINK("https://www.youtube.com/watch?v=eZ5MM28abKo&amp;t=234s", "Go to time")</f>
        <v/>
      </c>
    </row>
    <row r="4157">
      <c r="A4157">
        <f>HYPERLINK("https://www.youtube.com/watch?v=lVLzrrANpnc", "Video")</f>
        <v/>
      </c>
      <c r="B4157" t="inlineStr">
        <is>
          <t>6:50</t>
        </is>
      </c>
      <c r="C4157" t="inlineStr">
        <is>
          <t>These are important directions
addressing narrow body ideals</t>
        </is>
      </c>
      <c r="D4157">
        <f>HYPERLINK("https://www.youtube.com/watch?v=lVLzrrANpnc&amp;t=410s", "Go to time")</f>
        <v/>
      </c>
    </row>
    <row r="4158">
      <c r="A4158">
        <f>HYPERLINK("https://www.youtube.com/watch?v=lVLzrrANpnc", "Video")</f>
        <v/>
      </c>
      <c r="B4158" t="inlineStr">
        <is>
          <t>8:53</t>
        </is>
      </c>
      <c r="C4158" t="inlineStr">
        <is>
          <t>We are in dire need of healthy bodies,
societies and environments.</t>
        </is>
      </c>
      <c r="D4158">
        <f>HYPERLINK("https://www.youtube.com/watch?v=lVLzrrANpnc&amp;t=533s", "Go to time")</f>
        <v/>
      </c>
    </row>
    <row r="4159">
      <c r="A4159">
        <f>HYPERLINK("https://www.youtube.com/watch?v=Rjre6diN35A", "Video")</f>
        <v/>
      </c>
      <c r="B4159" t="inlineStr">
        <is>
          <t>2:11</t>
        </is>
      </c>
      <c r="C4159" t="inlineStr">
        <is>
          <t>is that none of these countries
directly measures how much water they use.</t>
        </is>
      </c>
      <c r="D4159">
        <f>HYPERLINK("https://www.youtube.com/watch?v=Rjre6diN35A&amp;t=131s", "Go to time")</f>
        <v/>
      </c>
    </row>
    <row r="4160">
      <c r="A4160">
        <f>HYPERLINK("https://www.youtube.com/watch?v=Rjre6diN35A", "Video")</f>
        <v/>
      </c>
      <c r="B4160" t="inlineStr">
        <is>
          <t>9:31</t>
        </is>
      </c>
      <c r="C4160" t="inlineStr">
        <is>
          <t>so this creates crucial incentives
to work directly with the communities</t>
        </is>
      </c>
      <c r="D4160">
        <f>HYPERLINK("https://www.youtube.com/watch?v=Rjre6diN35A&amp;t=571s", "Go to time")</f>
        <v/>
      </c>
    </row>
    <row r="4161">
      <c r="A4161">
        <f>HYPERLINK("https://www.youtube.com/watch?v=8NSQYO2es3U", "Video")</f>
        <v/>
      </c>
      <c r="B4161" t="inlineStr">
        <is>
          <t>3:16</t>
        </is>
      </c>
      <c r="C4161" t="inlineStr">
        <is>
          <t>that have been directly impacted
by the climate crisis.</t>
        </is>
      </c>
      <c r="D4161">
        <f>HYPERLINK("https://www.youtube.com/watch?v=8NSQYO2es3U&amp;t=196s", "Go to time")</f>
        <v/>
      </c>
    </row>
    <row r="4162">
      <c r="A4162">
        <f>HYPERLINK("https://www.youtube.com/watch?v=NX0Plqw73K0", "Video")</f>
        <v/>
      </c>
      <c r="B4162" t="inlineStr">
        <is>
          <t>5:23</t>
        </is>
      </c>
      <c r="C4162" t="inlineStr">
        <is>
          <t>and deliver a warning directly to the cars
if they are approaching too quickly.</t>
        </is>
      </c>
      <c r="D4162">
        <f>HYPERLINK("https://www.youtube.com/watch?v=NX0Plqw73K0&amp;t=323s", "Go to time")</f>
        <v/>
      </c>
    </row>
    <row r="4163">
      <c r="A4163">
        <f>HYPERLINK("https://www.youtube.com/watch?v=j97WsAz3CDY", "Video")</f>
        <v/>
      </c>
      <c r="B4163" t="inlineStr">
        <is>
          <t>8:17</t>
        </is>
      </c>
      <c r="C4163" t="inlineStr">
        <is>
          <t>digression seems
the most direct route through</t>
        </is>
      </c>
      <c r="D4163">
        <f>HYPERLINK("https://www.youtube.com/watch?v=j97WsAz3CDY&amp;t=497s", "Go to time")</f>
        <v/>
      </c>
    </row>
    <row r="4164">
      <c r="A4164">
        <f>HYPERLINK("https://www.youtube.com/watch?v=atQtlbO6D2Y", "Video")</f>
        <v/>
      </c>
      <c r="B4164" t="inlineStr">
        <is>
          <t>6:40</t>
        </is>
      </c>
      <c r="C4164" t="inlineStr">
        <is>
          <t>The director of the National
Suicide Prevention Lifeline said</t>
        </is>
      </c>
      <c r="D4164">
        <f>HYPERLINK("https://www.youtube.com/watch?v=atQtlbO6D2Y&amp;t=400s", "Go to time")</f>
        <v/>
      </c>
    </row>
    <row r="4165">
      <c r="A4165">
        <f>HYPERLINK("https://www.youtube.com/watch?v=vjXJ4f-OW0U", "Video")</f>
        <v/>
      </c>
      <c r="B4165" t="inlineStr">
        <is>
          <t>11:15</t>
        </is>
      </c>
      <c r="C4165" t="inlineStr">
        <is>
          <t>Now you cannot connect things
directly to the cloud, obviously.</t>
        </is>
      </c>
      <c r="D4165">
        <f>HYPERLINK("https://www.youtube.com/watch?v=vjXJ4f-OW0U&amp;t=675s", "Go to time")</f>
        <v/>
      </c>
    </row>
    <row r="4166">
      <c r="A4166">
        <f>HYPERLINK("https://www.youtube.com/watch?v=YRvf00NooN8", "Video")</f>
        <v/>
      </c>
      <c r="B4166" t="inlineStr">
        <is>
          <t>28:13</t>
        </is>
      </c>
      <c r="C4166" t="inlineStr">
        <is>
          <t>and goes in the direction
that for some reason we don't like.</t>
        </is>
      </c>
      <c r="D4166">
        <f>HYPERLINK("https://www.youtube.com/watch?v=YRvf00NooN8&amp;t=1693s", "Go to time")</f>
        <v/>
      </c>
    </row>
    <row r="4167">
      <c r="A4167">
        <f>HYPERLINK("https://www.youtube.com/watch?v=YRvf00NooN8", "Video")</f>
        <v/>
      </c>
      <c r="B4167" t="inlineStr">
        <is>
          <t>28:17</t>
        </is>
      </c>
      <c r="C4167" t="inlineStr">
        <is>
          <t>Whatever direction it might go.</t>
        </is>
      </c>
      <c r="D4167">
        <f>HYPERLINK("https://www.youtube.com/watch?v=YRvf00NooN8&amp;t=1697s", "Go to time")</f>
        <v/>
      </c>
    </row>
    <row r="4168">
      <c r="A4168">
        <f>HYPERLINK("https://www.youtube.com/watch?v=YRvf00NooN8", "Video")</f>
        <v/>
      </c>
      <c r="B4168" t="inlineStr">
        <is>
          <t>28:51</t>
        </is>
      </c>
      <c r="C4168" t="inlineStr">
        <is>
          <t>that are so vastly intelligent,
we ought to be wired directly to them</t>
        </is>
      </c>
      <c r="D4168">
        <f>HYPERLINK("https://www.youtube.com/watch?v=YRvf00NooN8&amp;t=1731s", "Go to time")</f>
        <v/>
      </c>
    </row>
    <row r="4169">
      <c r="A4169">
        <f>HYPERLINK("https://www.youtube.com/watch?v=YRvf00NooN8", "Video")</f>
        <v/>
      </c>
      <c r="B4169" t="inlineStr">
        <is>
          <t>28:54</t>
        </is>
      </c>
      <c r="C4169" t="inlineStr">
        <is>
          <t>so that we ourselves can have
those superpowers more directly.</t>
        </is>
      </c>
      <c r="D4169">
        <f>HYPERLINK("https://www.youtube.com/watch?v=YRvf00NooN8&amp;t=1734s", "Go to time")</f>
        <v/>
      </c>
    </row>
    <row r="4170">
      <c r="A4170">
        <f>HYPERLINK("https://www.youtube.com/watch?v=YRvf00NooN8", "Video")</f>
        <v/>
      </c>
      <c r="B4170" t="inlineStr">
        <is>
          <t>49:01</t>
        </is>
      </c>
      <c r="C4170" t="inlineStr">
        <is>
          <t>But I’d like to at least see us make
great progress in this direction.</t>
        </is>
      </c>
      <c r="D4170">
        <f>HYPERLINK("https://www.youtube.com/watch?v=YRvf00NooN8&amp;t=2941s", "Go to time")</f>
        <v/>
      </c>
    </row>
    <row r="4171">
      <c r="A4171">
        <f>HYPERLINK("https://www.youtube.com/watch?v=YRvf00NooN8", "Video")</f>
        <v/>
      </c>
      <c r="B4171" t="inlineStr">
        <is>
          <t>50:00</t>
        </is>
      </c>
      <c r="C4171" t="inlineStr">
        <is>
          <t>I would advocate for more
of a direct democracy,</t>
        </is>
      </c>
      <c r="D4171">
        <f>HYPERLINK("https://www.youtube.com/watch?v=YRvf00NooN8&amp;t=3000s", "Go to time")</f>
        <v/>
      </c>
    </row>
    <row r="4172">
      <c r="A4172">
        <f>HYPERLINK("https://www.youtube.com/watch?v=VHMYl70ibHQ", "Video")</f>
        <v/>
      </c>
      <c r="B4172" t="inlineStr">
        <is>
          <t>4:56</t>
        </is>
      </c>
      <c r="C4172" t="inlineStr">
        <is>
          <t>We are directing our recovery
in this direction.</t>
        </is>
      </c>
      <c r="D4172">
        <f>HYPERLINK("https://www.youtube.com/watch?v=VHMYl70ibHQ&amp;t=296s", "Go to time")</f>
        <v/>
      </c>
    </row>
    <row r="4173">
      <c r="A4173">
        <f>HYPERLINK("https://www.youtube.com/watch?v=VHMYl70ibHQ", "Video")</f>
        <v/>
      </c>
      <c r="B4173" t="inlineStr">
        <is>
          <t>5:29</t>
        </is>
      </c>
      <c r="C4173" t="inlineStr">
        <is>
          <t>need to move in the same direction</t>
        </is>
      </c>
      <c r="D4173">
        <f>HYPERLINK("https://www.youtube.com/watch?v=VHMYl70ibHQ&amp;t=329s", "Go to time")</f>
        <v/>
      </c>
    </row>
    <row r="4174">
      <c r="A4174">
        <f>HYPERLINK("https://www.youtube.com/watch?v=Y8tqH6MnJUU", "Video")</f>
        <v/>
      </c>
      <c r="B4174" t="inlineStr">
        <is>
          <t>5:03</t>
        </is>
      </c>
      <c r="C4174" t="inlineStr">
        <is>
          <t>by helping companies work
more directly with pastoralists,</t>
        </is>
      </c>
      <c r="D4174">
        <f>HYPERLINK("https://www.youtube.com/watch?v=Y8tqH6MnJUU&amp;t=303s", "Go to time")</f>
        <v/>
      </c>
    </row>
    <row r="4175">
      <c r="A4175">
        <f>HYPERLINK("https://www.youtube.com/watch?v=Y8tqH6MnJUU", "Video")</f>
        <v/>
      </c>
      <c r="B4175" t="inlineStr">
        <is>
          <t>9:39</t>
        </is>
      </c>
      <c r="C4175" t="inlineStr">
        <is>
          <t>but this is a much-needed step
in the right direction</t>
        </is>
      </c>
      <c r="D4175">
        <f>HYPERLINK("https://www.youtube.com/watch?v=Y8tqH6MnJUU&amp;t=579s", "Go to time")</f>
        <v/>
      </c>
    </row>
    <row r="4176">
      <c r="A4176">
        <f>HYPERLINK("https://www.youtube.com/watch?v=RxrB7PDLJ18", "Video")</f>
        <v/>
      </c>
      <c r="B4176" t="inlineStr">
        <is>
          <t>2:02</t>
        </is>
      </c>
      <c r="C4176" t="inlineStr">
        <is>
          <t>there will be some directions
where you get more energy</t>
        </is>
      </c>
      <c r="D4176">
        <f>HYPERLINK("https://www.youtube.com/watch?v=RxrB7PDLJ18&amp;t=122s", "Go to time")</f>
        <v/>
      </c>
    </row>
    <row r="4177">
      <c r="A4177">
        <f>HYPERLINK("https://www.youtube.com/watch?v=RxrB7PDLJ18", "Video")</f>
        <v/>
      </c>
      <c r="B4177" t="inlineStr">
        <is>
          <t>2:05</t>
        </is>
      </c>
      <c r="C4177" t="inlineStr">
        <is>
          <t>and there are some directions
that you will get less.</t>
        </is>
      </c>
      <c r="D4177">
        <f>HYPERLINK("https://www.youtube.com/watch?v=RxrB7PDLJ18&amp;t=125s", "Go to time")</f>
        <v/>
      </c>
    </row>
    <row r="4178">
      <c r="A4178">
        <f>HYPERLINK("https://www.youtube.com/watch?v=RxrB7PDLJ18", "Video")</f>
        <v/>
      </c>
      <c r="B4178" t="inlineStr">
        <is>
          <t>2:08</t>
        </is>
      </c>
      <c r="C4178" t="inlineStr">
        <is>
          <t>Can we make it go only in one direction?</t>
        </is>
      </c>
      <c r="D4178">
        <f>HYPERLINK("https://www.youtube.com/watch?v=RxrB7PDLJ18&amp;t=128s", "Go to time")</f>
        <v/>
      </c>
    </row>
    <row r="4179">
      <c r="A4179">
        <f>HYPERLINK("https://www.youtube.com/watch?v=RxrB7PDLJ18", "Video")</f>
        <v/>
      </c>
      <c r="B4179" t="inlineStr">
        <is>
          <t>2:35</t>
        </is>
      </c>
      <c r="C4179" t="inlineStr">
        <is>
          <t>the result is that the energy
is going mostly in one direction.</t>
        </is>
      </c>
      <c r="D4179">
        <f>HYPERLINK("https://www.youtube.com/watch?v=RxrB7PDLJ18&amp;t=155s", "Go to time")</f>
        <v/>
      </c>
    </row>
    <row r="4180">
      <c r="A4180">
        <f>HYPERLINK("https://www.youtube.com/watch?v=RxrB7PDLJ18", "Video")</f>
        <v/>
      </c>
      <c r="B4180" t="inlineStr">
        <is>
          <t>2:56</t>
        </is>
      </c>
      <c r="C4180" t="inlineStr">
        <is>
          <t>what happens is that these waves
start going in different directions,</t>
        </is>
      </c>
      <c r="D4180">
        <f>HYPERLINK("https://www.youtube.com/watch?v=RxrB7PDLJ18&amp;t=176s", "Go to time")</f>
        <v/>
      </c>
    </row>
    <row r="4181">
      <c r="A4181">
        <f>HYPERLINK("https://www.youtube.com/watch?v=RxrB7PDLJ18", "Video")</f>
        <v/>
      </c>
      <c r="B4181" t="inlineStr">
        <is>
          <t>2:59</t>
        </is>
      </c>
      <c r="C4181" t="inlineStr">
        <is>
          <t>and you can change that direction</t>
        </is>
      </c>
      <c r="D4181">
        <f>HYPERLINK("https://www.youtube.com/watch?v=RxrB7PDLJ18&amp;t=179s", "Go to time")</f>
        <v/>
      </c>
    </row>
    <row r="4182">
      <c r="A4182">
        <f>HYPERLINK("https://www.youtube.com/watch?v=RxrB7PDLJ18", "Video")</f>
        <v/>
      </c>
      <c r="B4182" t="inlineStr">
        <is>
          <t>3:08</t>
        </is>
      </c>
      <c r="C4182" t="inlineStr">
        <is>
          <t>Now, this makes it possible
to change this direction</t>
        </is>
      </c>
      <c r="D4182">
        <f>HYPERLINK("https://www.youtube.com/watch?v=RxrB7PDLJ18&amp;t=188s", "Go to time")</f>
        <v/>
      </c>
    </row>
    <row r="4183">
      <c r="A4183">
        <f>HYPERLINK("https://www.youtube.com/watch?v=5kY_hDxnYx0", "Video")</f>
        <v/>
      </c>
      <c r="B4183" t="inlineStr">
        <is>
          <t>10:14</t>
        </is>
      </c>
      <c r="C4183" t="inlineStr">
        <is>
          <t>who are so used to seeing themselves
directly mirrored back</t>
        </is>
      </c>
      <c r="D4183">
        <f>HYPERLINK("https://www.youtube.com/watch?v=5kY_hDxnYx0&amp;t=614s", "Go to time")</f>
        <v/>
      </c>
    </row>
    <row r="4184">
      <c r="A4184">
        <f>HYPERLINK("https://www.youtube.com/watch?v=5kY_hDxnYx0", "Video")</f>
        <v/>
      </c>
      <c r="B4184" t="inlineStr">
        <is>
          <t>10:28</t>
        </is>
      </c>
      <c r="C4184" t="inlineStr">
        <is>
          <t>who doesn't directly mirror them
in both of those ways,</t>
        </is>
      </c>
      <c r="D4184">
        <f>HYPERLINK("https://www.youtube.com/watch?v=5kY_hDxnYx0&amp;t=628s", "Go to time")</f>
        <v/>
      </c>
    </row>
    <row r="4185">
      <c r="A4185">
        <f>HYPERLINK("https://www.youtube.com/watch?v=avuhY7D71sQ", "Video")</f>
        <v/>
      </c>
      <c r="B4185" t="inlineStr">
        <is>
          <t>11:00</t>
        </is>
      </c>
      <c r="C4185" t="inlineStr">
        <is>
          <t>is that patients are telling us
their side effects indirectly</t>
        </is>
      </c>
      <c r="D4185">
        <f>HYPERLINK("https://www.youtube.com/watch?v=avuhY7D71sQ&amp;t=660s", "Go to time")</f>
        <v/>
      </c>
    </row>
    <row r="4186">
      <c r="A4186">
        <f>HYPERLINK("https://www.youtube.com/watch?v=1o9NEtA2IEQ", "Video")</f>
        <v/>
      </c>
      <c r="B4186" t="inlineStr">
        <is>
          <t>3:56</t>
        </is>
      </c>
      <c r="C4186" t="inlineStr">
        <is>
          <t>but it didn't always flow
in this direction.</t>
        </is>
      </c>
      <c r="D4186">
        <f>HYPERLINK("https://www.youtube.com/watch?v=1o9NEtA2IEQ&amp;t=236s", "Go to time")</f>
        <v/>
      </c>
    </row>
    <row r="4187">
      <c r="A4187">
        <f>HYPERLINK("https://www.youtube.com/watch?v=dMYvWg7JF3I", "Video")</f>
        <v/>
      </c>
      <c r="B4187" t="inlineStr">
        <is>
          <t>1:19</t>
        </is>
      </c>
      <c r="C4187" t="inlineStr">
        <is>
          <t>directly from the community.</t>
        </is>
      </c>
      <c r="D4187">
        <f>HYPERLINK("https://www.youtube.com/watch?v=dMYvWg7JF3I&amp;t=79s", "Go to time")</f>
        <v/>
      </c>
    </row>
    <row r="4188">
      <c r="A4188">
        <f>HYPERLINK("https://www.youtube.com/watch?v=DOa5ijO5Ba4", "Video")</f>
        <v/>
      </c>
      <c r="B4188" t="inlineStr">
        <is>
          <t>37:35</t>
        </is>
      </c>
      <c r="C4188" t="inlineStr">
        <is>
          <t>that start to move in this direction,</t>
        </is>
      </c>
      <c r="D4188">
        <f>HYPERLINK("https://www.youtube.com/watch?v=DOa5ijO5Ba4&amp;t=2255s", "Go to time")</f>
        <v/>
      </c>
    </row>
    <row r="4189">
      <c r="A4189">
        <f>HYPERLINK("https://www.youtube.com/watch?v=IzTpuucqim0", "Video")</f>
        <v/>
      </c>
      <c r="B4189" t="inlineStr">
        <is>
          <t>12:46</t>
        </is>
      </c>
      <c r="C4189" t="inlineStr">
        <is>
          <t>and take advantage of positive directions.</t>
        </is>
      </c>
      <c r="D4189">
        <f>HYPERLINK("https://www.youtube.com/watch?v=IzTpuucqim0&amp;t=766s", "Go to time")</f>
        <v/>
      </c>
    </row>
    <row r="4190">
      <c r="A4190">
        <f>HYPERLINK("https://www.youtube.com/watch?v=_m8jRiOpcTA", "Video")</f>
        <v/>
      </c>
      <c r="B4190" t="inlineStr">
        <is>
          <t>4:00</t>
        </is>
      </c>
      <c r="C4190" t="inlineStr">
        <is>
          <t>These superstar art directors and writers.</t>
        </is>
      </c>
      <c r="D4190">
        <f>HYPERLINK("https://www.youtube.com/watch?v=_m8jRiOpcTA&amp;t=240s", "Go to time")</f>
        <v/>
      </c>
    </row>
    <row r="4191">
      <c r="A4191">
        <f>HYPERLINK("https://www.youtube.com/watch?v=_m8jRiOpcTA", "Video")</f>
        <v/>
      </c>
      <c r="B4191" t="inlineStr">
        <is>
          <t>6:28</t>
        </is>
      </c>
      <c r="C4191" t="inlineStr">
        <is>
          <t>I was a creative director
at an advertising agency.</t>
        </is>
      </c>
      <c r="D4191">
        <f>HYPERLINK("https://www.youtube.com/watch?v=_m8jRiOpcTA&amp;t=388s", "Go to time")</f>
        <v/>
      </c>
    </row>
    <row r="4192">
      <c r="A4192">
        <f>HYPERLINK("https://www.youtube.com/watch?v=JpytM780stk", "Video")</f>
        <v/>
      </c>
      <c r="B4192" t="inlineStr">
        <is>
          <t>13:19</t>
        </is>
      </c>
      <c r="C4192" t="inlineStr">
        <is>
          <t>And it actually changed
my whole research direction.</t>
        </is>
      </c>
      <c r="D4192">
        <f>HYPERLINK("https://www.youtube.com/watch?v=JpytM780stk&amp;t=799s", "Go to time")</f>
        <v/>
      </c>
    </row>
    <row r="4193">
      <c r="A4193">
        <f>HYPERLINK("https://www.youtube.com/watch?v=zFJH9zUK2mo", "Video")</f>
        <v/>
      </c>
      <c r="B4193" t="inlineStr">
        <is>
          <t>7:20</t>
        </is>
      </c>
      <c r="C4193" t="inlineStr">
        <is>
          <t>after the director explored the deep sea.</t>
        </is>
      </c>
      <c r="D4193">
        <f>HYPERLINK("https://www.youtube.com/watch?v=zFJH9zUK2mo&amp;t=440s", "Go to time")</f>
        <v/>
      </c>
    </row>
    <row r="4194">
      <c r="A4194">
        <f>HYPERLINK("https://www.youtube.com/watch?v=r9lDDetKMi4", "Video")</f>
        <v/>
      </c>
      <c r="B4194" t="inlineStr">
        <is>
          <t>3:29</t>
        </is>
      </c>
      <c r="C4194" t="inlineStr">
        <is>
          <t>Because no one country is directly
responsible for permafrost thaw,</t>
        </is>
      </c>
      <c r="D4194">
        <f>HYPERLINK("https://www.youtube.com/watch?v=r9lDDetKMi4&amp;t=209s", "Go to time")</f>
        <v/>
      </c>
    </row>
    <row r="4195">
      <c r="A4195">
        <f>HYPERLINK("https://www.youtube.com/watch?v=Vl6VhCAeEfQ", "Video")</f>
        <v/>
      </c>
      <c r="B4195" t="inlineStr">
        <is>
          <t>4:52</t>
        </is>
      </c>
      <c r="C4195" t="inlineStr">
        <is>
          <t>and both are moving
in the wrong direction.</t>
        </is>
      </c>
      <c r="D4195">
        <f>HYPERLINK("https://www.youtube.com/watch?v=Vl6VhCAeEfQ&amp;t=292s", "Go to time")</f>
        <v/>
      </c>
    </row>
    <row r="4196">
      <c r="A4196">
        <f>HYPERLINK("https://www.youtube.com/watch?v=Vl6VhCAeEfQ", "Video")</f>
        <v/>
      </c>
      <c r="B4196" t="inlineStr">
        <is>
          <t>8:42</t>
        </is>
      </c>
      <c r="C4196" t="inlineStr">
        <is>
          <t>to a state that will self-amplify
in the wrong direction,</t>
        </is>
      </c>
      <c r="D4196">
        <f>HYPERLINK("https://www.youtube.com/watch?v=Vl6VhCAeEfQ&amp;t=522s", "Go to time")</f>
        <v/>
      </c>
    </row>
    <row r="4197">
      <c r="A4197">
        <f>HYPERLINK("https://www.youtube.com/watch?v=Vl6VhCAeEfQ", "Video")</f>
        <v/>
      </c>
      <c r="B4197" t="inlineStr">
        <is>
          <t>17:16</t>
        </is>
      </c>
      <c r="C4197" t="inlineStr">
        <is>
          <t>sharing the dire scientific diagnostic.</t>
        </is>
      </c>
      <c r="D4197">
        <f>HYPERLINK("https://www.youtube.com/watch?v=Vl6VhCAeEfQ&amp;t=1036s", "Go to time")</f>
        <v/>
      </c>
    </row>
    <row r="4198">
      <c r="A4198">
        <f>HYPERLINK("https://www.youtube.com/watch?v=Vl6VhCAeEfQ", "Video")</f>
        <v/>
      </c>
      <c r="B4198" t="inlineStr">
        <is>
          <t>17:33</t>
        </is>
      </c>
      <c r="C4198" t="inlineStr">
        <is>
          <t>The most dire situation, I must admit,
in my whole professional life.</t>
        </is>
      </c>
      <c r="D4198">
        <f>HYPERLINK("https://www.youtube.com/watch?v=Vl6VhCAeEfQ&amp;t=1053s", "Go to time")</f>
        <v/>
      </c>
    </row>
    <row r="4199">
      <c r="A4199">
        <f>HYPERLINK("https://www.youtube.com/watch?v=3PmqknYmY9Q", "Video")</f>
        <v/>
      </c>
      <c r="B4199" t="inlineStr">
        <is>
          <t>2:38</t>
        </is>
      </c>
      <c r="C4199" t="inlineStr">
        <is>
          <t>by giving people direction</t>
        </is>
      </c>
      <c r="D4199">
        <f>HYPERLINK("https://www.youtube.com/watch?v=3PmqknYmY9Q&amp;t=158s", "Go to time")</f>
        <v/>
      </c>
    </row>
    <row r="4200">
      <c r="A4200">
        <f>HYPERLINK("https://www.youtube.com/watch?v=wMt0K-AbpCU", "Video")</f>
        <v/>
      </c>
      <c r="B4200" t="inlineStr">
        <is>
          <t>5:29</t>
        </is>
      </c>
      <c r="C4200" t="inlineStr">
        <is>
          <t>there can be dire consequences.</t>
        </is>
      </c>
      <c r="D4200">
        <f>HYPERLINK("https://www.youtube.com/watch?v=wMt0K-AbpCU&amp;t=329s", "Go to time")</f>
        <v/>
      </c>
    </row>
    <row r="4201">
      <c r="A4201">
        <f>HYPERLINK("https://www.youtube.com/watch?v=g4xGbbDACDw", "Video")</f>
        <v/>
      </c>
      <c r="B4201" t="inlineStr">
        <is>
          <t>7:24</t>
        </is>
      </c>
      <c r="C4201" t="inlineStr">
        <is>
          <t>to take an assistant directorship job.</t>
        </is>
      </c>
      <c r="D4201">
        <f>HYPERLINK("https://www.youtube.com/watch?v=g4xGbbDACDw&amp;t=444s", "Go to time")</f>
        <v/>
      </c>
    </row>
    <row r="4202">
      <c r="A4202">
        <f>HYPERLINK("https://www.youtube.com/watch?v=6nm8D0CkLZ4", "Video")</f>
        <v/>
      </c>
      <c r="B4202" t="inlineStr">
        <is>
          <t>12:42</t>
        </is>
      </c>
      <c r="C4202" t="inlineStr">
        <is>
          <t>You want someone that’s self-motivated
and self-directed and autonomous,</t>
        </is>
      </c>
      <c r="D4202">
        <f>HYPERLINK("https://www.youtube.com/watch?v=6nm8D0CkLZ4&amp;t=762s", "Go to time")</f>
        <v/>
      </c>
    </row>
    <row r="4203">
      <c r="A4203">
        <f>HYPERLINK("https://www.youtube.com/watch?v=shgYbdOVgpY", "Video")</f>
        <v/>
      </c>
      <c r="B4203" t="inlineStr">
        <is>
          <t>4:37</t>
        </is>
      </c>
      <c r="C4203" t="inlineStr">
        <is>
          <t>without a shared direction of travel,</t>
        </is>
      </c>
      <c r="D4203">
        <f>HYPERLINK("https://www.youtube.com/watch?v=shgYbdOVgpY&amp;t=277s", "Go to time")</f>
        <v/>
      </c>
    </row>
    <row r="4204">
      <c r="A4204">
        <f>HYPERLINK("https://www.youtube.com/watch?v=QIr_eNVtJ58", "Video")</f>
        <v/>
      </c>
      <c r="B4204" t="inlineStr">
        <is>
          <t>0:20</t>
        </is>
      </c>
      <c r="C4204" t="inlineStr">
        <is>
          <t>SJ: So the director
of “American Symphony,”</t>
        </is>
      </c>
      <c r="D4204">
        <f>HYPERLINK("https://www.youtube.com/watch?v=QIr_eNVtJ58&amp;t=20s", "Go to time")</f>
        <v/>
      </c>
    </row>
    <row r="4205">
      <c r="A4205">
        <f>HYPERLINK("https://www.youtube.com/watch?v=QIr_eNVtJ58", "Video")</f>
        <v/>
      </c>
      <c r="B4205" t="inlineStr">
        <is>
          <t>3:11</t>
        </is>
      </c>
      <c r="C4205" t="inlineStr">
        <is>
          <t>who are very much the directors
of their own creative projects and worlds,</t>
        </is>
      </c>
      <c r="D4205">
        <f>HYPERLINK("https://www.youtube.com/watch?v=QIr_eNVtJ58&amp;t=191s", "Go to time")</f>
        <v/>
      </c>
    </row>
    <row r="4206">
      <c r="A4206">
        <f>HYPERLINK("https://www.youtube.com/watch?v=QIr_eNVtJ58", "Video")</f>
        <v/>
      </c>
      <c r="B4206" t="inlineStr">
        <is>
          <t>29:41</t>
        </is>
      </c>
      <c r="C4206" t="inlineStr">
        <is>
          <t>And rather to engage in them directly.</t>
        </is>
      </c>
      <c r="D4206">
        <f>HYPERLINK("https://www.youtube.com/watch?v=QIr_eNVtJ58&amp;t=1781s", "Go to time")</f>
        <v/>
      </c>
    </row>
    <row r="4207">
      <c r="A4207">
        <f>HYPERLINK("https://www.youtube.com/watch?v=hfznpykprP0", "Video")</f>
        <v/>
      </c>
      <c r="B4207" t="inlineStr">
        <is>
          <t>11:57</t>
        </is>
      </c>
      <c r="C4207" t="inlineStr">
        <is>
          <t>each engaged directly or indirectly
beyond the continent itself,</t>
        </is>
      </c>
      <c r="D4207">
        <f>HYPERLINK("https://www.youtube.com/watch?v=hfznpykprP0&amp;t=717s", "Go to time")</f>
        <v/>
      </c>
    </row>
    <row r="4208">
      <c r="A4208">
        <f>HYPERLINK("https://www.youtube.com/watch?v=2XkZhn5Ypzo", "Video")</f>
        <v/>
      </c>
      <c r="B4208" t="inlineStr">
        <is>
          <t>5:47</t>
        </is>
      </c>
      <c r="C4208" t="inlineStr">
        <is>
          <t>remote sensing tools and direct mapping</t>
        </is>
      </c>
      <c r="D4208">
        <f>HYPERLINK("https://www.youtube.com/watch?v=2XkZhn5Ypzo&amp;t=347s", "Go to time")</f>
        <v/>
      </c>
    </row>
    <row r="4209">
      <c r="A4209">
        <f>HYPERLINK("https://www.youtube.com/watch?v=HBbBs1ohZtI", "Video")</f>
        <v/>
      </c>
      <c r="B4209" t="inlineStr">
        <is>
          <t>3:33</t>
        </is>
      </c>
      <c r="C4209" t="inlineStr">
        <is>
          <t>IRAP also provides direct legal services
both on the ground and remotely</t>
        </is>
      </c>
      <c r="D4209">
        <f>HYPERLINK("https://www.youtube.com/watch?v=HBbBs1ohZtI&amp;t=213s", "Go to time")</f>
        <v/>
      </c>
    </row>
    <row r="4210">
      <c r="A4210">
        <f>HYPERLINK("https://www.youtube.com/watch?v=F2XPF6rQ6fs", "Video")</f>
        <v/>
      </c>
      <c r="B4210" t="inlineStr">
        <is>
          <t>4:42</t>
        </is>
      </c>
      <c r="C4210" t="inlineStr">
        <is>
          <t>recently redirected 200 million dollars
of Department of Education funding</t>
        </is>
      </c>
      <c r="D4210">
        <f>HYPERLINK("https://www.youtube.com/watch?v=F2XPF6rQ6fs&amp;t=282s", "Go to time")</f>
        <v/>
      </c>
    </row>
    <row r="4211">
      <c r="A4211">
        <f>HYPERLINK("https://www.youtube.com/watch?v=MehKgIcoj6o", "Video")</f>
        <v/>
      </c>
      <c r="B4211" t="inlineStr">
        <is>
          <t>1:18</t>
        </is>
      </c>
      <c r="C4211" t="inlineStr">
        <is>
          <t>blow in the same direction
as the rotation of the Earth --</t>
        </is>
      </c>
      <c r="D4211">
        <f>HYPERLINK("https://www.youtube.com/watch?v=MehKgIcoj6o&amp;t=78s", "Go to time")</f>
        <v/>
      </c>
    </row>
    <row r="4212">
      <c r="A4212">
        <f>HYPERLINK("https://www.youtube.com/watch?v=MehKgIcoj6o", "Video")</f>
        <v/>
      </c>
      <c r="B4212" t="inlineStr">
        <is>
          <t>2:27</t>
        </is>
      </c>
      <c r="C4212" t="inlineStr">
        <is>
          <t>That phrase comes from the direction
that wind would blow dirty train smoke --</t>
        </is>
      </c>
      <c r="D4212">
        <f>HYPERLINK("https://www.youtube.com/watch?v=MehKgIcoj6o&amp;t=147s", "Go to time")</f>
        <v/>
      </c>
    </row>
    <row r="4213">
      <c r="A4213">
        <f>HYPERLINK("https://www.youtube.com/watch?v=MehKgIcoj6o", "Video")</f>
        <v/>
      </c>
      <c r="B4213" t="inlineStr">
        <is>
          <t>2:44</t>
        </is>
      </c>
      <c r="C4213" t="inlineStr">
        <is>
          <t>So if you find yourself
talking about any cardinal direction</t>
        </is>
      </c>
      <c r="D4213">
        <f>HYPERLINK("https://www.youtube.com/watch?v=MehKgIcoj6o&amp;t=164s", "Go to time")</f>
        <v/>
      </c>
    </row>
    <row r="4214">
      <c r="A4214">
        <f>HYPERLINK("https://www.youtube.com/watch?v=iB4MS1hsWXU", "Video")</f>
        <v/>
      </c>
      <c r="B4214" t="inlineStr">
        <is>
          <t>8:30</t>
        </is>
      </c>
      <c r="C4214" t="inlineStr">
        <is>
          <t>which is a way of direct --
really putting relationship first,</t>
        </is>
      </c>
      <c r="D4214">
        <f>HYPERLINK("https://www.youtube.com/watch?v=iB4MS1hsWXU&amp;t=510s", "Go to time")</f>
        <v/>
      </c>
    </row>
    <row r="4215">
      <c r="A4215">
        <f>HYPERLINK("https://www.youtube.com/watch?v=-FOCpMAww28", "Video")</f>
        <v/>
      </c>
      <c r="B4215" t="inlineStr">
        <is>
          <t>0:49</t>
        </is>
      </c>
      <c r="C4215" t="inlineStr">
        <is>
          <t>and learned directly from them</t>
        </is>
      </c>
      <c r="D4215">
        <f>HYPERLINK("https://www.youtube.com/watch?v=-FOCpMAww28&amp;t=49s", "Go to time")</f>
        <v/>
      </c>
    </row>
    <row r="4216">
      <c r="A4216">
        <f>HYPERLINK("https://www.youtube.com/watch?v=8atXMqZ_w0M", "Video")</f>
        <v/>
      </c>
      <c r="B4216" t="inlineStr">
        <is>
          <t>18:54</t>
        </is>
      </c>
      <c r="C4216" t="inlineStr">
        <is>
          <t>how to engage in nonviolent direct action.</t>
        </is>
      </c>
      <c r="D4216">
        <f>HYPERLINK("https://www.youtube.com/watch?v=8atXMqZ_w0M&amp;t=1134s", "Go to time")</f>
        <v/>
      </c>
    </row>
    <row r="4217">
      <c r="A4217">
        <f>HYPERLINK("https://www.youtube.com/watch?v=k3cCNC7pqdo", "Video")</f>
        <v/>
      </c>
      <c r="B4217" t="inlineStr">
        <is>
          <t>1:20</t>
        </is>
      </c>
      <c r="C4217" t="inlineStr">
        <is>
          <t>And we got really direct
evidence of that in the 1960s</t>
        </is>
      </c>
      <c r="D4217">
        <f>HYPERLINK("https://www.youtube.com/watch?v=k3cCNC7pqdo&amp;t=80s", "Go to time")</f>
        <v/>
      </c>
    </row>
    <row r="4218">
      <c r="A4218">
        <f>HYPERLINK("https://www.youtube.com/watch?v=k3cCNC7pqdo", "Video")</f>
        <v/>
      </c>
      <c r="B4218" t="inlineStr">
        <is>
          <t>3:11</t>
        </is>
      </c>
      <c r="C4218" t="inlineStr">
        <is>
          <t>we see this background light
every direction we look.</t>
        </is>
      </c>
      <c r="D4218">
        <f>HYPERLINK("https://www.youtube.com/watch?v=k3cCNC7pqdo&amp;t=191s", "Go to time")</f>
        <v/>
      </c>
    </row>
    <row r="4219">
      <c r="A4219">
        <f>HYPERLINK("https://www.youtube.com/watch?v=k3cCNC7pqdo", "Video")</f>
        <v/>
      </c>
      <c r="B4219" t="inlineStr">
        <is>
          <t>3:33</t>
        </is>
      </c>
      <c r="C4219" t="inlineStr">
        <is>
          <t>And so we can see
that every direction we look,</t>
        </is>
      </c>
      <c r="D4219">
        <f>HYPERLINK("https://www.youtube.com/watch?v=k3cCNC7pqdo&amp;t=213s", "Go to time")</f>
        <v/>
      </c>
    </row>
    <row r="4220">
      <c r="A4220">
        <f>HYPERLINK("https://www.youtube.com/watch?v=k3cCNC7pqdo", "Video")</f>
        <v/>
      </c>
      <c r="B4220" t="inlineStr">
        <is>
          <t>9:38</t>
        </is>
      </c>
      <c r="C4220" t="inlineStr">
        <is>
          <t>like directions that we can't conceive,</t>
        </is>
      </c>
      <c r="D4220">
        <f>HYPERLINK("https://www.youtube.com/watch?v=k3cCNC7pqdo&amp;t=578s", "Go to time")</f>
        <v/>
      </c>
    </row>
    <row r="4221">
      <c r="A4221">
        <f>HYPERLINK("https://www.youtube.com/watch?v=k3cCNC7pqdo", "Video")</f>
        <v/>
      </c>
      <c r="B4221" t="inlineStr">
        <is>
          <t>9:46</t>
        </is>
      </c>
      <c r="C4221" t="inlineStr">
        <is>
          <t>some other direction
that we don't, you know,</t>
        </is>
      </c>
      <c r="D4221">
        <f>HYPERLINK("https://www.youtube.com/watch?v=k3cCNC7pqdo&amp;t=586s", "Go to time")</f>
        <v/>
      </c>
    </row>
    <row r="4222">
      <c r="A4222">
        <f>HYPERLINK("https://www.youtube.com/watch?v=k3cCNC7pqdo", "Video")</f>
        <v/>
      </c>
      <c r="B4222" t="inlineStr">
        <is>
          <t>9:48</t>
        </is>
      </c>
      <c r="C4222" t="inlineStr">
        <is>
          <t>perpendicular to all of our
spatial directions,</t>
        </is>
      </c>
      <c r="D4222">
        <f>HYPERLINK("https://www.youtube.com/watch?v=k3cCNC7pqdo&amp;t=588s", "Go to time")</f>
        <v/>
      </c>
    </row>
    <row r="4223">
      <c r="A4223">
        <f>HYPERLINK("https://www.youtube.com/watch?v=snUI2AML9NQ", "Video")</f>
        <v/>
      </c>
      <c r="B4223" t="inlineStr">
        <is>
          <t>6:01</t>
        </is>
      </c>
      <c r="C4223" t="inlineStr">
        <is>
          <t>but often communicating directly to them.</t>
        </is>
      </c>
      <c r="D4223">
        <f>HYPERLINK("https://www.youtube.com/watch?v=snUI2AML9NQ&amp;t=361s", "Go to time")</f>
        <v/>
      </c>
    </row>
    <row r="4224">
      <c r="A4224">
        <f>HYPERLINK("https://www.youtube.com/watch?v=lY7e3CDPY4g", "Video")</f>
        <v/>
      </c>
      <c r="B4224" t="inlineStr">
        <is>
          <t>33:51</t>
        </is>
      </c>
      <c r="C4224" t="inlineStr">
        <is>
          <t>already Tech maybe even AI directly</t>
        </is>
      </c>
      <c r="D4224">
        <f>HYPERLINK("https://www.youtube.com/watch?v=lY7e3CDPY4g&amp;t=2031s", "Go to time")</f>
        <v/>
      </c>
    </row>
    <row r="4225">
      <c r="A4225">
        <f>HYPERLINK("https://www.youtube.com/watch?v=lY7e3CDPY4g", "Video")</f>
        <v/>
      </c>
      <c r="B4225" t="inlineStr">
        <is>
          <t>34:39</t>
        </is>
      </c>
      <c r="C4225" t="inlineStr">
        <is>
          <t>do you think we can in which direction</t>
        </is>
      </c>
      <c r="D4225">
        <f>HYPERLINK("https://www.youtube.com/watch?v=lY7e3CDPY4g&amp;t=2079s", "Go to time")</f>
        <v/>
      </c>
    </row>
    <row r="4226">
      <c r="A4226">
        <f>HYPERLINK("https://www.youtube.com/watch?v=w7DohVZS5Yo", "Video")</f>
        <v/>
      </c>
      <c r="B4226" t="inlineStr">
        <is>
          <t>18:07</t>
        </is>
      </c>
      <c r="C4226" t="inlineStr">
        <is>
          <t>diseases to direct radiology into and</t>
        </is>
      </c>
      <c r="D4226">
        <f>HYPERLINK("https://www.youtube.com/watch?v=w7DohVZS5Yo&amp;t=1087s", "Go to time")</f>
        <v/>
      </c>
    </row>
    <row r="4227">
      <c r="A4227">
        <f>HYPERLINK("https://www.youtube.com/watch?v=w7DohVZS5Yo", "Video")</f>
        <v/>
      </c>
      <c r="B4227" t="inlineStr">
        <is>
          <t>36:22</t>
        </is>
      </c>
      <c r="C4227" t="inlineStr">
        <is>
          <t>directly at what is happening in your</t>
        </is>
      </c>
      <c r="D4227">
        <f>HYPERLINK("https://www.youtube.com/watch?v=w7DohVZS5Yo&amp;t=2182s", "Go to time")</f>
        <v/>
      </c>
    </row>
    <row r="4228">
      <c r="A4228">
        <f>HYPERLINK("https://www.youtube.com/watch?v=w7DohVZS5Yo", "Video")</f>
        <v/>
      </c>
      <c r="B4228" t="inlineStr">
        <is>
          <t>37:04</t>
        </is>
      </c>
      <c r="C4228" t="inlineStr">
        <is>
          <t>so it can go in the direction of</t>
        </is>
      </c>
      <c r="D4228">
        <f>HYPERLINK("https://www.youtube.com/watch?v=w7DohVZS5Yo&amp;t=2224s", "Go to time")</f>
        <v/>
      </c>
    </row>
    <row r="4229">
      <c r="A4229">
        <f>HYPERLINK("https://www.youtube.com/watch?v=w7DohVZS5Yo", "Video")</f>
        <v/>
      </c>
      <c r="B4229" t="inlineStr">
        <is>
          <t>69:02</t>
        </is>
      </c>
      <c r="C4229" t="inlineStr">
        <is>
          <t>our editorial director is michelle quint</t>
        </is>
      </c>
      <c r="D4229">
        <f>HYPERLINK("https://www.youtube.com/watch?v=w7DohVZS5Yo&amp;t=4142s", "Go to time")</f>
        <v/>
      </c>
    </row>
    <row r="4230">
      <c r="A4230">
        <f>HYPERLINK("https://www.youtube.com/watch?v=g3zrprEu_0Q", "Video")</f>
        <v/>
      </c>
      <c r="B4230" t="inlineStr">
        <is>
          <t>13:31</t>
        </is>
      </c>
      <c r="C4230" t="inlineStr">
        <is>
          <t>focusing intensely on objects
directly in front of us</t>
        </is>
      </c>
      <c r="D4230">
        <f>HYPERLINK("https://www.youtube.com/watch?v=g3zrprEu_0Q&amp;t=811s", "Go to time")</f>
        <v/>
      </c>
    </row>
    <row r="4231">
      <c r="A4231">
        <f>HYPERLINK("https://www.youtube.com/watch?v=g3zrprEu_0Q", "Video")</f>
        <v/>
      </c>
      <c r="B4231" t="inlineStr">
        <is>
          <t>14:44</t>
        </is>
      </c>
      <c r="C4231" t="inlineStr">
        <is>
          <t>has always directly
influenced my decisions,</t>
        </is>
      </c>
      <c r="D4231">
        <f>HYPERLINK("https://www.youtube.com/watch?v=g3zrprEu_0Q&amp;t=884s", "Go to time")</f>
        <v/>
      </c>
    </row>
    <row r="4232">
      <c r="A4232">
        <f>HYPERLINK("https://www.youtube.com/watch?v=CD7iYdtrJfY", "Video")</f>
        <v/>
      </c>
      <c r="B4232" t="inlineStr">
        <is>
          <t>9:49</t>
        </is>
      </c>
      <c r="C4232" t="inlineStr">
        <is>
          <t>to provide direct and immediate
support to those communities</t>
        </is>
      </c>
      <c r="D4232">
        <f>HYPERLINK("https://www.youtube.com/watch?v=CD7iYdtrJfY&amp;t=589s", "Go to time")</f>
        <v/>
      </c>
    </row>
    <row r="4233">
      <c r="A4233">
        <f>HYPERLINK("https://www.youtube.com/watch?v=Depn_GsxSqo", "Video")</f>
        <v/>
      </c>
      <c r="B4233" t="inlineStr">
        <is>
          <t>1:10</t>
        </is>
      </c>
      <c r="C4233" t="inlineStr">
        <is>
          <t>and the policy and litigation director
of Al Otro Lado,</t>
        </is>
      </c>
      <c r="D4233">
        <f>HYPERLINK("https://www.youtube.com/watch?v=Depn_GsxSqo&amp;t=70s", "Go to time")</f>
        <v/>
      </c>
    </row>
    <row r="4234">
      <c r="A4234">
        <f>HYPERLINK("https://www.youtube.com/watch?v=qWwEoD68gwQ", "Video")</f>
        <v/>
      </c>
      <c r="B4234" t="inlineStr">
        <is>
          <t>11:56</t>
        </is>
      </c>
      <c r="C4234" t="inlineStr">
        <is>
          <t>healthcare system not directly rated</t>
        </is>
      </c>
      <c r="D4234">
        <f>HYPERLINK("https://www.youtube.com/watch?v=qWwEoD68gwQ&amp;t=716s", "Go to time")</f>
        <v/>
      </c>
    </row>
    <row r="4235">
      <c r="A4235">
        <f>HYPERLINK("https://www.youtube.com/watch?v=qWwEoD68gwQ", "Video")</f>
        <v/>
      </c>
      <c r="B4235" t="inlineStr">
        <is>
          <t>24:10</t>
        </is>
      </c>
      <c r="C4235" t="inlineStr">
        <is>
          <t>that you are giving directly and you are</t>
        </is>
      </c>
      <c r="D4235">
        <f>HYPERLINK("https://www.youtube.com/watch?v=qWwEoD68gwQ&amp;t=1450s", "Go to time")</f>
        <v/>
      </c>
    </row>
    <row r="4236">
      <c r="A4236">
        <f>HYPERLINK("https://www.youtube.com/watch?v=qWwEoD68gwQ", "Video")</f>
        <v/>
      </c>
      <c r="B4236" t="inlineStr">
        <is>
          <t>26:08</t>
        </is>
      </c>
      <c r="C4236" t="inlineStr">
        <is>
          <t>and those should go directly to health</t>
        </is>
      </c>
      <c r="D4236">
        <f>HYPERLINK("https://www.youtube.com/watch?v=qWwEoD68gwQ&amp;t=1568s", "Go to time")</f>
        <v/>
      </c>
    </row>
    <row r="4237">
      <c r="A4237">
        <f>HYPERLINK("https://www.youtube.com/watch?v=qWwEoD68gwQ", "Video")</f>
        <v/>
      </c>
      <c r="B4237" t="inlineStr">
        <is>
          <t>40:45</t>
        </is>
      </c>
      <c r="C4237" t="inlineStr">
        <is>
          <t>harrowing experiences directed at them</t>
        </is>
      </c>
      <c r="D4237">
        <f>HYPERLINK("https://www.youtube.com/watch?v=qWwEoD68gwQ&amp;t=2445s", "Go to time")</f>
        <v/>
      </c>
    </row>
    <row r="4238">
      <c r="A4238">
        <f>HYPERLINK("https://www.youtube.com/watch?v=qWwEoD68gwQ", "Video")</f>
        <v/>
      </c>
      <c r="B4238" t="inlineStr">
        <is>
          <t>43:58</t>
        </is>
      </c>
      <c r="C4238" t="inlineStr">
        <is>
          <t>directly because of this disease</t>
        </is>
      </c>
      <c r="D4238">
        <f>HYPERLINK("https://www.youtube.com/watch?v=qWwEoD68gwQ&amp;t=2638s", "Go to time")</f>
        <v/>
      </c>
    </row>
    <row r="4239">
      <c r="A4239">
        <f>HYPERLINK("https://www.youtube.com/watch?v=b2tcLJWNTWM", "Video")</f>
        <v/>
      </c>
      <c r="B4239" t="inlineStr">
        <is>
          <t>14:03</t>
        </is>
      </c>
      <c r="C4239" t="inlineStr">
        <is>
          <t>that there was an entirely
different direction</t>
        </is>
      </c>
      <c r="D4239">
        <f>HYPERLINK("https://www.youtube.com/watch?v=b2tcLJWNTWM&amp;t=843s", "Go to time")</f>
        <v/>
      </c>
    </row>
    <row r="4240">
      <c r="A4240">
        <f>HYPERLINK("https://www.youtube.com/watch?v=mgcjr1yz7ow", "Video")</f>
        <v/>
      </c>
      <c r="B4240" t="inlineStr">
        <is>
          <t>5:52</t>
        </is>
      </c>
      <c r="C4240" t="inlineStr">
        <is>
          <t>There was an HR director who proposed
that I hire someone internally</t>
        </is>
      </c>
      <c r="D4240">
        <f>HYPERLINK("https://www.youtube.com/watch?v=mgcjr1yz7ow&amp;t=352s", "Go to time")</f>
        <v/>
      </c>
    </row>
    <row r="4241">
      <c r="A4241">
        <f>HYPERLINK("https://www.youtube.com/watch?v=q-GXV4Fd1oA", "Video")</f>
        <v/>
      </c>
      <c r="B4241" t="inlineStr">
        <is>
          <t>6:40</t>
        </is>
      </c>
      <c r="C4241" t="inlineStr">
        <is>
          <t>direction, dwell and velocity states
of urban movement.</t>
        </is>
      </c>
      <c r="D4241">
        <f>HYPERLINK("https://www.youtube.com/watch?v=q-GXV4Fd1oA&amp;t=400s", "Go to time")</f>
        <v/>
      </c>
    </row>
    <row r="4242">
      <c r="A4242">
        <f>HYPERLINK("https://www.youtube.com/watch?v=2y6GQcN9jVs", "Video")</f>
        <v/>
      </c>
      <c r="B4242" t="inlineStr">
        <is>
          <t>3:36</t>
        </is>
      </c>
      <c r="C4242" t="inlineStr">
        <is>
          <t>Beyond these direct emissions
of food, that 22 percent,</t>
        </is>
      </c>
      <c r="D4242">
        <f>HYPERLINK("https://www.youtube.com/watch?v=2y6GQcN9jVs&amp;t=216s", "Go to time")</f>
        <v/>
      </c>
    </row>
    <row r="4243">
      <c r="A4243">
        <f>HYPERLINK("https://www.youtube.com/watch?v=2y6GQcN9jVs", "Video")</f>
        <v/>
      </c>
      <c r="B4243" t="inlineStr">
        <is>
          <t>3:39</t>
        </is>
      </c>
      <c r="C4243" t="inlineStr">
        <is>
          <t>there are some indirect ways the food
system emits greenhouse gas as well.</t>
        </is>
      </c>
      <c r="D4243">
        <f>HYPERLINK("https://www.youtube.com/watch?v=2y6GQcN9jVs&amp;t=219s", "Go to time")</f>
        <v/>
      </c>
    </row>
    <row r="4244">
      <c r="A4244">
        <f>HYPERLINK("https://www.youtube.com/watch?v=2y6GQcN9jVs", "Video")</f>
        <v/>
      </c>
      <c r="B4244" t="inlineStr">
        <is>
          <t>4:04</t>
        </is>
      </c>
      <c r="C4244" t="inlineStr">
        <is>
          <t>food releases 22 percent
of greenhouse gases directly,</t>
        </is>
      </c>
      <c r="D4244">
        <f>HYPERLINK("https://www.youtube.com/watch?v=2y6GQcN9jVs&amp;t=244s", "Go to time")</f>
        <v/>
      </c>
    </row>
    <row r="4245">
      <c r="A4245">
        <f>HYPERLINK("https://www.youtube.com/watch?v=E0oPnS7rUwE", "Video")</f>
        <v/>
      </c>
      <c r="B4245" t="inlineStr">
        <is>
          <t>11:13</t>
        </is>
      </c>
      <c r="C4245" t="inlineStr">
        <is>
          <t>Not directing --</t>
        </is>
      </c>
      <c r="D4245">
        <f>HYPERLINK("https://www.youtube.com/watch?v=E0oPnS7rUwE&amp;t=673s", "Go to time")</f>
        <v/>
      </c>
    </row>
    <row r="4246">
      <c r="A4246">
        <f>HYPERLINK("https://www.youtube.com/watch?v=uwKS1lT_YZU", "Video")</f>
        <v/>
      </c>
      <c r="B4246" t="inlineStr">
        <is>
          <t>6:03</t>
        </is>
      </c>
      <c r="C4246" t="inlineStr">
        <is>
          <t>would often be in direct conflict
with my deeply embedded need to please</t>
        </is>
      </c>
      <c r="D4246">
        <f>HYPERLINK("https://www.youtube.com/watch?v=uwKS1lT_YZU&amp;t=363s", "Go to time")</f>
        <v/>
      </c>
    </row>
    <row r="4247">
      <c r="A4247">
        <f>HYPERLINK("https://www.youtube.com/watch?v=u08T3A7slkE", "Video")</f>
        <v/>
      </c>
      <c r="B4247" t="inlineStr">
        <is>
          <t>12:13</t>
        </is>
      </c>
      <c r="C4247" t="inlineStr">
        <is>
          <t>A direct line to your destiny.</t>
        </is>
      </c>
      <c r="D4247">
        <f>HYPERLINK("https://www.youtube.com/watch?v=u08T3A7slkE&amp;t=733s", "Go to time")</f>
        <v/>
      </c>
    </row>
    <row r="4248">
      <c r="A4248">
        <f>HYPERLINK("https://www.youtube.com/watch?v=_liyBrL0LqY", "Video")</f>
        <v/>
      </c>
      <c r="B4248" t="inlineStr">
        <is>
          <t>0:59</t>
        </is>
      </c>
      <c r="C4248" t="inlineStr">
        <is>
          <t>in one of the country’s Direct
Provision centers.</t>
        </is>
      </c>
      <c r="D4248">
        <f>HYPERLINK("https://www.youtube.com/watch?v=_liyBrL0LqY&amp;t=59s", "Go to time")</f>
        <v/>
      </c>
    </row>
    <row r="4249">
      <c r="A4249">
        <f>HYPERLINK("https://www.youtube.com/watch?v=7kkRkhAXZGg", "Video")</f>
        <v/>
      </c>
      <c r="B4249" t="inlineStr">
        <is>
          <t>5:57</t>
        </is>
      </c>
      <c r="C4249" t="inlineStr">
        <is>
          <t>all you have to do
is hire female directors.</t>
        </is>
      </c>
      <c r="D4249">
        <f>HYPERLINK("https://www.youtube.com/watch?v=7kkRkhAXZGg&amp;t=357s", "Go to time")</f>
        <v/>
      </c>
    </row>
    <row r="4250">
      <c r="A4250">
        <f>HYPERLINK("https://www.youtube.com/watch?v=7kkRkhAXZGg", "Video")</f>
        <v/>
      </c>
      <c r="B4250" t="inlineStr">
        <is>
          <t>6:00</t>
        </is>
      </c>
      <c r="C4250" t="inlineStr">
        <is>
          <t>Turns out, the female directors</t>
        </is>
      </c>
      <c r="D4250">
        <f>HYPERLINK("https://www.youtube.com/watch?v=7kkRkhAXZGg&amp;t=360s", "Go to time")</f>
        <v/>
      </c>
    </row>
    <row r="4251">
      <c r="A4251">
        <f>HYPERLINK("https://www.youtube.com/watch?v=7kkRkhAXZGg", "Video")</f>
        <v/>
      </c>
      <c r="B4251" t="inlineStr">
        <is>
          <t>6:45</t>
        </is>
      </c>
      <c r="C4251" t="inlineStr">
        <is>
          <t>886 directors.</t>
        </is>
      </c>
      <c r="D4251">
        <f>HYPERLINK("https://www.youtube.com/watch?v=7kkRkhAXZGg&amp;t=405s", "Go to time")</f>
        <v/>
      </c>
    </row>
    <row r="4252">
      <c r="A4252">
        <f>HYPERLINK("https://www.youtube.com/watch?v=7kkRkhAXZGg", "Video")</f>
        <v/>
      </c>
      <c r="B4252" t="inlineStr">
        <is>
          <t>7:00</t>
        </is>
      </c>
      <c r="C4252" t="inlineStr">
        <is>
          <t>to have female directors</t>
        </is>
      </c>
      <c r="D4252">
        <f>HYPERLINK("https://www.youtube.com/watch?v=7kkRkhAXZGg&amp;t=420s", "Go to time")</f>
        <v/>
      </c>
    </row>
    <row r="4253">
      <c r="A4253">
        <f>HYPERLINK("https://www.youtube.com/watch?v=7kkRkhAXZGg", "Video")</f>
        <v/>
      </c>
      <c r="B4253" t="inlineStr">
        <is>
          <t>7:11</t>
        </is>
      </c>
      <c r="C4253" t="inlineStr">
        <is>
          <t>and asked them about directors.</t>
        </is>
      </c>
      <c r="D4253">
        <f>HYPERLINK("https://www.youtube.com/watch?v=7kkRkhAXZGg&amp;t=431s", "Go to time")</f>
        <v/>
      </c>
    </row>
    <row r="4254">
      <c r="A4254">
        <f>HYPERLINK("https://www.youtube.com/watch?v=7kkRkhAXZGg", "Video")</f>
        <v/>
      </c>
      <c r="B4254" t="inlineStr">
        <is>
          <t>7:17</t>
        </is>
      </c>
      <c r="C4254" t="inlineStr">
        <is>
          <t>when they think director,</t>
        </is>
      </c>
      <c r="D4254">
        <f>HYPERLINK("https://www.youtube.com/watch?v=7kkRkhAXZGg&amp;t=437s", "Go to time")</f>
        <v/>
      </c>
    </row>
    <row r="4255">
      <c r="A4255">
        <f>HYPERLINK("https://www.youtube.com/watch?v=7kkRkhAXZGg", "Video")</f>
        <v/>
      </c>
      <c r="B4255" t="inlineStr">
        <is>
          <t>7:25</t>
        </is>
      </c>
      <c r="C4255" t="inlineStr">
        <is>
          <t>So when they're going to hire a director</t>
        </is>
      </c>
      <c r="D4255">
        <f>HYPERLINK("https://www.youtube.com/watch?v=7kkRkhAXZGg&amp;t=445s", "Go to time")</f>
        <v/>
      </c>
    </row>
    <row r="4256">
      <c r="A4256">
        <f>HYPERLINK("https://www.youtube.com/watch?v=7kkRkhAXZGg", "Video")</f>
        <v/>
      </c>
      <c r="B4256" t="inlineStr">
        <is>
          <t>7:39</t>
        </is>
      </c>
      <c r="C4256" t="inlineStr">
        <is>
          <t>The perception of director or a leader</t>
        </is>
      </c>
      <c r="D4256">
        <f>HYPERLINK("https://www.youtube.com/watch?v=7kkRkhAXZGg&amp;t=459s", "Go to time")</f>
        <v/>
      </c>
    </row>
    <row r="4257">
      <c r="A4257">
        <f>HYPERLINK("https://www.youtube.com/watch?v=7kkRkhAXZGg", "Video")</f>
        <v/>
      </c>
      <c r="B4257" t="inlineStr">
        <is>
          <t>9:06</t>
        </is>
      </c>
      <c r="C4257" t="inlineStr">
        <is>
          <t>few female directors
working behind the camera</t>
        </is>
      </c>
      <c r="D4257">
        <f>HYPERLINK("https://www.youtube.com/watch?v=7kkRkhAXZGg&amp;t=546s", "Go to time")</f>
        <v/>
      </c>
    </row>
    <row r="4258">
      <c r="A4258">
        <f>HYPERLINK("https://www.youtube.com/watch?v=7kkRkhAXZGg", "Video")</f>
        <v/>
      </c>
      <c r="B4258" t="inlineStr">
        <is>
          <t>11:35</t>
        </is>
      </c>
      <c r="C4258" t="inlineStr">
        <is>
          <t>when it comes to hiring practices
around directors.</t>
        </is>
      </c>
      <c r="D4258">
        <f>HYPERLINK("https://www.youtube.com/watch?v=7kkRkhAXZGg&amp;t=695s", "Go to time")</f>
        <v/>
      </c>
    </row>
    <row r="4259">
      <c r="A4259">
        <f>HYPERLINK("https://www.youtube.com/watch?v=7kkRkhAXZGg", "Video")</f>
        <v/>
      </c>
      <c r="B4259" t="inlineStr">
        <is>
          <t>12:11</t>
        </is>
      </c>
      <c r="C4259" t="inlineStr">
        <is>
          <t>Because it exposes or introduces
executives to female directors</t>
        </is>
      </c>
      <c r="D4259">
        <f>HYPERLINK("https://www.youtube.com/watch?v=7kkRkhAXZGg&amp;t=731s", "Go to time")</f>
        <v/>
      </c>
    </row>
    <row r="4260">
      <c r="A4260">
        <f>HYPERLINK("https://www.youtube.com/watch?v=7kkRkhAXZGg", "Video")</f>
        <v/>
      </c>
      <c r="B4260" t="inlineStr">
        <is>
          <t>12:40</t>
        </is>
      </c>
      <c r="C4260" t="inlineStr">
        <is>
          <t>to find a film by a female director.</t>
        </is>
      </c>
      <c r="D4260">
        <f>HYPERLINK("https://www.youtube.com/watch?v=7kkRkhAXZGg&amp;t=760s", "Go to time")</f>
        <v/>
      </c>
    </row>
    <row r="4261">
      <c r="A4261">
        <f>HYPERLINK("https://www.youtube.com/watch?v=7kkRkhAXZGg", "Video")</f>
        <v/>
      </c>
      <c r="B4261" t="inlineStr">
        <is>
          <t>12:45</t>
        </is>
      </c>
      <c r="C4261" t="inlineStr">
        <is>
          <t>particularly by a female director
from an underrepresented background.</t>
        </is>
      </c>
      <c r="D4261">
        <f>HYPERLINK("https://www.youtube.com/watch?v=7kkRkhAXZGg&amp;t=765s", "Go to time")</f>
        <v/>
      </c>
    </row>
    <row r="4262">
      <c r="A4262">
        <f>HYPERLINK("https://www.youtube.com/watch?v=3OgsRa7VDtI", "Video")</f>
        <v/>
      </c>
      <c r="B4262" t="inlineStr">
        <is>
          <t>2:58</t>
        </is>
      </c>
      <c r="C4262" t="inlineStr">
        <is>
          <t>to bring that very same disruption
directly into government,</t>
        </is>
      </c>
      <c r="D4262">
        <f>HYPERLINK("https://www.youtube.com/watch?v=3OgsRa7VDtI&amp;t=178s", "Go to time")</f>
        <v/>
      </c>
    </row>
    <row r="4263">
      <c r="A4263">
        <f>HYPERLINK("https://www.youtube.com/watch?v=PK8PR22-c_U", "Video")</f>
        <v/>
      </c>
      <c r="B4263" t="inlineStr">
        <is>
          <t>8:16</t>
        </is>
      </c>
      <c r="C4263" t="inlineStr">
        <is>
          <t>directly from their local
election official,</t>
        </is>
      </c>
      <c r="D4263">
        <f>HYPERLINK("https://www.youtube.com/watch?v=PK8PR22-c_U&amp;t=496s", "Go to time")</f>
        <v/>
      </c>
    </row>
    <row r="4264">
      <c r="A4264">
        <f>HYPERLINK("https://www.youtube.com/watch?v=tPBFVIxnbDw", "Video")</f>
        <v/>
      </c>
      <c r="B4264" t="inlineStr">
        <is>
          <t>13:25</t>
        </is>
      </c>
      <c r="C4264" t="inlineStr">
        <is>
          <t>to direct some money
into insurance or savings.</t>
        </is>
      </c>
      <c r="D4264">
        <f>HYPERLINK("https://www.youtube.com/watch?v=tPBFVIxnbDw&amp;t=805s", "Go to time")</f>
        <v/>
      </c>
    </row>
    <row r="4265">
      <c r="A4265">
        <f>HYPERLINK("https://www.youtube.com/watch?v=tPBFVIxnbDw", "Video")</f>
        <v/>
      </c>
      <c r="B4265" t="inlineStr">
        <is>
          <t>14:51</t>
        </is>
      </c>
      <c r="C4265" t="inlineStr">
        <is>
          <t>But if we'll attack each problem directly,</t>
        </is>
      </c>
      <c r="D4265">
        <f>HYPERLINK("https://www.youtube.com/watch?v=tPBFVIxnbDw&amp;t=891s", "Go to time")</f>
        <v/>
      </c>
    </row>
    <row r="4266">
      <c r="A4266">
        <f>HYPERLINK("https://www.youtube.com/watch?v=YddEiDSuOrY", "Video")</f>
        <v/>
      </c>
      <c r="B4266" t="inlineStr">
        <is>
          <t>1:31</t>
        </is>
      </c>
      <c r="C4266" t="inlineStr">
        <is>
          <t>And legislation to frame
and direct this effort</t>
        </is>
      </c>
      <c r="D4266">
        <f>HYPERLINK("https://www.youtube.com/watch?v=YddEiDSuOrY&amp;t=91s", "Go to time")</f>
        <v/>
      </c>
    </row>
    <row r="4267">
      <c r="A4267">
        <f>HYPERLINK("https://www.youtube.com/watch?v=YddEiDSuOrY", "Video")</f>
        <v/>
      </c>
      <c r="B4267" t="inlineStr">
        <is>
          <t>3:01</t>
        </is>
      </c>
      <c r="C4267" t="inlineStr">
        <is>
          <t>that can source their energy
directly from electricity.</t>
        </is>
      </c>
      <c r="D4267">
        <f>HYPERLINK("https://www.youtube.com/watch?v=YddEiDSuOrY&amp;t=181s", "Go to time")</f>
        <v/>
      </c>
    </row>
    <row r="4268">
      <c r="A4268">
        <f>HYPERLINK("https://www.youtube.com/watch?v=YddEiDSuOrY", "Video")</f>
        <v/>
      </c>
      <c r="B4268" t="inlineStr">
        <is>
          <t>3:14</t>
        </is>
      </c>
      <c r="C4268" t="inlineStr">
        <is>
          <t>that can create direct links
between clean electricity and molecules.</t>
        </is>
      </c>
      <c r="D4268">
        <f>HYPERLINK("https://www.youtube.com/watch?v=YddEiDSuOrY&amp;t=194s", "Go to time")</f>
        <v/>
      </c>
    </row>
    <row r="4269">
      <c r="A4269">
        <f>HYPERLINK("https://www.youtube.com/watch?v=YddEiDSuOrY", "Video")</f>
        <v/>
      </c>
      <c r="B4269" t="inlineStr">
        <is>
          <t>8:05</t>
        </is>
      </c>
      <c r="C4269" t="inlineStr">
        <is>
          <t>retrofitting our chemical plants
so they can use electricity directly,</t>
        </is>
      </c>
      <c r="D4269">
        <f>HYPERLINK("https://www.youtube.com/watch?v=YddEiDSuOrY&amp;t=485s", "Go to time")</f>
        <v/>
      </c>
    </row>
    <row r="4270">
      <c r="A4270">
        <f>HYPERLINK("https://www.youtube.com/watch?v=YddEiDSuOrY", "Video")</f>
        <v/>
      </c>
      <c r="B4270" t="inlineStr">
        <is>
          <t>8:18</t>
        </is>
      </c>
      <c r="C4270" t="inlineStr">
        <is>
          <t>and can source electricity
directly from clean sources.</t>
        </is>
      </c>
      <c r="D4270">
        <f>HYPERLINK("https://www.youtube.com/watch?v=YddEiDSuOrY&amp;t=498s", "Go to time")</f>
        <v/>
      </c>
    </row>
    <row r="4271">
      <c r="A4271">
        <f>HYPERLINK("https://www.youtube.com/watch?v=dsJWs6Z6eNs", "Video")</f>
        <v/>
      </c>
      <c r="B4271" t="inlineStr">
        <is>
          <t>16:59</t>
        </is>
      </c>
      <c r="C4271" t="inlineStr">
        <is>
          <t>I actually feel
a direct cultural connection</t>
        </is>
      </c>
      <c r="D4271">
        <f>HYPERLINK("https://www.youtube.com/watch?v=dsJWs6Z6eNs&amp;t=1019s", "Go to time")</f>
        <v/>
      </c>
    </row>
    <row r="4272">
      <c r="A4272">
        <f>HYPERLINK("https://www.youtube.com/watch?v=dsJWs6Z6eNs", "Video")</f>
        <v/>
      </c>
      <c r="B4272" t="inlineStr">
        <is>
          <t>17:19</t>
        </is>
      </c>
      <c r="C4272" t="inlineStr">
        <is>
          <t>so with this direct cultural connection,</t>
        </is>
      </c>
      <c r="D4272">
        <f>HYPERLINK("https://www.youtube.com/watch?v=dsJWs6Z6eNs&amp;t=1039s", "Go to time")</f>
        <v/>
      </c>
    </row>
    <row r="4273">
      <c r="A4273">
        <f>HYPERLINK("https://www.youtube.com/watch?v=MJd6Y50hfAM", "Video")</f>
        <v/>
      </c>
      <c r="B4273" t="inlineStr">
        <is>
          <t>1:28</t>
        </is>
      </c>
      <c r="C4273" t="inlineStr">
        <is>
          <t>Songwriting is a direct line
of communication with the truth.</t>
        </is>
      </c>
      <c r="D4273">
        <f>HYPERLINK("https://www.youtube.com/watch?v=MJd6Y50hfAM&amp;t=88s", "Go to time")</f>
        <v/>
      </c>
    </row>
    <row r="4274">
      <c r="A4274">
        <f>HYPERLINK("https://www.youtube.com/watch?v=t8R_GKS-M2Y", "Video")</f>
        <v/>
      </c>
      <c r="B4274" t="inlineStr">
        <is>
          <t>1:33</t>
        </is>
      </c>
      <c r="C4274" t="inlineStr">
        <is>
          <t>impatience can have dire consequences.</t>
        </is>
      </c>
      <c r="D4274">
        <f>HYPERLINK("https://www.youtube.com/watch?v=t8R_GKS-M2Y&amp;t=93s", "Go to time")</f>
        <v/>
      </c>
    </row>
    <row r="4275">
      <c r="A4275">
        <f>HYPERLINK("https://www.youtube.com/watch?v=hokUdXYRe2Q", "Video")</f>
        <v/>
      </c>
      <c r="B4275" t="inlineStr">
        <is>
          <t>2:02</t>
        </is>
      </c>
      <c r="C4275" t="inlineStr">
        <is>
          <t>that we can't directly see or hear?</t>
        </is>
      </c>
      <c r="D4275">
        <f>HYPERLINK("https://www.youtube.com/watch?v=hokUdXYRe2Q&amp;t=122s", "Go to time")</f>
        <v/>
      </c>
    </row>
    <row r="4276">
      <c r="A4276">
        <f>HYPERLINK("https://www.youtube.com/watch?v=hokUdXYRe2Q", "Video")</f>
        <v/>
      </c>
      <c r="B4276" t="inlineStr">
        <is>
          <t>4:03</t>
        </is>
      </c>
      <c r="C4276" t="inlineStr">
        <is>
          <t>while a promotion focus instead
has us swimming in the right direction.</t>
        </is>
      </c>
      <c r="D4276">
        <f>HYPERLINK("https://www.youtube.com/watch?v=hokUdXYRe2Q&amp;t=243s", "Go to time")</f>
        <v/>
      </c>
    </row>
    <row r="4277">
      <c r="A4277">
        <f>HYPERLINK("https://www.youtube.com/watch?v=hokUdXYRe2Q", "Video")</f>
        <v/>
      </c>
      <c r="B4277" t="inlineStr">
        <is>
          <t>11:50</t>
        </is>
      </c>
      <c r="C4277" t="inlineStr">
        <is>
          <t>I've thus subtly redirected this dialogue
into the favorable domain of gains.</t>
        </is>
      </c>
      <c r="D4277">
        <f>HYPERLINK("https://www.youtube.com/watch?v=hokUdXYRe2Q&amp;t=710s", "Go to time")</f>
        <v/>
      </c>
    </row>
    <row r="4278">
      <c r="A4278">
        <f>HYPERLINK("https://www.youtube.com/watch?v=zZNhuRIGQZs", "Video")</f>
        <v/>
      </c>
      <c r="B4278" t="inlineStr">
        <is>
          <t>1:28</t>
        </is>
      </c>
      <c r="C4278" t="inlineStr">
        <is>
          <t>Big surprise, I became a theater director.</t>
        </is>
      </c>
      <c r="D4278">
        <f>HYPERLINK("https://www.youtube.com/watch?v=zZNhuRIGQZs&amp;t=88s", "Go to time")</f>
        <v/>
      </c>
    </row>
    <row r="4279">
      <c r="A4279">
        <f>HYPERLINK("https://www.youtube.com/watch?v=zZNhuRIGQZs", "Video")</f>
        <v/>
      </c>
      <c r="B4279" t="inlineStr">
        <is>
          <t>2:27</t>
        </is>
      </c>
      <c r="C4279" t="inlineStr">
        <is>
          <t>As a theater director,</t>
        </is>
      </c>
      <c r="D4279">
        <f>HYPERLINK("https://www.youtube.com/watch?v=zZNhuRIGQZs&amp;t=147s", "Go to time")</f>
        <v/>
      </c>
    </row>
    <row r="4280">
      <c r="A4280">
        <f>HYPERLINK("https://www.youtube.com/watch?v=zZNhuRIGQZs", "Video")</f>
        <v/>
      </c>
      <c r="B4280" t="inlineStr">
        <is>
          <t>7:47</t>
        </is>
      </c>
      <c r="C4280" t="inlineStr">
        <is>
          <t>In my now 20 years of directing theater,</t>
        </is>
      </c>
      <c r="D4280">
        <f>HYPERLINK("https://www.youtube.com/watch?v=zZNhuRIGQZs&amp;t=467s", "Go to time")</f>
        <v/>
      </c>
    </row>
    <row r="4281">
      <c r="A4281">
        <f>HYPERLINK("https://www.youtube.com/watch?v=04PmEJaYKd0", "Video")</f>
        <v/>
      </c>
      <c r="B4281" t="inlineStr">
        <is>
          <t>6:46</t>
        </is>
      </c>
      <c r="C4281" t="inlineStr">
        <is>
          <t>we can observe it directly.</t>
        </is>
      </c>
      <c r="D4281">
        <f>HYPERLINK("https://www.youtube.com/watch?v=04PmEJaYKd0&amp;t=406s", "Go to time")</f>
        <v/>
      </c>
    </row>
    <row r="4282">
      <c r="A4282">
        <f>HYPERLINK("https://www.youtube.com/watch?v=bIBNebXhNuU", "Video")</f>
        <v/>
      </c>
      <c r="B4282" t="inlineStr">
        <is>
          <t>1:27</t>
        </is>
      </c>
      <c r="C4282" t="inlineStr">
        <is>
          <t>even though I have
no direct family ties to Detroit.</t>
        </is>
      </c>
      <c r="D4282">
        <f>HYPERLINK("https://www.youtube.com/watch?v=bIBNebXhNuU&amp;t=87s", "Go to time")</f>
        <v/>
      </c>
    </row>
    <row r="4283">
      <c r="A4283">
        <f>HYPERLINK("https://www.youtube.com/watch?v=bIBNebXhNuU", "Video")</f>
        <v/>
      </c>
      <c r="B4283" t="inlineStr">
        <is>
          <t>4:40</t>
        </is>
      </c>
      <c r="C4283" t="inlineStr">
        <is>
          <t>By just simply sending people directly
to the utility company's website</t>
        </is>
      </c>
      <c r="D4283">
        <f>HYPERLINK("https://www.youtube.com/watch?v=bIBNebXhNuU&amp;t=280s", "Go to time")</f>
        <v/>
      </c>
    </row>
    <row r="4284">
      <c r="A4284">
        <f>HYPERLINK("https://www.youtube.com/watch?v=xDDfUWic4CI", "Video")</f>
        <v/>
      </c>
      <c r="B4284" t="inlineStr">
        <is>
          <t>19:04</t>
        </is>
      </c>
      <c r="C4284" t="inlineStr">
        <is>
          <t>the right direction that is such the</t>
        </is>
      </c>
      <c r="D4284">
        <f>HYPERLINK("https://www.youtube.com/watch?v=xDDfUWic4CI&amp;t=1144s", "Go to time")</f>
        <v/>
      </c>
    </row>
    <row r="4285">
      <c r="A4285">
        <f>HYPERLINK("https://www.youtube.com/watch?v=27WucvXpbd4", "Video")</f>
        <v/>
      </c>
      <c r="B4285" t="inlineStr">
        <is>
          <t>8:32</t>
        </is>
      </c>
      <c r="C4285" t="inlineStr">
        <is>
          <t>Manhattan planning director New York</t>
        </is>
      </c>
      <c r="D4285">
        <f>HYPERLINK("https://www.youtube.com/watch?v=27WucvXpbd4&amp;t=512s", "Go to time")</f>
        <v/>
      </c>
    </row>
    <row r="4286">
      <c r="A4286">
        <f>HYPERLINK("https://www.youtube.com/watch?v=27WucvXpbd4", "Video")</f>
        <v/>
      </c>
      <c r="B4286" t="inlineStr">
        <is>
          <t>12:54</t>
        </is>
      </c>
      <c r="C4286" t="inlineStr">
        <is>
          <t>that well we need to go directly to</t>
        </is>
      </c>
      <c r="D4286">
        <f>HYPERLINK("https://www.youtube.com/watch?v=27WucvXpbd4&amp;t=774s", "Go to time")</f>
        <v/>
      </c>
    </row>
    <row r="4287">
      <c r="A4287">
        <f>HYPERLINK("https://www.youtube.com/watch?v=WDaa6wBrDLo", "Video")</f>
        <v/>
      </c>
      <c r="B4287" t="inlineStr">
        <is>
          <t>6:22</t>
        </is>
      </c>
      <c r="C4287" t="inlineStr">
        <is>
          <t>One of the carbon-removal methods
we’ll have to use is direct air-capture:</t>
        </is>
      </c>
      <c r="D4287">
        <f>HYPERLINK("https://www.youtube.com/watch?v=WDaa6wBrDLo&amp;t=382s", "Go to time")</f>
        <v/>
      </c>
    </row>
    <row r="4288">
      <c r="A4288">
        <f>HYPERLINK("https://www.youtube.com/watch?v=hVyYilPj5Sc", "Video")</f>
        <v/>
      </c>
      <c r="B4288" t="inlineStr">
        <is>
          <t>6:33</t>
        </is>
      </c>
      <c r="C4288" t="inlineStr">
        <is>
          <t>These antibiotics are specifically
directed to this little bacteria,</t>
        </is>
      </c>
      <c r="D4288">
        <f>HYPERLINK("https://www.youtube.com/watch?v=hVyYilPj5Sc&amp;t=393s", "Go to time")</f>
        <v/>
      </c>
    </row>
    <row r="4289">
      <c r="A4289">
        <f>HYPERLINK("https://www.youtube.com/watch?v=qlzjohcBkmg", "Video")</f>
        <v/>
      </c>
      <c r="B4289" t="inlineStr">
        <is>
          <t>4:12</t>
        </is>
      </c>
      <c r="C4289" t="inlineStr">
        <is>
          <t>The directional emphasis is wrong.</t>
        </is>
      </c>
      <c r="D4289">
        <f>HYPERLINK("https://www.youtube.com/watch?v=qlzjohcBkmg&amp;t=252s", "Go to time")</f>
        <v/>
      </c>
    </row>
    <row r="4290">
      <c r="A4290">
        <f>HYPERLINK("https://www.youtube.com/watch?v=0BF2Np5J6jY", "Video")</f>
        <v/>
      </c>
      <c r="B4290" t="inlineStr">
        <is>
          <t>10:42</t>
        </is>
      </c>
      <c r="C4290" t="inlineStr">
        <is>
          <t>rule two, fly in the same
general direction,</t>
        </is>
      </c>
      <c r="D4290">
        <f>HYPERLINK("https://www.youtube.com/watch?v=0BF2Np5J6jY&amp;t=642s", "Go to time")</f>
        <v/>
      </c>
    </row>
    <row r="4291">
      <c r="A4291">
        <f>HYPERLINK("https://www.youtube.com/watch?v=PrUA8L40Dic", "Video")</f>
        <v/>
      </c>
      <c r="B4291" t="inlineStr">
        <is>
          <t>5:38</t>
        </is>
      </c>
      <c r="C4291" t="inlineStr">
        <is>
          <t>We stumble in a certain direction,</t>
        </is>
      </c>
      <c r="D4291">
        <f>HYPERLINK("https://www.youtube.com/watch?v=PrUA8L40Dic&amp;t=338s", "Go to time")</f>
        <v/>
      </c>
    </row>
    <row r="4292">
      <c r="A4292">
        <f>HYPERLINK("https://www.youtube.com/watch?v=mjUsobGWhs8", "Video")</f>
        <v/>
      </c>
      <c r="B4292" t="inlineStr">
        <is>
          <t>4:14</t>
        </is>
      </c>
      <c r="C4292" t="inlineStr">
        <is>
          <t>We don't just add nutrition
directly to the soil.</t>
        </is>
      </c>
      <c r="D4292">
        <f>HYPERLINK("https://www.youtube.com/watch?v=mjUsobGWhs8&amp;t=254s", "Go to time")</f>
        <v/>
      </c>
    </row>
    <row r="4293">
      <c r="A4293">
        <f>HYPERLINK("https://www.youtube.com/watch?v=WvfydcUeXls", "Video")</f>
        <v/>
      </c>
      <c r="B4293" t="inlineStr">
        <is>
          <t>8:33</t>
        </is>
      </c>
      <c r="C4293" t="inlineStr">
        <is>
          <t>and sent me their medical journal
and science journal articles directly.</t>
        </is>
      </c>
      <c r="D4293">
        <f>HYPERLINK("https://www.youtube.com/watch?v=WvfydcUeXls&amp;t=513s", "Go to time")</f>
        <v/>
      </c>
    </row>
    <row r="4294">
      <c r="A4294">
        <f>HYPERLINK("https://www.youtube.com/watch?v=5nys6iebjHw", "Video")</f>
        <v/>
      </c>
      <c r="B4294" t="inlineStr">
        <is>
          <t>0:24</t>
        </is>
      </c>
      <c r="C4294" t="inlineStr">
        <is>
          <t>to move directly from the street</t>
        </is>
      </c>
      <c r="D4294">
        <f>HYPERLINK("https://www.youtube.com/watch?v=5nys6iebjHw&amp;t=24s", "Go to time")</f>
        <v/>
      </c>
    </row>
    <row r="4295">
      <c r="A4295">
        <f>HYPERLINK("https://www.youtube.com/watch?v=5nys6iebjHw", "Video")</f>
        <v/>
      </c>
      <c r="B4295" t="inlineStr">
        <is>
          <t>5:54</t>
        </is>
      </c>
      <c r="C4295" t="inlineStr">
        <is>
          <t>to move directly
from the street into housing.</t>
        </is>
      </c>
      <c r="D4295">
        <f>HYPERLINK("https://www.youtube.com/watch?v=5nys6iebjHw&amp;t=354s", "Go to time")</f>
        <v/>
      </c>
    </row>
    <row r="4296">
      <c r="A4296">
        <f>HYPERLINK("https://www.youtube.com/watch?v=CEHKGV9qotM", "Video")</f>
        <v/>
      </c>
      <c r="B4296" t="inlineStr">
        <is>
          <t>6:41</t>
        </is>
      </c>
      <c r="C4296" t="inlineStr">
        <is>
          <t>The workers who got to meet someone
who directly benefited</t>
        </is>
      </c>
      <c r="D4296">
        <f>HYPERLINK("https://www.youtube.com/watch?v=CEHKGV9qotM&amp;t=401s", "Go to time")</f>
        <v/>
      </c>
    </row>
    <row r="4297">
      <c r="A4297">
        <f>HYPERLINK("https://www.youtube.com/watch?v=HYnZy2Cx7UM", "Video")</f>
        <v/>
      </c>
      <c r="B4297" t="inlineStr">
        <is>
          <t>9:38</t>
        </is>
      </c>
      <c r="C4297" t="inlineStr">
        <is>
          <t>so we have to rely
on less direct evidence.</t>
        </is>
      </c>
      <c r="D4297">
        <f>HYPERLINK("https://www.youtube.com/watch?v=HYnZy2Cx7UM&amp;t=578s", "Go to time")</f>
        <v/>
      </c>
    </row>
    <row r="4298">
      <c r="A4298">
        <f>HYPERLINK("https://www.youtube.com/watch?v=HYnZy2Cx7UM", "Video")</f>
        <v/>
      </c>
      <c r="B4298" t="inlineStr">
        <is>
          <t>10:12</t>
        </is>
      </c>
      <c r="C4298" t="inlineStr">
        <is>
          <t>But all of the evidence we do have
points in the same direction.</t>
        </is>
      </c>
      <c r="D4298">
        <f>HYPERLINK("https://www.youtube.com/watch?v=HYnZy2Cx7UM&amp;t=612s", "Go to time")</f>
        <v/>
      </c>
    </row>
    <row r="4299">
      <c r="A4299">
        <f>HYPERLINK("https://www.youtube.com/watch?v=GRfudKFLAmI", "Video")</f>
        <v/>
      </c>
      <c r="B4299" t="inlineStr">
        <is>
          <t>0:56</t>
        </is>
      </c>
      <c r="C4299" t="inlineStr">
        <is>
          <t>otherwise you'd lose your direction.</t>
        </is>
      </c>
      <c r="D4299">
        <f>HYPERLINK("https://www.youtube.com/watch?v=GRfudKFLAmI&amp;t=56s", "Go to time")</f>
        <v/>
      </c>
    </row>
    <row r="4300">
      <c r="A4300">
        <f>HYPERLINK("https://www.youtube.com/watch?v=zy2Zj8yIe6c", "Video")</f>
        <v/>
      </c>
      <c r="B4300" t="inlineStr">
        <is>
          <t>2:22</t>
        </is>
      </c>
      <c r="C4300" t="inlineStr">
        <is>
          <t>being directed
by the great Sidney Poitier.</t>
        </is>
      </c>
      <c r="D4300">
        <f>HYPERLINK("https://www.youtube.com/watch?v=zy2Zj8yIe6c&amp;t=142s", "Go to time")</f>
        <v/>
      </c>
    </row>
    <row r="4301">
      <c r="A4301">
        <f>HYPERLINK("https://www.youtube.com/watch?v=zy2Zj8yIe6c", "Video")</f>
        <v/>
      </c>
      <c r="B4301" t="inlineStr">
        <is>
          <t>8:54</t>
        </is>
      </c>
      <c r="C4301" t="inlineStr">
        <is>
          <t>and I had this meeting with a big studio
Hollywood casting director.</t>
        </is>
      </c>
      <c r="D4301">
        <f>HYPERLINK("https://www.youtube.com/watch?v=zy2Zj8yIe6c&amp;t=534s", "Go to time")</f>
        <v/>
      </c>
    </row>
    <row r="4302">
      <c r="A4302">
        <f>HYPERLINK("https://www.youtube.com/watch?v=7Yhft2Tuyeg", "Video")</f>
        <v/>
      </c>
      <c r="B4302" t="inlineStr">
        <is>
          <t>2:13</t>
        </is>
      </c>
      <c r="C4302" t="inlineStr">
        <is>
          <t>The pendulum has swung so far
in the other direction</t>
        </is>
      </c>
      <c r="D4302">
        <f>HYPERLINK("https://www.youtube.com/watch?v=7Yhft2Tuyeg&amp;t=133s", "Go to time")</f>
        <v/>
      </c>
    </row>
    <row r="4303">
      <c r="A4303">
        <f>HYPERLINK("https://www.youtube.com/watch?v=8sheoGMsy3Q", "Video")</f>
        <v/>
      </c>
      <c r="B4303" t="inlineStr">
        <is>
          <t>2:15</t>
        </is>
      </c>
      <c r="C4303" t="inlineStr">
        <is>
          <t>Or you can interact through gestures
and direct deformations</t>
        </is>
      </c>
      <c r="D4303">
        <f>HYPERLINK("https://www.youtube.com/watch?v=8sheoGMsy3Q&amp;t=135s", "Go to time")</f>
        <v/>
      </c>
    </row>
    <row r="4304">
      <c r="A4304">
        <f>HYPERLINK("https://www.youtube.com/watch?v=8sheoGMsy3Q", "Video")</f>
        <v/>
      </c>
      <c r="B4304" t="inlineStr">
        <is>
          <t>3:05</t>
        </is>
      </c>
      <c r="C4304" t="inlineStr">
        <is>
          <t>and you can also interact directly.</t>
        </is>
      </c>
      <c r="D4304">
        <f>HYPERLINK("https://www.youtube.com/watch?v=8sheoGMsy3Q&amp;t=185s", "Go to time")</f>
        <v/>
      </c>
    </row>
    <row r="4305">
      <c r="A4305">
        <f>HYPERLINK("https://www.youtube.com/watch?v=j-rw3x8VZxA", "Video")</f>
        <v/>
      </c>
      <c r="B4305" t="inlineStr">
        <is>
          <t>9:48</t>
        </is>
      </c>
      <c r="C4305" t="inlineStr">
        <is>
          <t>that directs at least
40 percent of the benefits</t>
        </is>
      </c>
      <c r="D4305">
        <f>HYPERLINK("https://www.youtube.com/watch?v=j-rw3x8VZxA&amp;t=588s", "Go to time")</f>
        <v/>
      </c>
    </row>
    <row r="4306">
      <c r="A4306">
        <f>HYPERLINK("https://www.youtube.com/watch?v=UDvw9vWSgt4", "Video")</f>
        <v/>
      </c>
      <c r="B4306" t="inlineStr">
        <is>
          <t>11:21</t>
        </is>
      </c>
      <c r="C4306" t="inlineStr">
        <is>
          <t>He met with Lonnie Bunch,
the director of the museum where I work,</t>
        </is>
      </c>
      <c r="D4306">
        <f>HYPERLINK("https://www.youtube.com/watch?v=UDvw9vWSgt4&amp;t=681s", "Go to time")</f>
        <v/>
      </c>
    </row>
    <row r="4307">
      <c r="A4307">
        <f>HYPERLINK("https://www.youtube.com/watch?v=6F8wFkScnME", "Video")</f>
        <v/>
      </c>
      <c r="B4307" t="inlineStr">
        <is>
          <t>1:33</t>
        </is>
      </c>
      <c r="C4307" t="inlineStr">
        <is>
          <t>and it sits directly above your eyes.</t>
        </is>
      </c>
      <c r="D4307">
        <f>HYPERLINK("https://www.youtube.com/watch?v=6F8wFkScnME&amp;t=93s", "Go to time")</f>
        <v/>
      </c>
    </row>
    <row r="4308">
      <c r="A4308">
        <f>HYPERLINK("https://www.youtube.com/watch?v=AEKy1AS75Zs", "Video")</f>
        <v/>
      </c>
      <c r="B4308" t="inlineStr">
        <is>
          <t>11:59</t>
        </is>
      </c>
      <c r="C4308" t="inlineStr">
        <is>
          <t>there's no way we are
heading in that direction.</t>
        </is>
      </c>
      <c r="D4308">
        <f>HYPERLINK("https://www.youtube.com/watch?v=AEKy1AS75Zs&amp;t=719s", "Go to time")</f>
        <v/>
      </c>
    </row>
    <row r="4309">
      <c r="A4309">
        <f>HYPERLINK("https://www.youtube.com/watch?v=h9deGh8_tEc", "Video")</f>
        <v/>
      </c>
      <c r="B4309" t="inlineStr">
        <is>
          <t>5:15</t>
        </is>
      </c>
      <c r="C4309" t="inlineStr">
        <is>
          <t>There were factors
pushing these two in one direction,</t>
        </is>
      </c>
      <c r="D4309">
        <f>HYPERLINK("https://www.youtube.com/watch?v=h9deGh8_tEc&amp;t=315s", "Go to time")</f>
        <v/>
      </c>
    </row>
    <row r="4310">
      <c r="A4310">
        <f>HYPERLINK("https://www.youtube.com/watch?v=cixIwyYkCEo", "Video")</f>
        <v/>
      </c>
      <c r="B4310" t="inlineStr">
        <is>
          <t>4:31</t>
        </is>
      </c>
      <c r="C4310" t="inlineStr">
        <is>
          <t>and that's a response
to the immediate direct emergency</t>
        </is>
      </c>
      <c r="D4310">
        <f>HYPERLINK("https://www.youtube.com/watch?v=cixIwyYkCEo&amp;t=271s", "Go to time")</f>
        <v/>
      </c>
    </row>
    <row r="4311">
      <c r="A4311">
        <f>HYPERLINK("https://www.youtube.com/watch?v=cixIwyYkCEo", "Video")</f>
        <v/>
      </c>
      <c r="B4311" t="inlineStr">
        <is>
          <t>6:19</t>
        </is>
      </c>
      <c r="C4311" t="inlineStr">
        <is>
          <t>That's the easy part,
that's direct service part,</t>
        </is>
      </c>
      <c r="D4311">
        <f>HYPERLINK("https://www.youtube.com/watch?v=cixIwyYkCEo&amp;t=379s", "Go to time")</f>
        <v/>
      </c>
    </row>
    <row r="4312">
      <c r="A4312">
        <f>HYPERLINK("https://www.youtube.com/watch?v=cixIwyYkCEo", "Video")</f>
        <v/>
      </c>
      <c r="B4312" t="inlineStr">
        <is>
          <t>7:04</t>
        </is>
      </c>
      <c r="C4312" t="inlineStr">
        <is>
          <t>So when you're thinking about providing
direct services and bringing people home,</t>
        </is>
      </c>
      <c r="D4312">
        <f>HYPERLINK("https://www.youtube.com/watch?v=cixIwyYkCEo&amp;t=424s", "Go to time")</f>
        <v/>
      </c>
    </row>
    <row r="4313">
      <c r="A4313">
        <f>HYPERLINK("https://www.youtube.com/watch?v=cixIwyYkCEo", "Video")</f>
        <v/>
      </c>
      <c r="B4313" t="inlineStr">
        <is>
          <t>12:59</t>
        </is>
      </c>
      <c r="C4313" t="inlineStr">
        <is>
          <t>and dire poverty and structural racism</t>
        </is>
      </c>
      <c r="D4313">
        <f>HYPERLINK("https://www.youtube.com/watch?v=cixIwyYkCEo&amp;t=779s", "Go to time")</f>
        <v/>
      </c>
    </row>
    <row r="4314">
      <c r="A4314">
        <f>HYPERLINK("https://www.youtube.com/watch?v=Y06CZUf3cm0", "Video")</f>
        <v/>
      </c>
      <c r="B4314" t="inlineStr">
        <is>
          <t>0:46</t>
        </is>
      </c>
      <c r="C4314" t="inlineStr">
        <is>
          <t>But I think when I write,
create, direct, produce,</t>
        </is>
      </c>
      <c r="D4314">
        <f>HYPERLINK("https://www.youtube.com/watch?v=Y06CZUf3cm0&amp;t=46s", "Go to time")</f>
        <v/>
      </c>
    </row>
    <row r="4315">
      <c r="A4315">
        <f>HYPERLINK("https://www.youtube.com/watch?v=Y06CZUf3cm0", "Video")</f>
        <v/>
      </c>
      <c r="B4315" t="inlineStr">
        <is>
          <t>3:12</t>
        </is>
      </c>
      <c r="C4315" t="inlineStr">
        <is>
          <t>I know I had ambitions to direct
and to act on the screen</t>
        </is>
      </c>
      <c r="D4315">
        <f>HYPERLINK("https://www.youtube.com/watch?v=Y06CZUf3cm0&amp;t=192s", "Go to time")</f>
        <v/>
      </c>
    </row>
    <row r="4316">
      <c r="A4316">
        <f>HYPERLINK("https://www.youtube.com/watch?v=7vDKuAEMDns", "Video")</f>
        <v/>
      </c>
      <c r="B4316" t="inlineStr">
        <is>
          <t>4:35</t>
        </is>
      </c>
      <c r="C4316" t="inlineStr">
        <is>
          <t>when it's physical and direct.</t>
        </is>
      </c>
      <c r="D4316">
        <f>HYPERLINK("https://www.youtube.com/watch?v=7vDKuAEMDns&amp;t=275s", "Go to time")</f>
        <v/>
      </c>
    </row>
    <row r="4317">
      <c r="A4317">
        <f>HYPERLINK("https://www.youtube.com/watch?v=waVUm5bhLbg", "Video")</f>
        <v/>
      </c>
      <c r="B4317" t="inlineStr">
        <is>
          <t>2:57</t>
        </is>
      </c>
      <c r="C4317" t="inlineStr">
        <is>
          <t>Sometimes it's direct.</t>
        </is>
      </c>
      <c r="D4317">
        <f>HYPERLINK("https://www.youtube.com/watch?v=waVUm5bhLbg&amp;t=177s", "Go to time")</f>
        <v/>
      </c>
    </row>
    <row r="4318">
      <c r="A4318">
        <f>HYPERLINK("https://www.youtube.com/watch?v=bZsn1_DARRs", "Video")</f>
        <v/>
      </c>
      <c r="B4318" t="inlineStr">
        <is>
          <t>6:41</t>
        </is>
      </c>
      <c r="C4318" t="inlineStr">
        <is>
          <t>is to grow Streptomyces coelicolor
directly onto silk.</t>
        </is>
      </c>
      <c r="D4318">
        <f>HYPERLINK("https://www.youtube.com/watch?v=bZsn1_DARRs&amp;t=401s", "Go to time")</f>
        <v/>
      </c>
    </row>
    <row r="4319">
      <c r="A4319">
        <f>HYPERLINK("https://www.youtube.com/watch?v=bZsn1_DARRs", "Video")</f>
        <v/>
      </c>
      <c r="B4319" t="inlineStr">
        <is>
          <t>7:10</t>
        </is>
      </c>
      <c r="C4319" t="inlineStr">
        <is>
          <t>this sort of direct fermentation</t>
        </is>
      </c>
      <c r="D4319">
        <f>HYPERLINK("https://www.youtube.com/watch?v=bZsn1_DARRs&amp;t=430s", "Go to time")</f>
        <v/>
      </c>
    </row>
    <row r="4320">
      <c r="A4320">
        <f>HYPERLINK("https://www.youtube.com/watch?v=bZsn1_DARRs", "Video")</f>
        <v/>
      </c>
      <c r="B4320" t="inlineStr">
        <is>
          <t>7:12</t>
        </is>
      </c>
      <c r="C4320" t="inlineStr">
        <is>
          <t>when you add the bacteria
directly onto the silk --</t>
        </is>
      </c>
      <c r="D4320">
        <f>HYPERLINK("https://www.youtube.com/watch?v=bZsn1_DARRs&amp;t=432s", "Go to time")</f>
        <v/>
      </c>
    </row>
    <row r="4321">
      <c r="A4321">
        <f>HYPERLINK("https://www.youtube.com/watch?v=yMWlkJAqKYU", "Video")</f>
        <v/>
      </c>
      <c r="B4321" t="inlineStr">
        <is>
          <t>1:57</t>
        </is>
      </c>
      <c r="C4321" t="inlineStr">
        <is>
          <t>"Can we deliver anti-HIV directly
within its reservoir sites,</t>
        </is>
      </c>
      <c r="D4321">
        <f>HYPERLINK("https://www.youtube.com/watch?v=yMWlkJAqKYU&amp;t=117s", "Go to time")</f>
        <v/>
      </c>
    </row>
    <row r="4322">
      <c r="A4322">
        <f>HYPERLINK("https://www.youtube.com/watch?v=yMWlkJAqKYU", "Video")</f>
        <v/>
      </c>
      <c r="B4322" t="inlineStr">
        <is>
          <t>3:50</t>
        </is>
      </c>
      <c r="C4322" t="inlineStr">
        <is>
          <t>we deliver the drugs directly
at the site of infection,</t>
        </is>
      </c>
      <c r="D4322">
        <f>HYPERLINK("https://www.youtube.com/watch?v=yMWlkJAqKYU&amp;t=230s", "Go to time")</f>
        <v/>
      </c>
    </row>
    <row r="4323">
      <c r="A4323">
        <f>HYPERLINK("https://www.youtube.com/watch?v=z9jXW9r1xr8", "Video")</f>
        <v/>
      </c>
      <c r="B4323" t="inlineStr">
        <is>
          <t>4:42</t>
        </is>
      </c>
      <c r="C4323" t="inlineStr">
        <is>
          <t>and this is pumped directly
to the vegetables' root zone</t>
        </is>
      </c>
      <c r="D4323">
        <f>HYPERLINK("https://www.youtube.com/watch?v=z9jXW9r1xr8&amp;t=282s", "Go to time")</f>
        <v/>
      </c>
    </row>
    <row r="4324">
      <c r="A4324">
        <f>HYPERLINK("https://www.youtube.com/watch?v=z9jXW9r1xr8", "Video")</f>
        <v/>
      </c>
      <c r="B4324" t="inlineStr">
        <is>
          <t>6:41</t>
        </is>
      </c>
      <c r="C4324" t="inlineStr">
        <is>
          <t>to channel sunlight directly
into an indoor vertical farm</t>
        </is>
      </c>
      <c r="D4324">
        <f>HYPERLINK("https://www.youtube.com/watch?v=z9jXW9r1xr8&amp;t=401s", "Go to time")</f>
        <v/>
      </c>
    </row>
    <row r="4325">
      <c r="A4325">
        <f>HYPERLINK("https://www.youtube.com/watch?v=z9jXW9r1xr8", "Video")</f>
        <v/>
      </c>
      <c r="B4325" t="inlineStr">
        <is>
          <t>8:23</t>
        </is>
      </c>
      <c r="C4325" t="inlineStr">
        <is>
          <t>directly into the partition
of a hotel entrance</t>
        </is>
      </c>
      <c r="D4325">
        <f>HYPERLINK("https://www.youtube.com/watch?v=z9jXW9r1xr8&amp;t=503s", "Go to time")</f>
        <v/>
      </c>
    </row>
    <row r="4326">
      <c r="A4326">
        <f>HYPERLINK("https://www.youtube.com/watch?v=cbtkoZUOR1A", "Video")</f>
        <v/>
      </c>
      <c r="B4326" t="inlineStr">
        <is>
          <t>3:59</t>
        </is>
      </c>
      <c r="C4326" t="inlineStr">
        <is>
          <t>um and I'm not a Hollywood director and</t>
        </is>
      </c>
      <c r="D4326">
        <f>HYPERLINK("https://www.youtube.com/watch?v=cbtkoZUOR1A&amp;t=239s", "Go to time")</f>
        <v/>
      </c>
    </row>
    <row r="4327">
      <c r="A4327">
        <f>HYPERLINK("https://www.youtube.com/watch?v=cbtkoZUOR1A", "Video")</f>
        <v/>
      </c>
      <c r="B4327" t="inlineStr">
        <is>
          <t>9:18</t>
        </is>
      </c>
      <c r="C4327" t="inlineStr">
        <is>
          <t>Storyteller I can call myself a director</t>
        </is>
      </c>
      <c r="D4327">
        <f>HYPERLINK("https://www.youtube.com/watch?v=cbtkoZUOR1A&amp;t=558s", "Go to time")</f>
        <v/>
      </c>
    </row>
    <row r="4328">
      <c r="A4328">
        <f>HYPERLINK("https://www.youtube.com/watch?v=cbtkoZUOR1A", "Video")</f>
        <v/>
      </c>
      <c r="B4328" t="inlineStr">
        <is>
          <t>19:51</t>
        </is>
      </c>
      <c r="C4328" t="inlineStr">
        <is>
          <t>directing this film has been a lifetime</t>
        </is>
      </c>
      <c r="D4328">
        <f>HYPERLINK("https://www.youtube.com/watch?v=cbtkoZUOR1A&amp;t=1191s", "Go to time")</f>
        <v/>
      </c>
    </row>
    <row r="4329">
      <c r="A4329">
        <f>HYPERLINK("https://www.youtube.com/watch?v=cbtkoZUOR1A", "Video")</f>
        <v/>
      </c>
      <c r="B4329" t="inlineStr">
        <is>
          <t>22:23</t>
        </is>
      </c>
      <c r="C4329" t="inlineStr">
        <is>
          <t>direct this film than than any other can</t>
        </is>
      </c>
      <c r="D4329">
        <f>HYPERLINK("https://www.youtube.com/watch?v=cbtkoZUOR1A&amp;t=1343s", "Go to time")</f>
        <v/>
      </c>
    </row>
    <row r="4330">
      <c r="A4330">
        <f>HYPERLINK("https://www.youtube.com/watch?v=cbtkoZUOR1A", "Video")</f>
        <v/>
      </c>
      <c r="B4330" t="inlineStr">
        <is>
          <t>39:17</t>
        </is>
      </c>
      <c r="C4330" t="inlineStr">
        <is>
          <t>directors maybe do this and all power to</t>
        </is>
      </c>
      <c r="D4330">
        <f>HYPERLINK("https://www.youtube.com/watch?v=cbtkoZUOR1A&amp;t=2357s", "Go to time")</f>
        <v/>
      </c>
    </row>
    <row r="4331">
      <c r="A4331">
        <f>HYPERLINK("https://www.youtube.com/watch?v=cbtkoZUOR1A", "Video")</f>
        <v/>
      </c>
      <c r="B4331" t="inlineStr">
        <is>
          <t>54:01</t>
        </is>
      </c>
      <c r="C4331" t="inlineStr">
        <is>
          <t>maybe it's not directing Maybe by</t>
        </is>
      </c>
      <c r="D4331">
        <f>HYPERLINK("https://www.youtube.com/watch?v=cbtkoZUOR1A&amp;t=3241s", "Go to time")</f>
        <v/>
      </c>
    </row>
    <row r="4332">
      <c r="A4332">
        <f>HYPERLINK("https://www.youtube.com/watch?v=cbtkoZUOR1A", "Video")</f>
        <v/>
      </c>
      <c r="B4332" t="inlineStr">
        <is>
          <t>54:03</t>
        </is>
      </c>
      <c r="C4332" t="inlineStr">
        <is>
          <t>directing you found out oh sound is my</t>
        </is>
      </c>
      <c r="D4332">
        <f>HYPERLINK("https://www.youtube.com/watch?v=cbtkoZUOR1A&amp;t=3243s", "Go to time")</f>
        <v/>
      </c>
    </row>
    <row r="4333">
      <c r="A4333">
        <f>HYPERLINK("https://www.youtube.com/watch?v=9y7YEmyz-Do", "Video")</f>
        <v/>
      </c>
      <c r="B4333" t="inlineStr">
        <is>
          <t>10:07</t>
        </is>
      </c>
      <c r="C4333" t="inlineStr">
        <is>
          <t>The live-streaming is bidirectional,</t>
        </is>
      </c>
      <c r="D4333">
        <f>HYPERLINK("https://www.youtube.com/watch?v=9y7YEmyz-Do&amp;t=607s", "Go to time")</f>
        <v/>
      </c>
    </row>
    <row r="4334">
      <c r="A4334">
        <f>HYPERLINK("https://www.youtube.com/watch?v=njVQC8OwX5c", "Video")</f>
        <v/>
      </c>
      <c r="B4334" t="inlineStr">
        <is>
          <t>4:31</t>
        </is>
      </c>
      <c r="C4334" t="inlineStr">
        <is>
          <t>Agriculture is also the biggest
direct impact people have</t>
        </is>
      </c>
      <c r="D4334">
        <f>HYPERLINK("https://www.youtube.com/watch?v=njVQC8OwX5c&amp;t=271s", "Go to time")</f>
        <v/>
      </c>
    </row>
    <row r="4335">
      <c r="A4335">
        <f>HYPERLINK("https://www.youtube.com/watch?v=wIkvIKeRNoY", "Video")</f>
        <v/>
      </c>
      <c r="B4335" t="inlineStr">
        <is>
          <t>8:21</t>
        </is>
      </c>
      <c r="C4335" t="inlineStr">
        <is>
          <t>and there's people like funeral directors</t>
        </is>
      </c>
      <c r="D4335">
        <f>HYPERLINK("https://www.youtube.com/watch?v=wIkvIKeRNoY&amp;t=501s", "Go to time")</f>
        <v/>
      </c>
    </row>
    <row r="4336">
      <c r="A4336">
        <f>HYPERLINK("https://www.youtube.com/watch?v=E4FrxvHJlKw", "Video")</f>
        <v/>
      </c>
      <c r="B4336" t="inlineStr">
        <is>
          <t>2:42</t>
        </is>
      </c>
      <c r="C4336" t="inlineStr">
        <is>
          <t>HB: We are the directors of the feature
documentary film "The Cleaners,"</t>
        </is>
      </c>
      <c r="D4336">
        <f>HYPERLINK("https://www.youtube.com/watch?v=E4FrxvHJlKw&amp;t=162s", "Go to time")</f>
        <v/>
      </c>
    </row>
    <row r="4337">
      <c r="A4337">
        <f>HYPERLINK("https://www.youtube.com/watch?v=t0Cr64zCc38", "Video")</f>
        <v/>
      </c>
      <c r="B4337" t="inlineStr">
        <is>
          <t>5:01</t>
        </is>
      </c>
      <c r="C4337" t="inlineStr">
        <is>
          <t>It usually works either by directing
police attentions and police resources,</t>
        </is>
      </c>
      <c r="D4337">
        <f>HYPERLINK("https://www.youtube.com/watch?v=t0Cr64zCc38&amp;t=301s", "Go to time")</f>
        <v/>
      </c>
    </row>
    <row r="4338">
      <c r="A4338">
        <f>HYPERLINK("https://www.youtube.com/watch?v=t0Cr64zCc38", "Video")</f>
        <v/>
      </c>
      <c r="B4338" t="inlineStr">
        <is>
          <t>9:14</t>
        </is>
      </c>
      <c r="C4338" t="inlineStr">
        <is>
          <t>and directing police
attentions to solving it,</t>
        </is>
      </c>
      <c r="D4338">
        <f>HYPERLINK("https://www.youtube.com/watch?v=t0Cr64zCc38&amp;t=554s", "Go to time")</f>
        <v/>
      </c>
    </row>
    <row r="4339">
      <c r="A4339">
        <f>HYPERLINK("https://www.youtube.com/watch?v=F9XB29JfKYo", "Video")</f>
        <v/>
      </c>
      <c r="B4339" t="inlineStr">
        <is>
          <t>5:37</t>
        </is>
      </c>
      <c r="C4339" t="inlineStr">
        <is>
          <t>that you can visit and engage directly
with whatever they're selling.</t>
        </is>
      </c>
      <c r="D4339">
        <f>HYPERLINK("https://www.youtube.com/watch?v=F9XB29JfKYo&amp;t=337s", "Go to time")</f>
        <v/>
      </c>
    </row>
    <row r="4340">
      <c r="A4340">
        <f>HYPERLINK("https://www.youtube.com/watch?v=uU2L5nTSHtc", "Video")</f>
        <v/>
      </c>
      <c r="B4340" t="inlineStr">
        <is>
          <t>10:03</t>
        </is>
      </c>
      <c r="C4340" t="inlineStr">
        <is>
          <t>having any direct tie to agriculture,</t>
        </is>
      </c>
      <c r="D4340">
        <f>HYPERLINK("https://www.youtube.com/watch?v=uU2L5nTSHtc&amp;t=603s", "Go to time")</f>
        <v/>
      </c>
    </row>
    <row r="4341">
      <c r="A4341">
        <f>HYPERLINK("https://www.youtube.com/watch?v=l0hVIH3EnlQ", "Video")</f>
        <v/>
      </c>
      <c r="B4341" t="inlineStr">
        <is>
          <t>4:14</t>
        </is>
      </c>
      <c r="C4341" t="inlineStr">
        <is>
          <t>Instead, face it directly.</t>
        </is>
      </c>
      <c r="D4341">
        <f>HYPERLINK("https://www.youtube.com/watch?v=l0hVIH3EnlQ&amp;t=254s", "Go to time")</f>
        <v/>
      </c>
    </row>
    <row r="4342">
      <c r="A4342">
        <f>HYPERLINK("https://www.youtube.com/watch?v=BoRXbjGJrI0", "Video")</f>
        <v/>
      </c>
      <c r="B4342" t="inlineStr">
        <is>
          <t>7:06</t>
        </is>
      </c>
      <c r="C4342" t="inlineStr">
        <is>
          <t>Several of those pertain directly
to language and culture.</t>
        </is>
      </c>
      <c r="D4342">
        <f>HYPERLINK("https://www.youtube.com/watch?v=BoRXbjGJrI0&amp;t=426s", "Go to time")</f>
        <v/>
      </c>
    </row>
    <row r="4343">
      <c r="A4343">
        <f>HYPERLINK("https://www.youtube.com/watch?v=BoRXbjGJrI0", "Video")</f>
        <v/>
      </c>
      <c r="B4343" t="inlineStr">
        <is>
          <t>8:50</t>
        </is>
      </c>
      <c r="C4343" t="inlineStr">
        <is>
          <t>And that sounds really dire.</t>
        </is>
      </c>
      <c r="D4343">
        <f>HYPERLINK("https://www.youtube.com/watch?v=BoRXbjGJrI0&amp;t=530s", "Go to time")</f>
        <v/>
      </c>
    </row>
    <row r="4344">
      <c r="A4344">
        <f>HYPERLINK("https://www.youtube.com/watch?v=4BFL4MCnZg8", "Video")</f>
        <v/>
      </c>
      <c r="B4344" t="inlineStr">
        <is>
          <t>13:38</t>
        </is>
      </c>
      <c r="C4344" t="inlineStr">
        <is>
          <t>for integrating indirect emissions.</t>
        </is>
      </c>
      <c r="D4344">
        <f>HYPERLINK("https://www.youtube.com/watch?v=4BFL4MCnZg8&amp;t=818s", "Go to time")</f>
        <v/>
      </c>
    </row>
    <row r="4345">
      <c r="A4345">
        <f>HYPERLINK("https://www.youtube.com/watch?v=vmxHUiiHgNk", "Video")</f>
        <v/>
      </c>
      <c r="B4345" t="inlineStr">
        <is>
          <t>1:18</t>
        </is>
      </c>
      <c r="C4345" t="inlineStr">
        <is>
          <t>But I also had to learn
how to challenge directly,</t>
        </is>
      </c>
      <c r="D4345">
        <f>HYPERLINK("https://www.youtube.com/watch?v=vmxHUiiHgNk&amp;t=78s", "Go to time")</f>
        <v/>
      </c>
    </row>
    <row r="4346">
      <c r="A4346">
        <f>HYPERLINK("https://www.youtube.com/watch?v=vmxHUiiHgNk", "Video")</f>
        <v/>
      </c>
      <c r="B4346" t="inlineStr">
        <is>
          <t>1:44</t>
        </is>
      </c>
      <c r="C4346" t="inlineStr">
        <is>
          <t>Sometimes we remember
to challenge directly,</t>
        </is>
      </c>
      <c r="D4346">
        <f>HYPERLINK("https://www.youtube.com/watch?v=vmxHUiiHgNk&amp;t=104s", "Go to time")</f>
        <v/>
      </c>
    </row>
    <row r="4347">
      <c r="A4347">
        <f>HYPERLINK("https://www.youtube.com/watch?v=vmxHUiiHgNk", "Video")</f>
        <v/>
      </c>
      <c r="B4347" t="inlineStr">
        <is>
          <t>2:34</t>
        </is>
      </c>
      <c r="C4347" t="inlineStr">
        <is>
          <t>Instead, it's my instinct to go
the wrong way on "challenge directly."</t>
        </is>
      </c>
      <c r="D4347">
        <f>HYPERLINK("https://www.youtube.com/watch?v=vmxHUiiHgNk&amp;t=154s", "Go to time")</f>
        <v/>
      </c>
    </row>
    <row r="4348">
      <c r="A4348">
        <f>HYPERLINK("https://www.youtube.com/watch?v=vmxHUiiHgNk", "Video")</f>
        <v/>
      </c>
      <c r="B4348" t="inlineStr">
        <is>
          <t>14:59</t>
        </is>
      </c>
      <c r="C4348" t="inlineStr">
        <is>
          <t>on the "challenge directly" dimension.</t>
        </is>
      </c>
      <c r="D4348">
        <f>HYPERLINK("https://www.youtube.com/watch?v=vmxHUiiHgNk&amp;t=899s", "Go to time")</f>
        <v/>
      </c>
    </row>
    <row r="4349">
      <c r="A4349">
        <f>HYPERLINK("https://www.youtube.com/watch?v=AO4In7d6X-c", "Video")</f>
        <v/>
      </c>
      <c r="B4349" t="inlineStr">
        <is>
          <t>8:59</t>
        </is>
      </c>
      <c r="C4349" t="inlineStr">
        <is>
          <t>and he's giving Spot
some general direction</t>
        </is>
      </c>
      <c r="D4349">
        <f>HYPERLINK("https://www.youtube.com/watch?v=AO4In7d6X-c&amp;t=539s", "Go to time")</f>
        <v/>
      </c>
    </row>
    <row r="4350">
      <c r="A4350">
        <f>HYPERLINK("https://www.youtube.com/watch?v=AO4In7d6X-c", "Video")</f>
        <v/>
      </c>
      <c r="B4350" t="inlineStr">
        <is>
          <t>9:25</t>
        </is>
      </c>
      <c r="C4350" t="inlineStr">
        <is>
          <t>it's omnidirectional.</t>
        </is>
      </c>
      <c r="D4350">
        <f>HYPERLINK("https://www.youtube.com/watch?v=AO4In7d6X-c&amp;t=565s", "Go to time")</f>
        <v/>
      </c>
    </row>
    <row r="4351">
      <c r="A4351">
        <f>HYPERLINK("https://www.youtube.com/watch?v=VDZO45zPW9I", "Video")</f>
        <v/>
      </c>
      <c r="B4351" t="inlineStr">
        <is>
          <t>14:21</t>
        </is>
      </c>
      <c r="C4351" t="inlineStr">
        <is>
          <t>with our ability to direct news coverage
through our consumption,</t>
        </is>
      </c>
      <c r="D4351">
        <f>HYPERLINK("https://www.youtube.com/watch?v=VDZO45zPW9I&amp;t=861s", "Go to time")</f>
        <v/>
      </c>
    </row>
    <row r="4352">
      <c r="A4352">
        <f>HYPERLINK("https://www.youtube.com/watch?v=tuvxXnQrRv8", "Video")</f>
        <v/>
      </c>
      <c r="B4352" t="inlineStr">
        <is>
          <t>5:14</t>
        </is>
      </c>
      <c r="C4352" t="inlineStr">
        <is>
          <t>Direct air capture is a great example
of a chemical pathway,</t>
        </is>
      </c>
      <c r="D4352">
        <f>HYPERLINK("https://www.youtube.com/watch?v=tuvxXnQrRv8&amp;t=314s", "Go to time")</f>
        <v/>
      </c>
    </row>
    <row r="4353">
      <c r="A4353">
        <f>HYPERLINK("https://www.youtube.com/watch?v=TQ2f4sJVXAI", "Video")</f>
        <v/>
      </c>
      <c r="B4353" t="inlineStr">
        <is>
          <t>0:55</t>
        </is>
      </c>
      <c r="C4353" t="inlineStr">
        <is>
          <t>that goes in the opposite direction
to modern urbanism,</t>
        </is>
      </c>
      <c r="D4353">
        <f>HYPERLINK("https://www.youtube.com/watch?v=TQ2f4sJVXAI&amp;t=55s", "Go to time")</f>
        <v/>
      </c>
    </row>
    <row r="4354">
      <c r="A4354">
        <f>HYPERLINK("https://www.youtube.com/watch?v=ez7HOFKTtH0", "Video")</f>
        <v/>
      </c>
      <c r="B4354" t="inlineStr">
        <is>
          <t>1:53</t>
        </is>
      </c>
      <c r="C4354" t="inlineStr">
        <is>
          <t>This is due to the interaction with light
at various directions</t>
        </is>
      </c>
      <c r="D4354">
        <f>HYPERLINK("https://www.youtube.com/watch?v=ez7HOFKTtH0&amp;t=113s", "Go to time")</f>
        <v/>
      </c>
    </row>
    <row r="4355">
      <c r="A4355">
        <f>HYPERLINK("https://www.youtube.com/watch?v=FATQ0Yf0Fhc", "Video")</f>
        <v/>
      </c>
      <c r="B4355" t="inlineStr">
        <is>
          <t>0:50</t>
        </is>
      </c>
      <c r="C4355" t="inlineStr">
        <is>
          <t>They sent money to people directly
to help them buy food and pay rent.</t>
        </is>
      </c>
      <c r="D4355">
        <f>HYPERLINK("https://www.youtube.com/watch?v=FATQ0Yf0Fhc&amp;t=50s", "Go to time")</f>
        <v/>
      </c>
    </row>
    <row r="4356">
      <c r="A4356">
        <f>HYPERLINK("https://www.youtube.com/watch?v=rsL4vztsChc", "Video")</f>
        <v/>
      </c>
      <c r="B4356" t="inlineStr">
        <is>
          <t>4:37</t>
        </is>
      </c>
      <c r="C4356" t="inlineStr">
        <is>
          <t>but that's not all Beyond these direct</t>
        </is>
      </c>
      <c r="D4356">
        <f>HYPERLINK("https://www.youtube.com/watch?v=rsL4vztsChc&amp;t=277s", "Go to time")</f>
        <v/>
      </c>
    </row>
    <row r="4357">
      <c r="A4357">
        <f>HYPERLINK("https://www.youtube.com/watch?v=rsL4vztsChc", "Video")</f>
        <v/>
      </c>
      <c r="B4357" t="inlineStr">
        <is>
          <t>4:41</t>
        </is>
      </c>
      <c r="C4357" t="inlineStr">
        <is>
          <t>some indirect ways the food system emits</t>
        </is>
      </c>
      <c r="D4357">
        <f>HYPERLINK("https://www.youtube.com/watch?v=rsL4vztsChc&amp;t=281s", "Go to time")</f>
        <v/>
      </c>
    </row>
    <row r="4358">
      <c r="A4358">
        <f>HYPERLINK("https://www.youtube.com/watch?v=rsL4vztsChc", "Video")</f>
        <v/>
      </c>
      <c r="B4358" t="inlineStr">
        <is>
          <t>5:03</t>
        </is>
      </c>
      <c r="C4358" t="inlineStr">
        <is>
          <t>directly but when we add all the other</t>
        </is>
      </c>
      <c r="D4358">
        <f>HYPERLINK("https://www.youtube.com/watch?v=rsL4vztsChc&amp;t=303s", "Go to time")</f>
        <v/>
      </c>
    </row>
    <row r="4359">
      <c r="A4359">
        <f>HYPERLINK("https://www.youtube.com/watch?v=rsL4vztsChc", "Video")</f>
        <v/>
      </c>
      <c r="B4359" t="inlineStr">
        <is>
          <t>14:30</t>
        </is>
      </c>
      <c r="C4359" t="inlineStr">
        <is>
          <t>company named gter that's redirecting</t>
        </is>
      </c>
      <c r="D4359">
        <f>HYPERLINK("https://www.youtube.com/watch?v=rsL4vztsChc&amp;t=870s", "Go to time")</f>
        <v/>
      </c>
    </row>
    <row r="4360">
      <c r="A4360">
        <f>HYPERLINK("https://www.youtube.com/watch?v=7GN10u6F9m0", "Video")</f>
        <v/>
      </c>
      <c r="B4360" t="inlineStr">
        <is>
          <t>2:27</t>
        </is>
      </c>
      <c r="C4360" t="inlineStr">
        <is>
          <t>I direct the Oxford Process.</t>
        </is>
      </c>
      <c r="D4360">
        <f>HYPERLINK("https://www.youtube.com/watch?v=7GN10u6F9m0&amp;t=147s", "Go to time")</f>
        <v/>
      </c>
    </row>
    <row r="4361">
      <c r="A4361">
        <f>HYPERLINK("https://www.youtube.com/watch?v=JCL4lsW6CUY", "Video")</f>
        <v/>
      </c>
      <c r="B4361" t="inlineStr">
        <is>
          <t>7:05</t>
        </is>
      </c>
      <c r="C4361" t="inlineStr">
        <is>
          <t>and in doing so, we drive the water
the opposite direction.</t>
        </is>
      </c>
      <c r="D4361">
        <f>HYPERLINK("https://www.youtube.com/watch?v=JCL4lsW6CUY&amp;t=425s", "Go to time")</f>
        <v/>
      </c>
    </row>
    <row r="4362">
      <c r="A4362">
        <f>HYPERLINK("https://www.youtube.com/watch?v=IeajljTsrOc", "Video")</f>
        <v/>
      </c>
      <c r="B4362" t="inlineStr">
        <is>
          <t>6:05</t>
        </is>
      </c>
      <c r="C4362" t="inlineStr">
        <is>
          <t>that they could direct cell growth
to address an unmet medical need.</t>
        </is>
      </c>
      <c r="D4362">
        <f>HYPERLINK("https://www.youtube.com/watch?v=IeajljTsrOc&amp;t=365s", "Go to time")</f>
        <v/>
      </c>
    </row>
    <row r="4363">
      <c r="A4363">
        <f>HYPERLINK("https://www.youtube.com/watch?v=fLMZAHyrpyo", "Video")</f>
        <v/>
      </c>
      <c r="B4363" t="inlineStr">
        <is>
          <t>14:49</t>
        </is>
      </c>
      <c r="C4363" t="inlineStr">
        <is>
          <t>what's happening is that automation
is opening up more directions</t>
        </is>
      </c>
      <c r="D4363">
        <f>HYPERLINK("https://www.youtube.com/watch?v=fLMZAHyrpyo&amp;t=889s", "Go to time")</f>
        <v/>
      </c>
    </row>
    <row r="4364">
      <c r="A4364">
        <f>HYPERLINK("https://www.youtube.com/watch?v=qRJJR6bGyL4", "Video")</f>
        <v/>
      </c>
      <c r="B4364" t="inlineStr">
        <is>
          <t>5:10</t>
        </is>
      </c>
      <c r="C4364" t="inlineStr">
        <is>
          <t>Do our circumstances seem dire to you yet?</t>
        </is>
      </c>
      <c r="D4364">
        <f>HYPERLINK("https://www.youtube.com/watch?v=qRJJR6bGyL4&amp;t=310s", "Go to time")</f>
        <v/>
      </c>
    </row>
    <row r="4365">
      <c r="A4365">
        <f>HYPERLINK("https://www.youtube.com/watch?v=xJM_CQN8-ns", "Video")</f>
        <v/>
      </c>
      <c r="B4365" t="inlineStr">
        <is>
          <t>5:09</t>
        </is>
      </c>
      <c r="C4365" t="inlineStr">
        <is>
          <t>directly 10 years after that meeting.</t>
        </is>
      </c>
      <c r="D4365">
        <f>HYPERLINK("https://www.youtube.com/watch?v=xJM_CQN8-ns&amp;t=309s", "Go to time")</f>
        <v/>
      </c>
    </row>
    <row r="4366">
      <c r="A4366">
        <f>HYPERLINK("https://www.youtube.com/watch?v=5qaktKVL_zM", "Video")</f>
        <v/>
      </c>
      <c r="B4366" t="inlineStr">
        <is>
          <t>1:33</t>
        </is>
      </c>
      <c r="C4366" t="inlineStr">
        <is>
          <t>The attending physician directed me
to go share with Harold and his family</t>
        </is>
      </c>
      <c r="D4366">
        <f>HYPERLINK("https://www.youtube.com/watch?v=5qaktKVL_zM&amp;t=93s", "Go to time")</f>
        <v/>
      </c>
    </row>
    <row r="4367">
      <c r="A4367">
        <f>HYPERLINK("https://www.youtube.com/watch?v=BTB_HPL2r88", "Video")</f>
        <v/>
      </c>
      <c r="B4367" t="inlineStr">
        <is>
          <t>4:24</t>
        </is>
      </c>
      <c r="C4367" t="inlineStr">
        <is>
          <t>which is known as directed evolution.</t>
        </is>
      </c>
      <c r="D4367">
        <f>HYPERLINK("https://www.youtube.com/watch?v=BTB_HPL2r88&amp;t=264s", "Go to time")</f>
        <v/>
      </c>
    </row>
    <row r="4368">
      <c r="A4368">
        <f>HYPERLINK("https://www.youtube.com/watch?v=BTB_HPL2r88", "Video")</f>
        <v/>
      </c>
      <c r="B4368" t="inlineStr">
        <is>
          <t>4:27</t>
        </is>
      </c>
      <c r="C4368" t="inlineStr">
        <is>
          <t>Nowadays, we can harness
the powers of directed evolution</t>
        </is>
      </c>
      <c r="D4368">
        <f>HYPERLINK("https://www.youtube.com/watch?v=BTB_HPL2r88&amp;t=267s", "Go to time")</f>
        <v/>
      </c>
    </row>
    <row r="4369">
      <c r="A4369">
        <f>HYPERLINK("https://www.youtube.com/watch?v=dQmaMOxwaQI", "Video")</f>
        <v/>
      </c>
      <c r="B4369" t="inlineStr">
        <is>
          <t>0:58</t>
        </is>
      </c>
      <c r="C4369" t="inlineStr">
        <is>
          <t>growing in every direction,</t>
        </is>
      </c>
      <c r="D4369">
        <f>HYPERLINK("https://www.youtube.com/watch?v=dQmaMOxwaQI&amp;t=58s", "Go to time")</f>
        <v/>
      </c>
    </row>
    <row r="4370">
      <c r="A4370">
        <f>HYPERLINK("https://www.youtube.com/watch?v=7x21HAC2gnA", "Video")</f>
        <v/>
      </c>
      <c r="B4370" t="inlineStr">
        <is>
          <t>0:40</t>
        </is>
      </c>
      <c r="C4370" t="inlineStr">
        <is>
          <t>can't perceive directly using any of our</t>
        </is>
      </c>
      <c r="D4370">
        <f>HYPERLINK("https://www.youtube.com/watch?v=7x21HAC2gnA&amp;t=40s", "Go to time")</f>
        <v/>
      </c>
    </row>
    <row r="4371">
      <c r="A4371">
        <f>HYPERLINK("https://www.youtube.com/watch?v=7x21HAC2gnA", "Video")</f>
        <v/>
      </c>
      <c r="B4371" t="inlineStr">
        <is>
          <t>15:28</t>
        </is>
      </c>
      <c r="C4371" t="inlineStr">
        <is>
          <t>directly perceive</t>
        </is>
      </c>
      <c r="D4371">
        <f>HYPERLINK("https://www.youtube.com/watch?v=7x21HAC2gnA&amp;t=928s", "Go to time")</f>
        <v/>
      </c>
    </row>
    <row r="4372">
      <c r="A4372">
        <f>HYPERLINK("https://www.youtube.com/watch?v=7x21HAC2gnA", "Video")</f>
        <v/>
      </c>
      <c r="B4372" t="inlineStr">
        <is>
          <t>25:01</t>
        </is>
      </c>
      <c r="C4372" t="inlineStr">
        <is>
          <t>different directions on the one hand</t>
        </is>
      </c>
      <c r="D4372">
        <f>HYPERLINK("https://www.youtube.com/watch?v=7x21HAC2gnA&amp;t=1501s", "Go to time")</f>
        <v/>
      </c>
    </row>
    <row r="4373">
      <c r="A4373">
        <f>HYPERLINK("https://www.youtube.com/watch?v=7x21HAC2gnA", "Video")</f>
        <v/>
      </c>
      <c r="B4373" t="inlineStr">
        <is>
          <t>25:45</t>
        </is>
      </c>
      <c r="C4373" t="inlineStr">
        <is>
          <t>noise from all around in all directions</t>
        </is>
      </c>
      <c r="D4373">
        <f>HYPERLINK("https://www.youtube.com/watch?v=7x21HAC2gnA&amp;t=1545s", "Go to time")</f>
        <v/>
      </c>
    </row>
    <row r="4374">
      <c r="A4374">
        <f>HYPERLINK("https://www.youtube.com/watch?v=7x21HAC2gnA", "Video")</f>
        <v/>
      </c>
      <c r="B4374" t="inlineStr">
        <is>
          <t>36:30</t>
        </is>
      </c>
      <c r="C4374" t="inlineStr">
        <is>
          <t>to it a little bit more directly um but</t>
        </is>
      </c>
      <c r="D4374">
        <f>HYPERLINK("https://www.youtube.com/watch?v=7x21HAC2gnA&amp;t=2190s", "Go to time")</f>
        <v/>
      </c>
    </row>
    <row r="4375">
      <c r="A4375">
        <f>HYPERLINK("https://www.youtube.com/watch?v=501FEzbB1JI", "Video")</f>
        <v/>
      </c>
      <c r="B4375" t="inlineStr">
        <is>
          <t>0:28</t>
        </is>
      </c>
      <c r="C4375" t="inlineStr">
        <is>
          <t>rely either directly or indirectly</t>
        </is>
      </c>
      <c r="D4375">
        <f>HYPERLINK("https://www.youtube.com/watch?v=501FEzbB1JI&amp;t=28s", "Go to time")</f>
        <v/>
      </c>
    </row>
    <row r="4376">
      <c r="A4376">
        <f>HYPERLINK("https://www.youtube.com/watch?v=IZ2N3tF4W_k", "Video")</f>
        <v/>
      </c>
      <c r="B4376" t="inlineStr">
        <is>
          <t>10:29</t>
        </is>
      </c>
      <c r="C4376" t="inlineStr">
        <is>
          <t>working out their rough consensus
of where the direction is going</t>
        </is>
      </c>
      <c r="D4376">
        <f>HYPERLINK("https://www.youtube.com/watch?v=IZ2N3tF4W_k&amp;t=629s", "Go to time")</f>
        <v/>
      </c>
    </row>
    <row r="4377">
      <c r="A4377">
        <f>HYPERLINK("https://www.youtube.com/watch?v=uCk3nRviOHw", "Video")</f>
        <v/>
      </c>
      <c r="B4377" t="inlineStr">
        <is>
          <t>3:08</t>
        </is>
      </c>
      <c r="C4377" t="inlineStr">
        <is>
          <t>to be the thing that bring direction
and urgency to our lives.</t>
        </is>
      </c>
      <c r="D4377">
        <f>HYPERLINK("https://www.youtube.com/watch?v=uCk3nRviOHw&amp;t=188s", "Go to time")</f>
        <v/>
      </c>
    </row>
    <row r="4378">
      <c r="A4378">
        <f>HYPERLINK("https://www.youtube.com/watch?v=JY-_GRi56KQ", "Video")</f>
        <v/>
      </c>
      <c r="B4378" t="inlineStr">
        <is>
          <t>3:31</t>
        </is>
      </c>
      <c r="C4378" t="inlineStr">
        <is>
          <t>If a plane takes a more direct route
instead of flying around national borders,</t>
        </is>
      </c>
      <c r="D4378">
        <f>HYPERLINK("https://www.youtube.com/watch?v=JY-_GRi56KQ&amp;t=211s", "Go to time")</f>
        <v/>
      </c>
    </row>
    <row r="4379">
      <c r="A4379">
        <f>HYPERLINK("https://www.youtube.com/watch?v=g80SezdX9WY", "Video")</f>
        <v/>
      </c>
      <c r="B4379" t="inlineStr">
        <is>
          <t>4:32</t>
        </is>
      </c>
      <c r="C4379" t="inlineStr">
        <is>
          <t>the art director of the New York Times</t>
        </is>
      </c>
      <c r="D4379">
        <f>HYPERLINK("https://www.youtube.com/watch?v=g80SezdX9WY&amp;t=272s", "Go to time")</f>
        <v/>
      </c>
    </row>
    <row r="4380">
      <c r="A4380">
        <f>HYPERLINK("https://www.youtube.com/watch?v=g80SezdX9WY", "Video")</f>
        <v/>
      </c>
      <c r="B4380" t="inlineStr">
        <is>
          <t>7:11</t>
        </is>
      </c>
      <c r="C4380" t="inlineStr">
        <is>
          <t>director and such a such a fierce</t>
        </is>
      </c>
      <c r="D4380">
        <f>HYPERLINK("https://www.youtube.com/watch?v=g80SezdX9WY&amp;t=431s", "Go to time")</f>
        <v/>
      </c>
    </row>
    <row r="4381">
      <c r="A4381">
        <f>HYPERLINK("https://www.youtube.com/watch?v=RKK7wGAYP6k", "Video")</f>
        <v/>
      </c>
      <c r="B4381" t="inlineStr">
        <is>
          <t>2:48</t>
        </is>
      </c>
      <c r="C4381" t="inlineStr">
        <is>
          <t>and instead, everything
is in cardinal directions:</t>
        </is>
      </c>
      <c r="D4381">
        <f>HYPERLINK("https://www.youtube.com/watch?v=RKK7wGAYP6k&amp;t=168s", "Go to time")</f>
        <v/>
      </c>
    </row>
    <row r="4382">
      <c r="A4382">
        <f>HYPERLINK("https://www.youtube.com/watch?v=RKK7wGAYP6k", "Video")</f>
        <v/>
      </c>
      <c r="B4382" t="inlineStr">
        <is>
          <t>3:18</t>
        </is>
      </c>
      <c r="C4382" t="inlineStr">
        <is>
          <t>you have to report your heading direction.</t>
        </is>
      </c>
      <c r="D4382">
        <f>HYPERLINK("https://www.youtube.com/watch?v=RKK7wGAYP6k&amp;t=198s", "Go to time")</f>
        <v/>
      </c>
    </row>
    <row r="4383">
      <c r="A4383">
        <f>HYPERLINK("https://www.youtube.com/watch?v=RKK7wGAYP6k", "Video")</f>
        <v/>
      </c>
      <c r="B4383" t="inlineStr">
        <is>
          <t>4:52</t>
        </is>
      </c>
      <c r="C4383" t="inlineStr">
        <is>
          <t>This has to do with writing direction.</t>
        </is>
      </c>
      <c r="D4383">
        <f>HYPERLINK("https://www.youtube.com/watch?v=RKK7wGAYP6k&amp;t=292s", "Go to time")</f>
        <v/>
      </c>
    </row>
    <row r="4384">
      <c r="A4384">
        <f>HYPERLINK("https://www.youtube.com/watch?v=RKK7wGAYP6k", "Video")</f>
        <v/>
      </c>
      <c r="B4384" t="inlineStr">
        <is>
          <t>4:56</t>
        </is>
      </c>
      <c r="C4384" t="inlineStr">
        <is>
          <t>you might do it going
in the opposite direction,</t>
        </is>
      </c>
      <c r="D4384">
        <f>HYPERLINK("https://www.youtube.com/watch?v=RKK7wGAYP6k&amp;t=296s", "Go to time")</f>
        <v/>
      </c>
    </row>
    <row r="4385">
      <c r="A4385">
        <f>HYPERLINK("https://www.youtube.com/watch?v=RKK7wGAYP6k", "Video")</f>
        <v/>
      </c>
      <c r="B4385" t="inlineStr">
        <is>
          <t>5:40</t>
        </is>
      </c>
      <c r="C4385" t="inlineStr">
        <is>
          <t>very egocentric of me to have
the direction of time chase me around</t>
        </is>
      </c>
      <c r="D4385">
        <f>HYPERLINK("https://www.youtube.com/watch?v=RKK7wGAYP6k&amp;t=340s", "Go to time")</f>
        <v/>
      </c>
    </row>
    <row r="4386">
      <c r="A4386">
        <f>HYPERLINK("https://www.youtube.com/watch?v=e1AibqnDvEk", "Video")</f>
        <v/>
      </c>
      <c r="B4386" t="inlineStr">
        <is>
          <t>4:10</t>
        </is>
      </c>
      <c r="C4386" t="inlineStr">
        <is>
          <t>because she was the director
and also the owner.</t>
        </is>
      </c>
      <c r="D4386">
        <f>HYPERLINK("https://www.youtube.com/watch?v=e1AibqnDvEk&amp;t=250s", "Go to time")</f>
        <v/>
      </c>
    </row>
    <row r="4387">
      <c r="A4387">
        <f>HYPERLINK("https://www.youtube.com/watch?v=qxgE0q1_m6U", "Video")</f>
        <v/>
      </c>
      <c r="B4387" t="inlineStr">
        <is>
          <t>1:55</t>
        </is>
      </c>
      <c r="C4387" t="inlineStr">
        <is>
          <t>At Brooklyn Bridge Park,
where I was director of horticulture,</t>
        </is>
      </c>
      <c r="D4387">
        <f>HYPERLINK("https://www.youtube.com/watch?v=qxgE0q1_m6U&amp;t=115s", "Go to time")</f>
        <v/>
      </c>
    </row>
    <row r="4388">
      <c r="A4388">
        <f>HYPERLINK("https://www.youtube.com/watch?v=qxgE0q1_m6U", "Video")</f>
        <v/>
      </c>
      <c r="B4388" t="inlineStr">
        <is>
          <t>3:52</t>
        </is>
      </c>
      <c r="C4388" t="inlineStr">
        <is>
          <t>is the direct result
of insect pollination.</t>
        </is>
      </c>
      <c r="D4388">
        <f>HYPERLINK("https://www.youtube.com/watch?v=qxgE0q1_m6U&amp;t=232s", "Go to time")</f>
        <v/>
      </c>
    </row>
    <row r="4389">
      <c r="A4389">
        <f>HYPERLINK("https://www.youtube.com/watch?v=qxgE0q1_m6U", "Video")</f>
        <v/>
      </c>
      <c r="B4389" t="inlineStr">
        <is>
          <t>11:16</t>
        </is>
      </c>
      <c r="C4389" t="inlineStr">
        <is>
          <t>There's a direct link
between that garden practice</t>
        </is>
      </c>
      <c r="D4389">
        <f>HYPERLINK("https://www.youtube.com/watch?v=qxgE0q1_m6U&amp;t=676s", "Go to time")</f>
        <v/>
      </c>
    </row>
    <row r="4390">
      <c r="A4390">
        <f>HYPERLINK("https://www.youtube.com/watch?v=th3KE_H27bs", "Video")</f>
        <v/>
      </c>
      <c r="B4390" t="inlineStr">
        <is>
          <t>3:17</t>
        </is>
      </c>
      <c r="C4390" t="inlineStr">
        <is>
          <t>are the direct result
of decades of bad economic theory.</t>
        </is>
      </c>
      <c r="D4390">
        <f>HYPERLINK("https://www.youtube.com/watch?v=th3KE_H27bs&amp;t=197s", "Go to time")</f>
        <v/>
      </c>
    </row>
    <row r="4391">
      <c r="A4391">
        <f>HYPERLINK("https://www.youtube.com/watch?v=tz9-N_mRI04", "Video")</f>
        <v/>
      </c>
      <c r="B4391" t="inlineStr">
        <is>
          <t>3:38</t>
        </is>
      </c>
      <c r="C4391" t="inlineStr">
        <is>
          <t>Director: So what's going on here?
GG: We need a new career, I think.</t>
        </is>
      </c>
      <c r="D4391">
        <f>HYPERLINK("https://www.youtube.com/watch?v=tz9-N_mRI04&amp;t=218s", "Go to time")</f>
        <v/>
      </c>
    </row>
    <row r="4392">
      <c r="A4392">
        <f>HYPERLINK("https://www.youtube.com/watch?v=MG9oqntiJKg", "Video")</f>
        <v/>
      </c>
      <c r="B4392" t="inlineStr">
        <is>
          <t>10:00</t>
        </is>
      </c>
      <c r="C4392" t="inlineStr">
        <is>
          <t>And the beautiful thing
about scaling up in this direction</t>
        </is>
      </c>
      <c r="D4392">
        <f>HYPERLINK("https://www.youtube.com/watch?v=MG9oqntiJKg&amp;t=600s", "Go to time")</f>
        <v/>
      </c>
    </row>
    <row r="4393">
      <c r="A4393">
        <f>HYPERLINK("https://www.youtube.com/watch?v=MG9oqntiJKg", "Video")</f>
        <v/>
      </c>
      <c r="B4393" t="inlineStr">
        <is>
          <t>11:45</t>
        </is>
      </c>
      <c r="C4393" t="inlineStr">
        <is>
          <t>And we are just at the very beginning
of scaling up in this direction.</t>
        </is>
      </c>
      <c r="D4393">
        <f>HYPERLINK("https://www.youtube.com/watch?v=MG9oqntiJKg&amp;t=705s", "Go to time")</f>
        <v/>
      </c>
    </row>
    <row r="4394">
      <c r="A4394">
        <f>HYPERLINK("https://www.youtube.com/watch?v=8NkTDzWAX3w", "Video")</f>
        <v/>
      </c>
      <c r="B4394" t="inlineStr">
        <is>
          <t>2:58</t>
        </is>
      </c>
      <c r="C4394" t="inlineStr">
        <is>
          <t>In fact, you get a very messy plate
of cells going in different directions --</t>
        </is>
      </c>
      <c r="D4394">
        <f>HYPERLINK("https://www.youtube.com/watch?v=8NkTDzWAX3w&amp;t=178s", "Go to time")</f>
        <v/>
      </c>
    </row>
    <row r="4395">
      <c r="A4395">
        <f>HYPERLINK("https://www.youtube.com/watch?v=41fjuqBaUt4", "Video")</f>
        <v/>
      </c>
      <c r="B4395" t="inlineStr">
        <is>
          <t>7:11</t>
        </is>
      </c>
      <c r="C4395" t="inlineStr">
        <is>
          <t>maybe give them a directory
of some of these terms.</t>
        </is>
      </c>
      <c r="D4395">
        <f>HYPERLINK("https://www.youtube.com/watch?v=41fjuqBaUt4&amp;t=431s", "Go to time")</f>
        <v/>
      </c>
    </row>
    <row r="4396">
      <c r="A4396">
        <f>HYPERLINK("https://www.youtube.com/watch?v=41fjuqBaUt4", "Video")</f>
        <v/>
      </c>
      <c r="B4396" t="inlineStr">
        <is>
          <t>7:37</t>
        </is>
      </c>
      <c r="C4396" t="inlineStr">
        <is>
          <t>Instead of asking her directly,</t>
        </is>
      </c>
      <c r="D4396">
        <f>HYPERLINK("https://www.youtube.com/watch?v=41fjuqBaUt4&amp;t=457s", "Go to time")</f>
        <v/>
      </c>
    </row>
    <row r="4397">
      <c r="A4397">
        <f>HYPERLINK("https://www.youtube.com/watch?v=UVOnUz2BCrA", "Video")</f>
        <v/>
      </c>
      <c r="B4397" t="inlineStr">
        <is>
          <t>0:53</t>
        </is>
      </c>
      <c r="C4397" t="inlineStr">
        <is>
          <t>either us directly eating plants
or eating animals that eat plants.</t>
        </is>
      </c>
      <c r="D4397">
        <f>HYPERLINK("https://www.youtube.com/watch?v=UVOnUz2BCrA&amp;t=53s", "Go to time")</f>
        <v/>
      </c>
    </row>
    <row r="4398">
      <c r="A4398">
        <f>HYPERLINK("https://www.youtube.com/watch?v=UVOnUz2BCrA", "Video")</f>
        <v/>
      </c>
      <c r="B4398" t="inlineStr">
        <is>
          <t>10:08</t>
        </is>
      </c>
      <c r="C4398" t="inlineStr">
        <is>
          <t>It goes in many different directions.</t>
        </is>
      </c>
      <c r="D4398">
        <f>HYPERLINK("https://www.youtube.com/watch?v=UVOnUz2BCrA&amp;t=608s", "Go to time")</f>
        <v/>
      </c>
    </row>
    <row r="4399">
      <c r="A4399">
        <f>HYPERLINK("https://www.youtube.com/watch?v=fojPLOE150c", "Video")</f>
        <v/>
      </c>
      <c r="B4399" t="inlineStr">
        <is>
          <t>4:41</t>
        </is>
      </c>
      <c r="C4399" t="inlineStr">
        <is>
          <t>And both the American cabinet
as well as Biden directly</t>
        </is>
      </c>
      <c r="D4399">
        <f>HYPERLINK("https://www.youtube.com/watch?v=fojPLOE150c&amp;t=281s", "Go to time")</f>
        <v/>
      </c>
    </row>
    <row r="4400">
      <c r="A4400">
        <f>HYPERLINK("https://www.youtube.com/watch?v=fojPLOE150c", "Video")</f>
        <v/>
      </c>
      <c r="B4400" t="inlineStr">
        <is>
          <t>4:51</t>
        </is>
      </c>
      <c r="C4400" t="inlineStr">
        <is>
          <t>to help ensure that they don’t get
directly involved in the war</t>
        </is>
      </c>
      <c r="D4400">
        <f>HYPERLINK("https://www.youtube.com/watch?v=fojPLOE150c&amp;t=291s", "Go to time")</f>
        <v/>
      </c>
    </row>
    <row r="4401">
      <c r="A4401">
        <f>HYPERLINK("https://www.youtube.com/watch?v=fojPLOE150c", "Video")</f>
        <v/>
      </c>
      <c r="B4401" t="inlineStr">
        <is>
          <t>7:07</t>
        </is>
      </c>
      <c r="C4401" t="inlineStr">
        <is>
          <t>That is one that is driving
a lot more direct attention</t>
        </is>
      </c>
      <c r="D4401">
        <f>HYPERLINK("https://www.youtube.com/watch?v=fojPLOE150c&amp;t=427s", "Go to time")</f>
        <v/>
      </c>
    </row>
    <row r="4402">
      <c r="A4402">
        <f>HYPERLINK("https://www.youtube.com/watch?v=fojPLOE150c", "Video")</f>
        <v/>
      </c>
      <c r="B4402" t="inlineStr">
        <is>
          <t>17:47</t>
        </is>
      </c>
      <c r="C4402" t="inlineStr">
        <is>
          <t>directly with the Chinese.</t>
        </is>
      </c>
      <c r="D4402">
        <f>HYPERLINK("https://www.youtube.com/watch?v=fojPLOE150c&amp;t=1067s", "Go to time")</f>
        <v/>
      </c>
    </row>
    <row r="4403">
      <c r="A4403">
        <f>HYPERLINK("https://www.youtube.com/watch?v=fojPLOE150c", "Video")</f>
        <v/>
      </c>
      <c r="B4403" t="inlineStr">
        <is>
          <t>28:11</t>
        </is>
      </c>
      <c r="C4403" t="inlineStr">
        <is>
          <t>very different directions.</t>
        </is>
      </c>
      <c r="D4403">
        <f>HYPERLINK("https://www.youtube.com/watch?v=fojPLOE150c&amp;t=1691s", "Go to time")</f>
        <v/>
      </c>
    </row>
    <row r="4404">
      <c r="A4404">
        <f>HYPERLINK("https://www.youtube.com/watch?v=fojPLOE150c", "Video")</f>
        <v/>
      </c>
      <c r="B4404" t="inlineStr">
        <is>
          <t>31:17</t>
        </is>
      </c>
      <c r="C4404" t="inlineStr">
        <is>
          <t>but not through state-directed
trade and investment.</t>
        </is>
      </c>
      <c r="D4404">
        <f>HYPERLINK("https://www.youtube.com/watch?v=fojPLOE150c&amp;t=1877s", "Go to time")</f>
        <v/>
      </c>
    </row>
    <row r="4405">
      <c r="A4405">
        <f>HYPERLINK("https://www.youtube.com/watch?v=fojPLOE150c", "Video")</f>
        <v/>
      </c>
      <c r="B4405" t="inlineStr">
        <is>
          <t>33:41</t>
        </is>
      </c>
      <c r="C4405" t="inlineStr">
        <is>
          <t>You've got a lot of military-
to-military direct engagement</t>
        </is>
      </c>
      <c r="D4405">
        <f>HYPERLINK("https://www.youtube.com/watch?v=fojPLOE150c&amp;t=2021s", "Go to time")</f>
        <v/>
      </c>
    </row>
    <row r="4406">
      <c r="A4406">
        <f>HYPERLINK("https://www.youtube.com/watch?v=fojPLOE150c", "Video")</f>
        <v/>
      </c>
      <c r="B4406" t="inlineStr">
        <is>
          <t>35:11</t>
        </is>
      </c>
      <c r="C4406" t="inlineStr">
        <is>
          <t>And if those move from licenses
to direct controls,</t>
        </is>
      </c>
      <c r="D4406">
        <f>HYPERLINK("https://www.youtube.com/watch?v=fojPLOE150c&amp;t=2111s", "Go to time")</f>
        <v/>
      </c>
    </row>
    <row r="4407">
      <c r="A4407">
        <f>HYPERLINK("https://www.youtube.com/watch?v=G_0UMcx7YlM", "Video")</f>
        <v/>
      </c>
      <c r="B4407" t="inlineStr">
        <is>
          <t>6:11</t>
        </is>
      </c>
      <c r="C4407" t="inlineStr">
        <is>
          <t>if there's a storm coming
from one direction or another</t>
        </is>
      </c>
      <c r="D4407">
        <f>HYPERLINK("https://www.youtube.com/watch?v=G_0UMcx7YlM&amp;t=371s", "Go to time")</f>
        <v/>
      </c>
    </row>
    <row r="4408">
      <c r="A4408">
        <f>HYPERLINK("https://www.youtube.com/watch?v=Sf8j5LFv3nI", "Video")</f>
        <v/>
      </c>
      <c r="B4408" t="inlineStr">
        <is>
          <t>13:13</t>
        </is>
      </c>
      <c r="C4408" t="inlineStr">
        <is>
          <t>who despite heavy lobbying
directed at both sides of the aisle</t>
        </is>
      </c>
      <c r="D4408">
        <f>HYPERLINK("https://www.youtube.com/watch?v=Sf8j5LFv3nI&amp;t=793s", "Go to time")</f>
        <v/>
      </c>
    </row>
    <row r="4409">
      <c r="A4409">
        <f>HYPERLINK("https://www.youtube.com/watch?v=Sf8j5LFv3nI", "Video")</f>
        <v/>
      </c>
      <c r="B4409" t="inlineStr">
        <is>
          <t>13:42</t>
        </is>
      </c>
      <c r="C4409" t="inlineStr">
        <is>
          <t>struggle with, at times engage
in direct conflict with corporations.</t>
        </is>
      </c>
      <c r="D4409">
        <f>HYPERLINK("https://www.youtube.com/watch?v=Sf8j5LFv3nI&amp;t=822s", "Go to time")</f>
        <v/>
      </c>
    </row>
    <row r="4410">
      <c r="A4410">
        <f>HYPERLINK("https://www.youtube.com/watch?v=SiCvGQnweAg", "Video")</f>
        <v/>
      </c>
      <c r="B4410" t="inlineStr">
        <is>
          <t>8:08</t>
        </is>
      </c>
      <c r="C4410" t="inlineStr">
        <is>
          <t>direct subsidies for fossil fuels.</t>
        </is>
      </c>
      <c r="D4410">
        <f>HYPERLINK("https://www.youtube.com/watch?v=SiCvGQnweAg&amp;t=488s", "Go to time")</f>
        <v/>
      </c>
    </row>
    <row r="4411">
      <c r="A4411">
        <f>HYPERLINK("https://www.youtube.com/watch?v=pzN4WGPC4kc", "Video")</f>
        <v/>
      </c>
      <c r="B4411" t="inlineStr">
        <is>
          <t>7:36</t>
        </is>
      </c>
      <c r="C4411" t="inlineStr">
        <is>
          <t>of course -- that would lead
directly back to you.</t>
        </is>
      </c>
      <c r="D4411">
        <f>HYPERLINK("https://www.youtube.com/watch?v=pzN4WGPC4kc&amp;t=456s", "Go to time")</f>
        <v/>
      </c>
    </row>
    <row r="4412">
      <c r="A4412">
        <f>HYPERLINK("https://www.youtube.com/watch?v=klroP1mToFA", "Video")</f>
        <v/>
      </c>
      <c r="B4412" t="inlineStr">
        <is>
          <t>9:18</t>
        </is>
      </c>
      <c r="C4412" t="inlineStr">
        <is>
          <t>at the same time
as a film director decided</t>
        </is>
      </c>
      <c r="D4412">
        <f>HYPERLINK("https://www.youtube.com/watch?v=klroP1mToFA&amp;t=558s", "Go to time")</f>
        <v/>
      </c>
    </row>
    <row r="4413">
      <c r="A4413">
        <f>HYPERLINK("https://www.youtube.com/watch?v=fa7uN2vo6rc", "Video")</f>
        <v/>
      </c>
      <c r="B4413" t="inlineStr">
        <is>
          <t>0:35</t>
        </is>
      </c>
      <c r="C4413" t="inlineStr">
        <is>
          <t>I've been told I have
big cruise director energy.</t>
        </is>
      </c>
      <c r="D4413">
        <f>HYPERLINK("https://www.youtube.com/watch?v=fa7uN2vo6rc&amp;t=35s", "Go to time")</f>
        <v/>
      </c>
    </row>
    <row r="4414">
      <c r="A4414">
        <f>HYPERLINK("https://www.youtube.com/watch?v=LC5n91vKDZg", "Video")</f>
        <v/>
      </c>
      <c r="B4414" t="inlineStr">
        <is>
          <t>5:48</t>
        </is>
      </c>
      <c r="C4414" t="inlineStr">
        <is>
          <t>to trigger dialogue,
understanding and direct action.</t>
        </is>
      </c>
      <c r="D4414">
        <f>HYPERLINK("https://www.youtube.com/watch?v=LC5n91vKDZg&amp;t=348s", "Go to time")</f>
        <v/>
      </c>
    </row>
    <row r="4415">
      <c r="A4415">
        <f>HYPERLINK("https://www.youtube.com/watch?v=9Y9ppMqXwkQ", "Video")</f>
        <v/>
      </c>
      <c r="B4415" t="inlineStr">
        <is>
          <t>4:57</t>
        </is>
      </c>
      <c r="C4415" t="inlineStr">
        <is>
          <t>We have an eye tracker that can tell
what direction our eyes are focused in.</t>
        </is>
      </c>
      <c r="D4415">
        <f>HYPERLINK("https://www.youtube.com/watch?v=9Y9ppMqXwkQ&amp;t=297s", "Go to time")</f>
        <v/>
      </c>
    </row>
    <row r="4416">
      <c r="A4416">
        <f>HYPERLINK("https://www.youtube.com/watch?v=9Y9ppMqXwkQ", "Video")</f>
        <v/>
      </c>
      <c r="B4416" t="inlineStr">
        <is>
          <t>5:01</t>
        </is>
      </c>
      <c r="C4416" t="inlineStr">
        <is>
          <t>Using two of these, we can
triangulate your gaze direction</t>
        </is>
      </c>
      <c r="D4416">
        <f>HYPERLINK("https://www.youtube.com/watch?v=9Y9ppMqXwkQ&amp;t=301s", "Go to time")</f>
        <v/>
      </c>
    </row>
    <row r="4417">
      <c r="A4417">
        <f>HYPERLINK("https://www.youtube.com/watch?v=9Y9ppMqXwkQ", "Video")</f>
        <v/>
      </c>
      <c r="B4417" t="inlineStr">
        <is>
          <t>5:13</t>
        </is>
      </c>
      <c r="C4417" t="inlineStr">
        <is>
          <t>We can again use your gaze direction
to get a distance estimate</t>
        </is>
      </c>
      <c r="D4417">
        <f>HYPERLINK("https://www.youtube.com/watch?v=9Y9ppMqXwkQ&amp;t=313s", "Go to time")</f>
        <v/>
      </c>
    </row>
    <row r="4418">
      <c r="A4418">
        <f>HYPERLINK("https://www.youtube.com/watch?v=OQSMr-3GGvQ", "Video")</f>
        <v/>
      </c>
      <c r="B4418" t="inlineStr">
        <is>
          <t>10:47</t>
        </is>
      </c>
      <c r="C4418" t="inlineStr">
        <is>
          <t>To address you directly,
the gods of Silicon Valley.</t>
        </is>
      </c>
      <c r="D4418">
        <f>HYPERLINK("https://www.youtube.com/watch?v=OQSMr-3GGvQ&amp;t=647s", "Go to time")</f>
        <v/>
      </c>
    </row>
    <row r="4419">
      <c r="A4419">
        <f>HYPERLINK("https://www.youtube.com/watch?v=-3y6_7_5PcQ", "Video")</f>
        <v/>
      </c>
      <c r="B4419" t="inlineStr">
        <is>
          <t>1:42</t>
        </is>
      </c>
      <c r="C4419" t="inlineStr">
        <is>
          <t>Last year, I met the director
of the US Patent Office</t>
        </is>
      </c>
      <c r="D4419">
        <f>HYPERLINK("https://www.youtube.com/watch?v=-3y6_7_5PcQ&amp;t=102s", "Go to time")</f>
        <v/>
      </c>
    </row>
    <row r="4420">
      <c r="A4420">
        <f>HYPERLINK("https://www.youtube.com/watch?v=-3y6_7_5PcQ", "Video")</f>
        <v/>
      </c>
      <c r="B4420" t="inlineStr">
        <is>
          <t>7:52</t>
        </is>
      </c>
      <c r="C4420" t="inlineStr">
        <is>
          <t>is directly linked to the number
of patents that it grants.</t>
        </is>
      </c>
      <c r="D4420">
        <f>HYPERLINK("https://www.youtube.com/watch?v=-3y6_7_5PcQ&amp;t=472s", "Go to time")</f>
        <v/>
      </c>
    </row>
    <row r="4421">
      <c r="A4421">
        <f>HYPERLINK("https://www.youtube.com/watch?v=-3y6_7_5PcQ", "Video")</f>
        <v/>
      </c>
      <c r="B4421" t="inlineStr">
        <is>
          <t>9:00</t>
        </is>
      </c>
      <c r="C4421" t="inlineStr">
        <is>
          <t>that directly impact our health and lives.</t>
        </is>
      </c>
      <c r="D4421">
        <f>HYPERLINK("https://www.youtube.com/watch?v=-3y6_7_5PcQ&amp;t=540s", "Go to time")</f>
        <v/>
      </c>
    </row>
    <row r="4422">
      <c r="A4422">
        <f>HYPERLINK("https://www.youtube.com/watch?v=-3y6_7_5PcQ", "Video")</f>
        <v/>
      </c>
      <c r="B4422" t="inlineStr">
        <is>
          <t>11:40</t>
        </is>
      </c>
      <c r="C4422" t="inlineStr">
        <is>
          <t>and he is still as quietly brilliant
and morally directed as ever.</t>
        </is>
      </c>
      <c r="D4422">
        <f>HYPERLINK("https://www.youtube.com/watch?v=-3y6_7_5PcQ&amp;t=700s", "Go to time")</f>
        <v/>
      </c>
    </row>
    <row r="4423">
      <c r="A4423">
        <f>HYPERLINK("https://www.youtube.com/watch?v=9ILMJYAusa0", "Video")</f>
        <v/>
      </c>
      <c r="B4423" t="inlineStr">
        <is>
          <t>3:22</t>
        </is>
      </c>
      <c r="C4423" t="inlineStr">
        <is>
          <t>The patient's background really directly
affected the blood vessels in the system.</t>
        </is>
      </c>
      <c r="D4423">
        <f>HYPERLINK("https://www.youtube.com/watch?v=9ILMJYAusa0&amp;t=202s", "Go to time")</f>
        <v/>
      </c>
    </row>
    <row r="4424">
      <c r="A4424">
        <f>HYPERLINK("https://www.youtube.com/watch?v=qQ-PUXPVlos", "Video")</f>
        <v/>
      </c>
      <c r="B4424" t="inlineStr">
        <is>
          <t>2:44</t>
        </is>
      </c>
      <c r="C4424" t="inlineStr">
        <is>
          <t>because it would be like just directly
making the thing you experienced</t>
        </is>
      </c>
      <c r="D4424">
        <f>HYPERLINK("https://www.youtube.com/watch?v=qQ-PUXPVlos&amp;t=164s", "Go to time")</f>
        <v/>
      </c>
    </row>
    <row r="4425">
      <c r="A4425">
        <f>HYPERLINK("https://www.youtube.com/watch?v=qQ-PUXPVlos", "Video")</f>
        <v/>
      </c>
      <c r="B4425" t="inlineStr">
        <is>
          <t>2:49</t>
        </is>
      </c>
      <c r="C4425" t="inlineStr">
        <is>
          <t>instead of indirectly
making symbols to refer to things.</t>
        </is>
      </c>
      <c r="D4425">
        <f>HYPERLINK("https://www.youtube.com/watch?v=qQ-PUXPVlos&amp;t=169s", "Go to time")</f>
        <v/>
      </c>
    </row>
    <row r="4426">
      <c r="A4426">
        <f>HYPERLINK("https://www.youtube.com/watch?v=1XL8I9-IqRY", "Video")</f>
        <v/>
      </c>
      <c r="B4426" t="inlineStr">
        <is>
          <t>0:12</t>
        </is>
      </c>
      <c r="C4426" t="inlineStr">
        <is>
          <t>I'm a writer-director
who tells social-change stories,</t>
        </is>
      </c>
      <c r="D4426">
        <f>HYPERLINK("https://www.youtube.com/watch?v=1XL8I9-IqRY&amp;t=12s", "Go to time")</f>
        <v/>
      </c>
    </row>
    <row r="4427">
      <c r="A4427">
        <f>HYPERLINK("https://www.youtube.com/watch?v=1XL8I9-IqRY", "Video")</f>
        <v/>
      </c>
      <c r="B4427" t="inlineStr">
        <is>
          <t>0:26</t>
        </is>
      </c>
      <c r="C4427" t="inlineStr">
        <is>
          <t>When I write and direct plays,</t>
        </is>
      </c>
      <c r="D4427">
        <f>HYPERLINK("https://www.youtube.com/watch?v=1XL8I9-IqRY&amp;t=26s", "Go to time")</f>
        <v/>
      </c>
    </row>
    <row r="4428">
      <c r="A4428">
        <f>HYPERLINK("https://www.youtube.com/watch?v=w8lH8tNlAXc", "Video")</f>
        <v/>
      </c>
      <c r="B4428" t="inlineStr">
        <is>
          <t>2:33</t>
        </is>
      </c>
      <c r="C4428" t="inlineStr">
        <is>
          <t>directly to things like these prosthetics.</t>
        </is>
      </c>
      <c r="D4428">
        <f>HYPERLINK("https://www.youtube.com/watch?v=w8lH8tNlAXc&amp;t=153s", "Go to time")</f>
        <v/>
      </c>
    </row>
    <row r="4429">
      <c r="A4429">
        <f>HYPERLINK("https://www.youtube.com/watch?v=WXosPmTQq4o", "Video")</f>
        <v/>
      </c>
      <c r="B4429" t="inlineStr">
        <is>
          <t>6:06</t>
        </is>
      </c>
      <c r="C4429" t="inlineStr">
        <is>
          <t>because they were pulled
directly from textbooks.</t>
        </is>
      </c>
      <c r="D4429">
        <f>HYPERLINK("https://www.youtube.com/watch?v=WXosPmTQq4o&amp;t=366s", "Go to time")</f>
        <v/>
      </c>
    </row>
    <row r="4430">
      <c r="A4430">
        <f>HYPERLINK("https://www.youtube.com/watch?v=IFjD3NMv6Kw", "Video")</f>
        <v/>
      </c>
      <c r="B4430" t="inlineStr">
        <is>
          <t>13:53</t>
        </is>
      </c>
      <c r="C4430" t="inlineStr">
        <is>
          <t>is the wrong direction.</t>
        </is>
      </c>
      <c r="D4430">
        <f>HYPERLINK("https://www.youtube.com/watch?v=IFjD3NMv6Kw&amp;t=833s", "Go to time")</f>
        <v/>
      </c>
    </row>
    <row r="4431">
      <c r="A4431">
        <f>HYPERLINK("https://www.youtube.com/watch?v=Vrui-OctNEk", "Video")</f>
        <v/>
      </c>
      <c r="B4431" t="inlineStr">
        <is>
          <t>9:25</t>
        </is>
      </c>
      <c r="C4431" t="inlineStr">
        <is>
          <t>because of this direct link
to the trauma that happened there.</t>
        </is>
      </c>
      <c r="D4431">
        <f>HYPERLINK("https://www.youtube.com/watch?v=Vrui-OctNEk&amp;t=565s", "Go to time")</f>
        <v/>
      </c>
    </row>
    <row r="4432">
      <c r="A4432">
        <f>HYPERLINK("https://www.youtube.com/watch?v=n3kNlFMXslo", "Video")</f>
        <v/>
      </c>
      <c r="B4432" t="inlineStr">
        <is>
          <t>10:06</t>
        </is>
      </c>
      <c r="C4432" t="inlineStr">
        <is>
          <t>You can guess in which direction, right?</t>
        </is>
      </c>
      <c r="D4432">
        <f>HYPERLINK("https://www.youtube.com/watch?v=n3kNlFMXslo&amp;t=606s", "Go to time")</f>
        <v/>
      </c>
    </row>
    <row r="4433">
      <c r="A4433">
        <f>HYPERLINK("https://www.youtube.com/watch?v=FzhI2D_kaCY", "Video")</f>
        <v/>
      </c>
      <c r="B4433" t="inlineStr">
        <is>
          <t>1:26</t>
        </is>
      </c>
      <c r="C4433" t="inlineStr">
        <is>
          <t>These migrants directly contribute
at least 10 percent</t>
        </is>
      </c>
      <c r="D4433">
        <f>HYPERLINK("https://www.youtube.com/watch?v=FzhI2D_kaCY&amp;t=86s", "Go to time")</f>
        <v/>
      </c>
    </row>
    <row r="4434">
      <c r="A4434">
        <f>HYPERLINK("https://www.youtube.com/watch?v=nJd_2mJ4u-I", "Video")</f>
        <v/>
      </c>
      <c r="B4434" t="inlineStr">
        <is>
          <t>7:49</t>
        </is>
      </c>
      <c r="C4434" t="inlineStr">
        <is>
          <t>for artists and directors
and storytellers.</t>
        </is>
      </c>
      <c r="D4434">
        <f>HYPERLINK("https://www.youtube.com/watch?v=nJd_2mJ4u-I&amp;t=469s", "Go to time")</f>
        <v/>
      </c>
    </row>
    <row r="4435">
      <c r="A4435">
        <f>HYPERLINK("https://www.youtube.com/watch?v=sVtIuDKFO1c", "Video")</f>
        <v/>
      </c>
      <c r="B4435" t="inlineStr">
        <is>
          <t>3:53</t>
        </is>
      </c>
      <c r="C4435" t="inlineStr">
        <is>
          <t>could be directly attributed
to the summer learning loss.</t>
        </is>
      </c>
      <c r="D4435">
        <f>HYPERLINK("https://www.youtube.com/watch?v=sVtIuDKFO1c&amp;t=233s", "Go to time")</f>
        <v/>
      </c>
    </row>
    <row r="4436">
      <c r="A4436">
        <f>HYPERLINK("https://www.youtube.com/watch?v=FdbJHeqQh00", "Video")</f>
        <v/>
      </c>
      <c r="B4436" t="inlineStr">
        <is>
          <t>7:43</t>
        </is>
      </c>
      <c r="C4436" t="inlineStr">
        <is>
          <t>but this is a step in the right direction,</t>
        </is>
      </c>
      <c r="D4436">
        <f>HYPERLINK("https://www.youtube.com/watch?v=FdbJHeqQh00&amp;t=463s", "Go to time")</f>
        <v/>
      </c>
    </row>
    <row r="4437">
      <c r="A4437">
        <f>HYPERLINK("https://www.youtube.com/watch?v=dB7gsp_zDZc", "Video")</f>
        <v/>
      </c>
      <c r="B4437" t="inlineStr">
        <is>
          <t>4:10</t>
        </is>
      </c>
      <c r="C4437" t="inlineStr">
        <is>
          <t>kawasaki the former marketing director</t>
        </is>
      </c>
      <c r="D4437">
        <f>HYPERLINK("https://www.youtube.com/watch?v=dB7gsp_zDZc&amp;t=250s", "Go to time")</f>
        <v/>
      </c>
    </row>
    <row r="4438">
      <c r="A4438">
        <f>HYPERLINK("https://www.youtube.com/watch?v=-hY9QSdaReY", "Video")</f>
        <v/>
      </c>
      <c r="B4438" t="inlineStr">
        <is>
          <t>10:02</t>
        </is>
      </c>
      <c r="C4438" t="inlineStr">
        <is>
          <t>what we learn with these students
will directly impact</t>
        </is>
      </c>
      <c r="D4438">
        <f>HYPERLINK("https://www.youtube.com/watch?v=-hY9QSdaReY&amp;t=602s", "Go to time")</f>
        <v/>
      </c>
    </row>
    <row r="4439">
      <c r="A4439">
        <f>HYPERLINK("https://www.youtube.com/watch?v=mwoLhdHRt_0", "Video")</f>
        <v/>
      </c>
      <c r="B4439" t="inlineStr">
        <is>
          <t>0:55</t>
        </is>
      </c>
      <c r="C4439" t="inlineStr">
        <is>
          <t>can and do have a direct
physical effect on the human heart.</t>
        </is>
      </c>
      <c r="D4439">
        <f>HYPERLINK("https://www.youtube.com/watch?v=mwoLhdHRt_0&amp;t=55s", "Go to time")</f>
        <v/>
      </c>
    </row>
    <row r="4440">
      <c r="A4440">
        <f>HYPERLINK("https://www.youtube.com/watch?v=I23D7REnuSk", "Video")</f>
        <v/>
      </c>
      <c r="B4440" t="inlineStr">
        <is>
          <t>5:06</t>
        </is>
      </c>
      <c r="C4440" t="inlineStr">
        <is>
          <t>in direct services at first</t>
        </is>
      </c>
      <c r="D4440">
        <f>HYPERLINK("https://www.youtube.com/watch?v=I23D7REnuSk&amp;t=306s", "Go to time")</f>
        <v/>
      </c>
    </row>
    <row r="4441">
      <c r="A4441">
        <f>HYPERLINK("https://www.youtube.com/watch?v=I23D7REnuSk", "Video")</f>
        <v/>
      </c>
      <c r="B4441" t="inlineStr">
        <is>
          <t>14:30</t>
        </is>
      </c>
      <c r="C4441" t="inlineStr">
        <is>
          <t>Do you feel like we're moving
in the right direction?</t>
        </is>
      </c>
      <c r="D4441">
        <f>HYPERLINK("https://www.youtube.com/watch?v=I23D7REnuSk&amp;t=870s", "Go to time")</f>
        <v/>
      </c>
    </row>
    <row r="4442">
      <c r="A4442">
        <f>HYPERLINK("https://www.youtube.com/watch?v=Z7v8x69AtwY", "Video")</f>
        <v/>
      </c>
      <c r="B4442" t="inlineStr">
        <is>
          <t>8:37</t>
        </is>
      </c>
      <c r="C4442" t="inlineStr">
        <is>
          <t>the NCAA's first and longest-serving
executive director, Walter Byers,</t>
        </is>
      </c>
      <c r="D4442">
        <f>HYPERLINK("https://www.youtube.com/watch?v=Z7v8x69AtwY&amp;t=517s", "Go to time")</f>
        <v/>
      </c>
    </row>
    <row r="4443">
      <c r="A4443">
        <f>HYPERLINK("https://www.youtube.com/watch?v=F3mzS32SH2Q", "Video")</f>
        <v/>
      </c>
      <c r="B4443" t="inlineStr">
        <is>
          <t>10:27</t>
        </is>
      </c>
      <c r="C4443" t="inlineStr">
        <is>
          <t>And we call this whole approach
"directed self-assembly."</t>
        </is>
      </c>
      <c r="D4443">
        <f>HYPERLINK("https://www.youtube.com/watch?v=F3mzS32SH2Q&amp;t=627s", "Go to time")</f>
        <v/>
      </c>
    </row>
    <row r="4444">
      <c r="A4444">
        <f>HYPERLINK("https://www.youtube.com/watch?v=F3mzS32SH2Q", "Video")</f>
        <v/>
      </c>
      <c r="B4444" t="inlineStr">
        <is>
          <t>10:33</t>
        </is>
      </c>
      <c r="C4444" t="inlineStr">
        <is>
          <t>The challenge with directed self-assembly</t>
        </is>
      </c>
      <c r="D4444">
        <f>HYPERLINK("https://www.youtube.com/watch?v=F3mzS32SH2Q&amp;t=633s", "Go to time")</f>
        <v/>
      </c>
    </row>
    <row r="4445">
      <c r="A4445">
        <f>HYPERLINK("https://www.youtube.com/watch?v=F3mzS32SH2Q", "Video")</f>
        <v/>
      </c>
      <c r="B4445" t="inlineStr">
        <is>
          <t>11:09</t>
        </is>
      </c>
      <c r="C4445" t="inlineStr">
        <is>
          <t>So directed self-assembly
is an exciting new disruptive technology,</t>
        </is>
      </c>
      <c r="D4445">
        <f>HYPERLINK("https://www.youtube.com/watch?v=F3mzS32SH2Q&amp;t=669s", "Go to time")</f>
        <v/>
      </c>
    </row>
    <row r="4446">
      <c r="A4446">
        <f>HYPERLINK("https://www.youtube.com/watch?v=QxB3b7fxMEA", "Video")</f>
        <v/>
      </c>
      <c r="B4446" t="inlineStr">
        <is>
          <t>6:20</t>
        </is>
      </c>
      <c r="C4446" t="inlineStr">
        <is>
          <t>Now, there's no direct
measure of privilege,</t>
        </is>
      </c>
      <c r="D4446">
        <f>HYPERLINK("https://www.youtube.com/watch?v=QxB3b7fxMEA&amp;t=380s", "Go to time")</f>
        <v/>
      </c>
    </row>
    <row r="4447">
      <c r="A4447">
        <f>HYPERLINK("https://www.youtube.com/watch?v=sFIDCtRX_-o", "Video")</f>
        <v/>
      </c>
      <c r="B4447" t="inlineStr">
        <is>
          <t>5:45</t>
        </is>
      </c>
      <c r="C4447" t="inlineStr">
        <is>
          <t>into something that can be seen,
felt and directly reconnected</t>
        </is>
      </c>
      <c r="D4447">
        <f>HYPERLINK("https://www.youtube.com/watch?v=sFIDCtRX_-o&amp;t=345s", "Go to time")</f>
        <v/>
      </c>
    </row>
    <row r="4448">
      <c r="A4448">
        <f>HYPERLINK("https://www.youtube.com/watch?v=KJPpJhQxaLw", "Video")</f>
        <v/>
      </c>
      <c r="B4448" t="inlineStr">
        <is>
          <t>2:11</t>
        </is>
      </c>
      <c r="C4448" t="inlineStr">
        <is>
          <t>And this is directly as a result
of human activities.</t>
        </is>
      </c>
      <c r="D4448">
        <f>HYPERLINK("https://www.youtube.com/watch?v=KJPpJhQxaLw&amp;t=131s", "Go to time")</f>
        <v/>
      </c>
    </row>
    <row r="4449">
      <c r="A4449">
        <f>HYPERLINK("https://www.youtube.com/watch?v=KJPpJhQxaLw", "Video")</f>
        <v/>
      </c>
      <c r="B4449" t="inlineStr">
        <is>
          <t>4:10</t>
        </is>
      </c>
      <c r="C4449" t="inlineStr">
        <is>
          <t>since pre-industrial times,
which is directly due to human activities.</t>
        </is>
      </c>
      <c r="D4449">
        <f>HYPERLINK("https://www.youtube.com/watch?v=KJPpJhQxaLw&amp;t=250s", "Go to time")</f>
        <v/>
      </c>
    </row>
    <row r="4450">
      <c r="A4450">
        <f>HYPERLINK("https://www.youtube.com/watch?v=HXbsVbFAczg", "Video")</f>
        <v/>
      </c>
      <c r="B4450" t="inlineStr">
        <is>
          <t>0:31</t>
        </is>
      </c>
      <c r="C4450" t="inlineStr">
        <is>
          <t>and then direct the computers
to interact with you</t>
        </is>
      </c>
      <c r="D4450">
        <f>HYPERLINK("https://www.youtube.com/watch?v=HXbsVbFAczg&amp;t=31s", "Go to time")</f>
        <v/>
      </c>
    </row>
    <row r="4451">
      <c r="A4451">
        <f>HYPERLINK("https://www.youtube.com/watch?v=5m9AYbFqpQo", "Video")</f>
        <v/>
      </c>
      <c r="B4451" t="inlineStr">
        <is>
          <t>4:20</t>
        </is>
      </c>
      <c r="C4451" t="inlineStr">
        <is>
          <t>Sweden wasn't directly involved
in the Second World War,</t>
        </is>
      </c>
      <c r="D4451">
        <f>HYPERLINK("https://www.youtube.com/watch?v=5m9AYbFqpQo&amp;t=260s", "Go to time")</f>
        <v/>
      </c>
    </row>
    <row r="4452">
      <c r="A4452">
        <f>HYPERLINK("https://www.youtube.com/watch?v=5m9AYbFqpQo", "Video")</f>
        <v/>
      </c>
      <c r="B4452" t="inlineStr">
        <is>
          <t>21:45</t>
        </is>
      </c>
      <c r="C4452" t="inlineStr">
        <is>
          <t>But when it comes to the continent,
the tribe directs so much what we eat,</t>
        </is>
      </c>
      <c r="D4452">
        <f>HYPERLINK("https://www.youtube.com/watch?v=5m9AYbFqpQo&amp;t=1305s", "Go to time")</f>
        <v/>
      </c>
    </row>
    <row r="4453">
      <c r="A4453">
        <f>HYPERLINK("https://www.youtube.com/watch?v=5m9AYbFqpQo", "Video")</f>
        <v/>
      </c>
      <c r="B4453" t="inlineStr">
        <is>
          <t>22:35</t>
        </is>
      </c>
      <c r="C4453" t="inlineStr">
        <is>
          <t>to tell you you're heading
in the right direction.</t>
        </is>
      </c>
      <c r="D4453">
        <f>HYPERLINK("https://www.youtube.com/watch?v=5m9AYbFqpQo&amp;t=1355s", "Go to time")</f>
        <v/>
      </c>
    </row>
    <row r="4454">
      <c r="A4454">
        <f>HYPERLINK("https://www.youtube.com/watch?v=5m9AYbFqpQo", "Video")</f>
        <v/>
      </c>
      <c r="B4454" t="inlineStr">
        <is>
          <t>22:53</t>
        </is>
      </c>
      <c r="C4454" t="inlineStr">
        <is>
          <t>And sometimes you don't know
if you're in the right direction,</t>
        </is>
      </c>
      <c r="D4454">
        <f>HYPERLINK("https://www.youtube.com/watch?v=5m9AYbFqpQo&amp;t=1373s", "Go to time")</f>
        <v/>
      </c>
    </row>
    <row r="4455">
      <c r="A4455">
        <f>HYPERLINK("https://www.youtube.com/watch?v=cfzkBGgxXGE", "Video")</f>
        <v/>
      </c>
      <c r="B4455" t="inlineStr">
        <is>
          <t>15:19</t>
        </is>
      </c>
      <c r="C4455" t="inlineStr">
        <is>
          <t>was redirected to health
and rehabilitation programs.</t>
        </is>
      </c>
      <c r="D4455">
        <f>HYPERLINK("https://www.youtube.com/watch?v=cfzkBGgxXGE&amp;t=919s", "Go to time")</f>
        <v/>
      </c>
    </row>
    <row r="4456">
      <c r="A4456">
        <f>HYPERLINK("https://www.youtube.com/watch?v=YY6LCOJbve8", "Video")</f>
        <v/>
      </c>
      <c r="B4456" t="inlineStr">
        <is>
          <t>4:21</t>
        </is>
      </c>
      <c r="C4456" t="inlineStr">
        <is>
          <t>historical arcs that have to tend
in a certain direction,</t>
        </is>
      </c>
      <c r="D4456">
        <f>HYPERLINK("https://www.youtube.com/watch?v=YY6LCOJbve8&amp;t=261s", "Go to time")</f>
        <v/>
      </c>
    </row>
    <row r="4457">
      <c r="A4457">
        <f>HYPERLINK("https://www.youtube.com/watch?v=YY6LCOJbve8", "Video")</f>
        <v/>
      </c>
      <c r="B4457" t="inlineStr">
        <is>
          <t>26:09</t>
        </is>
      </c>
      <c r="C4457" t="inlineStr">
        <is>
          <t>is a direct result
of hydrocarbon oligarchy.</t>
        </is>
      </c>
      <c r="D4457">
        <f>HYPERLINK("https://www.youtube.com/watch?v=YY6LCOJbve8&amp;t=1569s", "Go to time")</f>
        <v/>
      </c>
    </row>
    <row r="4458">
      <c r="A4458">
        <f>HYPERLINK("https://www.youtube.com/watch?v=YY6LCOJbve8", "Video")</f>
        <v/>
      </c>
      <c r="B4458" t="inlineStr">
        <is>
          <t>26:11</t>
        </is>
      </c>
      <c r="C4458" t="inlineStr">
        <is>
          <t>It's a direct result of that, right?</t>
        </is>
      </c>
      <c r="D4458">
        <f>HYPERLINK("https://www.youtube.com/watch?v=YY6LCOJbve8&amp;t=1571s", "Go to time")</f>
        <v/>
      </c>
    </row>
    <row r="4459">
      <c r="A4459">
        <f>HYPERLINK("https://www.youtube.com/watch?v=YY6LCOJbve8", "Video")</f>
        <v/>
      </c>
      <c r="B4459" t="inlineStr">
        <is>
          <t>30:40</t>
        </is>
      </c>
      <c r="C4459" t="inlineStr">
        <is>
          <t>Here's some of the ways that people
have pushed in that direction in the past,</t>
        </is>
      </c>
      <c r="D4459">
        <f>HYPERLINK("https://www.youtube.com/watch?v=YY6LCOJbve8&amp;t=1840s", "Go to time")</f>
        <v/>
      </c>
    </row>
    <row r="4460">
      <c r="A4460">
        <f>HYPERLINK("https://www.youtube.com/watch?v=-jNlpGLpelg", "Video")</f>
        <v/>
      </c>
      <c r="B4460" t="inlineStr">
        <is>
          <t>8:34</t>
        </is>
      </c>
      <c r="C4460" t="inlineStr">
        <is>
          <t>H.G. Wells's "War of the Worlds"
directly inspired</t>
        </is>
      </c>
      <c r="D4460">
        <f>HYPERLINK("https://www.youtube.com/watch?v=-jNlpGLpelg&amp;t=514s", "Go to time")</f>
        <v/>
      </c>
    </row>
    <row r="4461">
      <c r="A4461">
        <f>HYPERLINK("https://www.youtube.com/watch?v=-jNlpGLpelg", "Video")</f>
        <v/>
      </c>
      <c r="B4461" t="inlineStr">
        <is>
          <t>9:47</t>
        </is>
      </c>
      <c r="C4461" t="inlineStr">
        <is>
          <t>thus creating a direct chain of influence</t>
        </is>
      </c>
      <c r="D4461">
        <f>HYPERLINK("https://www.youtube.com/watch?v=-jNlpGLpelg&amp;t=587s", "Go to time")</f>
        <v/>
      </c>
    </row>
    <row r="4462">
      <c r="A4462">
        <f>HYPERLINK("https://www.youtube.com/watch?v=U51MSK6nSQE", "Video")</f>
        <v/>
      </c>
      <c r="B4462" t="inlineStr">
        <is>
          <t>2:51</t>
        </is>
      </c>
      <c r="C4462" t="inlineStr">
        <is>
          <t>On this network, the sites get downloaded
directly from other visitors.</t>
        </is>
      </c>
      <c r="D4462">
        <f>HYPERLINK("https://www.youtube.com/watch?v=U51MSK6nSQE&amp;t=171s", "Go to time")</f>
        <v/>
      </c>
    </row>
    <row r="4463">
      <c r="A4463">
        <f>HYPERLINK("https://www.youtube.com/watch?v=77HUdJ7Tij0", "Video")</f>
        <v/>
      </c>
      <c r="B4463" t="inlineStr">
        <is>
          <t>4:07</t>
        </is>
      </c>
      <c r="C4463" t="inlineStr">
        <is>
          <t>And third, we are misdirecting
concerns about climate change.</t>
        </is>
      </c>
      <c r="D4463">
        <f>HYPERLINK("https://www.youtube.com/watch?v=77HUdJ7Tij0&amp;t=247s", "Go to time")</f>
        <v/>
      </c>
    </row>
    <row r="4464">
      <c r="A4464">
        <f>HYPERLINK("https://www.youtube.com/watch?v=77HUdJ7Tij0", "Video")</f>
        <v/>
      </c>
      <c r="B4464" t="inlineStr">
        <is>
          <t>9:08</t>
        </is>
      </c>
      <c r="C4464" t="inlineStr">
        <is>
          <t>and sell directly to customers.</t>
        </is>
      </c>
      <c r="D4464">
        <f>HYPERLINK("https://www.youtube.com/watch?v=77HUdJ7Tij0&amp;t=548s", "Go to time")</f>
        <v/>
      </c>
    </row>
    <row r="4465">
      <c r="A4465">
        <f>HYPERLINK("https://www.youtube.com/watch?v=XewnyUJgyA4", "Video")</f>
        <v/>
      </c>
      <c r="B4465" t="inlineStr">
        <is>
          <t>11:05</t>
        </is>
      </c>
      <c r="C4465" t="inlineStr">
        <is>
          <t>Who will feel the impact
of this rise of China most directly?</t>
        </is>
      </c>
      <c r="D4465">
        <f>HYPERLINK("https://www.youtube.com/watch?v=XewnyUJgyA4&amp;t=665s", "Go to time")</f>
        <v/>
      </c>
    </row>
    <row r="4466">
      <c r="A4466">
        <f>HYPERLINK("https://www.youtube.com/watch?v=VxE_itIllxE", "Video")</f>
        <v/>
      </c>
      <c r="B4466" t="inlineStr">
        <is>
          <t>1:59</t>
        </is>
      </c>
      <c r="C4466" t="inlineStr">
        <is>
          <t>Indirect measurements have shown
that the global phytoplankton population</t>
        </is>
      </c>
      <c r="D4466">
        <f>HYPERLINK("https://www.youtube.com/watch?v=VxE_itIllxE&amp;t=119s", "Go to time")</f>
        <v/>
      </c>
    </row>
    <row r="4467">
      <c r="A4467">
        <f>HYPERLINK("https://www.youtube.com/watch?v=rVNb53lkBuc", "Video")</f>
        <v/>
      </c>
      <c r="B4467" t="inlineStr">
        <is>
          <t>3:04</t>
        </is>
      </c>
      <c r="C4467" t="inlineStr">
        <is>
          <t>can lead them to direct their eyes
onto a black face</t>
        </is>
      </c>
      <c r="D4467">
        <f>HYPERLINK("https://www.youtube.com/watch?v=rVNb53lkBuc&amp;t=184s", "Go to time")</f>
        <v/>
      </c>
    </row>
    <row r="4468">
      <c r="A4468">
        <f>HYPERLINK("https://www.youtube.com/watch?v=JNG3wwLqRok", "Video")</f>
        <v/>
      </c>
      <c r="B4468" t="inlineStr">
        <is>
          <t>11:43</t>
        </is>
      </c>
      <c r="C4468" t="inlineStr">
        <is>
          <t>you change direction like Evolution and</t>
        </is>
      </c>
      <c r="D4468">
        <f>HYPERLINK("https://www.youtube.com/watch?v=JNG3wwLqRok&amp;t=703s", "Go to time")</f>
        <v/>
      </c>
    </row>
    <row r="4469">
      <c r="A4469">
        <f>HYPERLINK("https://www.youtube.com/watch?v=JNG3wwLqRok", "Video")</f>
        <v/>
      </c>
      <c r="B4469" t="inlineStr">
        <is>
          <t>76:27</t>
        </is>
      </c>
      <c r="C4469" t="inlineStr">
        <is>
          <t>about the direction Compu is going in</t>
        </is>
      </c>
      <c r="D4469">
        <f>HYPERLINK("https://www.youtube.com/watch?v=JNG3wwLqRok&amp;t=4587s", "Go to time")</f>
        <v/>
      </c>
    </row>
    <row r="4470">
      <c r="A4470">
        <f>HYPERLINK("https://www.youtube.com/watch?v=JNG3wwLqRok", "Video")</f>
        <v/>
      </c>
      <c r="B4470" t="inlineStr">
        <is>
          <t>95:55</t>
        </is>
      </c>
      <c r="C4470" t="inlineStr">
        <is>
          <t>director of the london-based studio</t>
        </is>
      </c>
      <c r="D4470">
        <f>HYPERLINK("https://www.youtube.com/watch?v=JNG3wwLqRok&amp;t=5755s", "Go to time")</f>
        <v/>
      </c>
    </row>
    <row r="4471">
      <c r="A4471">
        <f>HYPERLINK("https://www.youtube.com/watch?v=JKS7HWy2TRU", "Video")</f>
        <v/>
      </c>
      <c r="B4471" t="inlineStr">
        <is>
          <t>7:37</t>
        </is>
      </c>
      <c r="C4471" t="inlineStr">
        <is>
          <t>in changing and molding society
in a positive direction.</t>
        </is>
      </c>
      <c r="D4471">
        <f>HYPERLINK("https://www.youtube.com/watch?v=JKS7HWy2TRU&amp;t=457s", "Go to time")</f>
        <v/>
      </c>
    </row>
    <row r="4472">
      <c r="A4472">
        <f>HYPERLINK("https://www.youtube.com/watch?v=xw_720iQDss", "Video")</f>
        <v/>
      </c>
      <c r="B4472" t="inlineStr">
        <is>
          <t>2:30</t>
        </is>
      </c>
      <c r="C4472" t="inlineStr">
        <is>
          <t>and they move in the same direction,</t>
        </is>
      </c>
      <c r="D4472">
        <f>HYPERLINK("https://www.youtube.com/watch?v=xw_720iQDss&amp;t=150s", "Go to time")</f>
        <v/>
      </c>
    </row>
    <row r="4473">
      <c r="A4473">
        <f>HYPERLINK("https://www.youtube.com/watch?v=xw_720iQDss", "Video")</f>
        <v/>
      </c>
      <c r="B4473" t="inlineStr">
        <is>
          <t>2:39</t>
        </is>
      </c>
      <c r="C4473" t="inlineStr">
        <is>
          <t>and they move in the same direction,</t>
        </is>
      </c>
      <c r="D4473">
        <f>HYPERLINK("https://www.youtube.com/watch?v=xw_720iQDss&amp;t=159s", "Go to time")</f>
        <v/>
      </c>
    </row>
    <row r="4474">
      <c r="A4474">
        <f>HYPERLINK("https://www.youtube.com/watch?v=Uq1idqpX9-A", "Video")</f>
        <v/>
      </c>
      <c r="B4474" t="inlineStr">
        <is>
          <t>4:54</t>
        </is>
      </c>
      <c r="C4474" t="inlineStr">
        <is>
          <t>that would change the entire
direction of my life.</t>
        </is>
      </c>
      <c r="D4474">
        <f>HYPERLINK("https://www.youtube.com/watch?v=Uq1idqpX9-A&amp;t=294s", "Go to time")</f>
        <v/>
      </c>
    </row>
    <row r="4475">
      <c r="A4475">
        <f>HYPERLINK("https://www.youtube.com/watch?v=bqQJv4bvrPI", "Video")</f>
        <v/>
      </c>
      <c r="B4475" t="inlineStr">
        <is>
          <t>11:39</t>
        </is>
      </c>
      <c r="C4475" t="inlineStr">
        <is>
          <t>We restate our directives
as optional suggestions.</t>
        </is>
      </c>
      <c r="D4475">
        <f>HYPERLINK("https://www.youtube.com/watch?v=bqQJv4bvrPI&amp;t=699s", "Go to time")</f>
        <v/>
      </c>
    </row>
    <row r="4476">
      <c r="A4476">
        <f>HYPERLINK("https://www.youtube.com/watch?v=iBErp8qvWZg", "Video")</f>
        <v/>
      </c>
      <c r="B4476" t="inlineStr">
        <is>
          <t>1:25</t>
        </is>
      </c>
      <c r="C4476" t="inlineStr">
        <is>
          <t>The lines only go in three directions:</t>
        </is>
      </c>
      <c r="D4476">
        <f>HYPERLINK("https://www.youtube.com/watch?v=iBErp8qvWZg&amp;t=85s", "Go to time")</f>
        <v/>
      </c>
    </row>
    <row r="4477">
      <c r="A4477">
        <f>HYPERLINK("https://www.youtube.com/watch?v=IMC8jmEXHfk", "Video")</f>
        <v/>
      </c>
      <c r="B4477" t="inlineStr">
        <is>
          <t>4:18</t>
        </is>
      </c>
      <c r="C4477" t="inlineStr">
        <is>
          <t>If animals all start moving
in one direction,</t>
        </is>
      </c>
      <c r="D4477">
        <f>HYPERLINK("https://www.youtube.com/watch?v=IMC8jmEXHfk&amp;t=258s", "Go to time")</f>
        <v/>
      </c>
    </row>
    <row r="4478">
      <c r="A4478">
        <f>HYPERLINK("https://www.youtube.com/watch?v=8KkKuTCFvzI", "Video")</f>
        <v/>
      </c>
      <c r="B4478" t="inlineStr">
        <is>
          <t>3:11</t>
        </is>
      </c>
      <c r="C4478" t="inlineStr">
        <is>
          <t>And I'm the fourth director of the study.</t>
        </is>
      </c>
      <c r="D4478">
        <f>HYPERLINK("https://www.youtube.com/watch?v=8KkKuTCFvzI&amp;t=191s", "Go to time")</f>
        <v/>
      </c>
    </row>
    <row r="4479">
      <c r="A4479">
        <f>HYPERLINK("https://www.youtube.com/watch?v=8KkKuTCFvzI", "Video")</f>
        <v/>
      </c>
      <c r="B4479" t="inlineStr">
        <is>
          <t>4:30</t>
        </is>
      </c>
      <c r="C4479" t="inlineStr">
        <is>
          <t>and some made that journey
in the opposite direction.</t>
        </is>
      </c>
      <c r="D4479">
        <f>HYPERLINK("https://www.youtube.com/watch?v=8KkKuTCFvzI&amp;t=270s", "Go to time")</f>
        <v/>
      </c>
    </row>
    <row r="4480">
      <c r="A4480">
        <f>HYPERLINK("https://www.youtube.com/watch?v=zsLz0mRmEG0", "Video")</f>
        <v/>
      </c>
      <c r="B4480" t="inlineStr">
        <is>
          <t>9:09</t>
        </is>
      </c>
      <c r="C4480" t="inlineStr">
        <is>
          <t>direct deductions from their bank account,
money to go to Syrian children refugees.</t>
        </is>
      </c>
      <c r="D4480">
        <f>HYPERLINK("https://www.youtube.com/watch?v=zsLz0mRmEG0&amp;t=549s", "Go to time")</f>
        <v/>
      </c>
    </row>
    <row r="4481">
      <c r="A4481">
        <f>HYPERLINK("https://www.youtube.com/watch?v=9ICjwQ_lJ8Y", "Video")</f>
        <v/>
      </c>
      <c r="B4481" t="inlineStr">
        <is>
          <t>4:48</t>
        </is>
      </c>
      <c r="C4481" t="inlineStr">
        <is>
          <t>we found that most people said,
when asked directly,</t>
        </is>
      </c>
      <c r="D4481">
        <f>HYPERLINK("https://www.youtube.com/watch?v=9ICjwQ_lJ8Y&amp;t=288s", "Go to time")</f>
        <v/>
      </c>
    </row>
    <row r="4482">
      <c r="A4482">
        <f>HYPERLINK("https://www.youtube.com/watch?v=9ICjwQ_lJ8Y", "Video")</f>
        <v/>
      </c>
      <c r="B4482" t="inlineStr">
        <is>
          <t>7:00</t>
        </is>
      </c>
      <c r="C4482" t="inlineStr">
        <is>
          <t>Your organization is a direct mirror
of its leadership team,</t>
        </is>
      </c>
      <c r="D4482">
        <f>HYPERLINK("https://www.youtube.com/watch?v=9ICjwQ_lJ8Y&amp;t=420s", "Go to time")</f>
        <v/>
      </c>
    </row>
    <row r="4483">
      <c r="A4483">
        <f>HYPERLINK("https://www.youtube.com/watch?v=9ICjwQ_lJ8Y", "Video")</f>
        <v/>
      </c>
      <c r="B4483" t="inlineStr">
        <is>
          <t>7:55</t>
        </is>
      </c>
      <c r="C4483" t="inlineStr">
        <is>
          <t>When we asked them directly, in our study,</t>
        </is>
      </c>
      <c r="D4483">
        <f>HYPERLINK("https://www.youtube.com/watch?v=9ICjwQ_lJ8Y&amp;t=475s", "Go to time")</f>
        <v/>
      </c>
    </row>
    <row r="4484">
      <c r="A4484">
        <f>HYPERLINK("https://www.youtube.com/watch?v=9ICjwQ_lJ8Y", "Video")</f>
        <v/>
      </c>
      <c r="B4484" t="inlineStr">
        <is>
          <t>9:07</t>
        </is>
      </c>
      <c r="C4484" t="inlineStr">
        <is>
          <t>if you ask people directly</t>
        </is>
      </c>
      <c r="D4484">
        <f>HYPERLINK("https://www.youtube.com/watch?v=9ICjwQ_lJ8Y&amp;t=547s", "Go to time")</f>
        <v/>
      </c>
    </row>
    <row r="4485">
      <c r="A4485">
        <f>HYPERLINK("https://www.youtube.com/watch?v=HSercnrqeN4", "Video")</f>
        <v/>
      </c>
      <c r="B4485" t="inlineStr">
        <is>
          <t>10:45</t>
        </is>
      </c>
      <c r="C4485" t="inlineStr">
        <is>
          <t>That a real man doesn't ask
directions or express a need,</t>
        </is>
      </c>
      <c r="D4485">
        <f>HYPERLINK("https://www.youtube.com/watch?v=HSercnrqeN4&amp;t=645s", "Go to time")</f>
        <v/>
      </c>
    </row>
    <row r="4486">
      <c r="A4486">
        <f>HYPERLINK("https://www.youtube.com/watch?v=y_EjCSz1aBo", "Video")</f>
        <v/>
      </c>
      <c r="B4486" t="inlineStr">
        <is>
          <t>10:10</t>
        </is>
      </c>
      <c r="C4486" t="inlineStr">
        <is>
          <t>we faced a dire need for N95 respirators
and personal protective equipment.</t>
        </is>
      </c>
      <c r="D4486">
        <f>HYPERLINK("https://www.youtube.com/watch?v=y_EjCSz1aBo&amp;t=610s", "Go to time")</f>
        <v/>
      </c>
    </row>
    <row r="4487">
      <c r="A4487">
        <f>HYPERLINK("https://www.youtube.com/watch?v=gJjLdnycuyU", "Video")</f>
        <v/>
      </c>
      <c r="B4487" t="inlineStr">
        <is>
          <t>1:19</t>
        </is>
      </c>
      <c r="C4487" t="inlineStr">
        <is>
          <t>He's a writer, animator and director.</t>
        </is>
      </c>
      <c r="D4487">
        <f>HYPERLINK("https://www.youtube.com/watch?v=gJjLdnycuyU&amp;t=79s", "Go to time")</f>
        <v/>
      </c>
    </row>
    <row r="4488">
      <c r="A4488">
        <f>HYPERLINK("https://www.youtube.com/watch?v=gJjLdnycuyU", "Video")</f>
        <v/>
      </c>
      <c r="B4488" t="inlineStr">
        <is>
          <t>4:50</t>
        </is>
      </c>
      <c r="C4488" t="inlineStr">
        <is>
          <t>directed by Brad Bird:</t>
        </is>
      </c>
      <c r="D4488">
        <f>HYPERLINK("https://www.youtube.com/watch?v=gJjLdnycuyU&amp;t=290s", "Go to time")</f>
        <v/>
      </c>
    </row>
    <row r="4489">
      <c r="A4489">
        <f>HYPERLINK("https://www.youtube.com/watch?v=gJjLdnycuyU", "Video")</f>
        <v/>
      </c>
      <c r="B4489" t="inlineStr">
        <is>
          <t>9:35</t>
        </is>
      </c>
      <c r="C4489" t="inlineStr">
        <is>
          <t>So this unconventional director
went looking for a team</t>
        </is>
      </c>
      <c r="D4489">
        <f>HYPERLINK("https://www.youtube.com/watch?v=gJjLdnycuyU&amp;t=575s", "Go to time")</f>
        <v/>
      </c>
    </row>
    <row r="4490">
      <c r="A4490">
        <f>HYPERLINK("https://www.youtube.com/watch?v=gJjLdnycuyU", "Video")</f>
        <v/>
      </c>
      <c r="B4490" t="inlineStr">
        <is>
          <t>11:41</t>
        </is>
      </c>
      <c r="C4490" t="inlineStr">
        <is>
          <t>in unproductive or even
counterproductive directions.</t>
        </is>
      </c>
      <c r="D4490">
        <f>HYPERLINK("https://www.youtube.com/watch?v=gJjLdnycuyU&amp;t=701s", "Go to time")</f>
        <v/>
      </c>
    </row>
    <row r="4491">
      <c r="A4491">
        <f>HYPERLINK("https://www.youtube.com/watch?v=gJjLdnycuyU", "Video")</f>
        <v/>
      </c>
      <c r="B4491" t="inlineStr">
        <is>
          <t>17:13</t>
        </is>
      </c>
      <c r="C4491" t="inlineStr">
        <is>
          <t>Now, how do you get them all
innovating in the same direction?</t>
        </is>
      </c>
      <c r="D4491">
        <f>HYPERLINK("https://www.youtube.com/watch?v=gJjLdnycuyU&amp;t=1033s", "Go to time")</f>
        <v/>
      </c>
    </row>
    <row r="4492">
      <c r="A4492">
        <f>HYPERLINK("https://www.youtube.com/watch?v=gJjLdnycuyU", "Video")</f>
        <v/>
      </c>
      <c r="B4492" t="inlineStr">
        <is>
          <t>33:23</t>
        </is>
      </c>
      <c r="C4492" t="inlineStr">
        <is>
          <t>And he asked Ben to direct it.</t>
        </is>
      </c>
      <c r="D4492">
        <f>HYPERLINK("https://www.youtube.com/watch?v=gJjLdnycuyU&amp;t=2003s", "Go to time")</f>
        <v/>
      </c>
    </row>
    <row r="4493">
      <c r="A4493">
        <f>HYPERLINK("https://www.youtube.com/watch?v=E3Yo7PULlPs", "Video")</f>
        <v/>
      </c>
      <c r="B4493" t="inlineStr">
        <is>
          <t>8:35</t>
        </is>
      </c>
      <c r="C4493" t="inlineStr">
        <is>
          <t>so you could point
the camera directly at it?</t>
        </is>
      </c>
      <c r="D4493">
        <f>HYPERLINK("https://www.youtube.com/watch?v=E3Yo7PULlPs&amp;t=515s", "Go to time")</f>
        <v/>
      </c>
    </row>
    <row r="4494">
      <c r="A4494">
        <f>HYPERLINK("https://www.youtube.com/watch?v=gElClXpg4J0", "Video")</f>
        <v/>
      </c>
      <c r="B4494" t="inlineStr">
        <is>
          <t>9:00</t>
        </is>
      </c>
      <c r="C4494" t="inlineStr">
        <is>
          <t>NB: Honestly, with these
directions and a 3D map,</t>
        </is>
      </c>
      <c r="D4494">
        <f>HYPERLINK("https://www.youtube.com/watch?v=gElClXpg4J0&amp;t=540s", "Go to time")</f>
        <v/>
      </c>
    </row>
    <row r="4495">
      <c r="A4495">
        <f>HYPERLINK("https://www.youtube.com/watch?v=hktbamn2jX4", "Video")</f>
        <v/>
      </c>
      <c r="B4495" t="inlineStr">
        <is>
          <t>1:33</t>
        </is>
      </c>
      <c r="C4495" t="inlineStr">
        <is>
          <t>Whichever direction you look,</t>
        </is>
      </c>
      <c r="D4495">
        <f>HYPERLINK("https://www.youtube.com/watch?v=hktbamn2jX4&amp;t=93s", "Go to time")</f>
        <v/>
      </c>
    </row>
    <row r="4496">
      <c r="A4496">
        <f>HYPERLINK("https://www.youtube.com/watch?v=16cM-RFid9U", "Video")</f>
        <v/>
      </c>
      <c r="B4496" t="inlineStr">
        <is>
          <t>11:48</t>
        </is>
      </c>
      <c r="C4496" t="inlineStr">
        <is>
          <t>The area is beautiful and has
direct access to the best hospitals.</t>
        </is>
      </c>
      <c r="D4496">
        <f>HYPERLINK("https://www.youtube.com/watch?v=16cM-RFid9U&amp;t=708s", "Go to time")</f>
        <v/>
      </c>
    </row>
    <row r="4497">
      <c r="A4497">
        <f>HYPERLINK("https://www.youtube.com/watch?v=PsFlp3u74mI", "Video")</f>
        <v/>
      </c>
      <c r="B4497" t="inlineStr">
        <is>
          <t>2:20</t>
        </is>
      </c>
      <c r="C4497" t="inlineStr">
        <is>
          <t>How about your direct report's
direct report's direct report?</t>
        </is>
      </c>
      <c r="D4497">
        <f>HYPERLINK("https://www.youtube.com/watch?v=PsFlp3u74mI&amp;t=140s", "Go to time")</f>
        <v/>
      </c>
    </row>
    <row r="4498">
      <c r="A4498">
        <f>HYPERLINK("https://www.youtube.com/watch?v=_cPj3b9BDPI", "Video")</f>
        <v/>
      </c>
      <c r="B4498" t="inlineStr">
        <is>
          <t>6:04</t>
        </is>
      </c>
      <c r="C4498" t="inlineStr">
        <is>
          <t>That's very different from a lot of direct
foreign policy making experience</t>
        </is>
      </c>
      <c r="D4498">
        <f>HYPERLINK("https://www.youtube.com/watch?v=_cPj3b9BDPI&amp;t=364s", "Go to time")</f>
        <v/>
      </c>
    </row>
    <row r="4499">
      <c r="A4499">
        <f>HYPERLINK("https://www.youtube.com/watch?v=_cPj3b9BDPI", "Video")</f>
        <v/>
      </c>
      <c r="B4499" t="inlineStr">
        <is>
          <t>20:54</t>
        </is>
      </c>
      <c r="C4499" t="inlineStr">
        <is>
          <t>I think she'd push harder on that directly
and publicly with Israel.</t>
        </is>
      </c>
      <c r="D4499">
        <f>HYPERLINK("https://www.youtube.com/watch?v=_cPj3b9BDPI&amp;t=1254s", "Go to time")</f>
        <v/>
      </c>
    </row>
    <row r="4500">
      <c r="A4500">
        <f>HYPERLINK("https://www.youtube.com/watch?v=_cPj3b9BDPI", "Video")</f>
        <v/>
      </c>
      <c r="B4500" t="inlineStr">
        <is>
          <t>21:30</t>
        </is>
      </c>
      <c r="C4500" t="inlineStr">
        <is>
          <t>Israel directly striking
Iran's nuclear facilities.</t>
        </is>
      </c>
      <c r="D4500">
        <f>HYPERLINK("https://www.youtube.com/watch?v=_cPj3b9BDPI&amp;t=1290s", "Go to time")</f>
        <v/>
      </c>
    </row>
    <row r="4501">
      <c r="A4501">
        <f>HYPERLINK("https://www.youtube.com/watch?v=_cPj3b9BDPI", "Video")</f>
        <v/>
      </c>
      <c r="B4501" t="inlineStr">
        <is>
          <t>49:51</t>
        </is>
      </c>
      <c r="C4501" t="inlineStr">
        <is>
          <t>but if there are direct costs
to society that are measurable,</t>
        </is>
      </c>
      <c r="D4501">
        <f>HYPERLINK("https://www.youtube.com/watch?v=_cPj3b9BDPI&amp;t=2991s", "Go to time")</f>
        <v/>
      </c>
    </row>
    <row r="4502">
      <c r="A4502">
        <f>HYPERLINK("https://www.youtube.com/watch?v=gN2DWyJTUnY", "Video")</f>
        <v/>
      </c>
      <c r="B4502" t="inlineStr">
        <is>
          <t>2:45</t>
        </is>
      </c>
      <c r="C4502" t="inlineStr">
        <is>
          <t>It is a very directed light --</t>
        </is>
      </c>
      <c r="D4502">
        <f>HYPERLINK("https://www.youtube.com/watch?v=gN2DWyJTUnY&amp;t=165s", "Go to time")</f>
        <v/>
      </c>
    </row>
    <row r="4503">
      <c r="A4503">
        <f>HYPERLINK("https://www.youtube.com/watch?v=gN2DWyJTUnY", "Video")</f>
        <v/>
      </c>
      <c r="B4503" t="inlineStr">
        <is>
          <t>2:47</t>
        </is>
      </c>
      <c r="C4503" t="inlineStr">
        <is>
          <t>it's often called directed energy.</t>
        </is>
      </c>
      <c r="D4503">
        <f>HYPERLINK("https://www.youtube.com/watch?v=gN2DWyJTUnY&amp;t=167s", "Go to time")</f>
        <v/>
      </c>
    </row>
    <row r="4504">
      <c r="A4504">
        <f>HYPERLINK("https://www.youtube.com/watch?v=pj-WqrFZZmg", "Video")</f>
        <v/>
      </c>
      <c r="B4504" t="inlineStr">
        <is>
          <t>2:47</t>
        </is>
      </c>
      <c r="C4504" t="inlineStr">
        <is>
          <t>that rhetoric and political policy
directly impact real people.</t>
        </is>
      </c>
      <c r="D4504">
        <f>HYPERLINK("https://www.youtube.com/watch?v=pj-WqrFZZmg&amp;t=167s", "Go to time")</f>
        <v/>
      </c>
    </row>
    <row r="4505">
      <c r="A4505">
        <f>HYPERLINK("https://www.youtube.com/watch?v=iGlyjfFquxw", "Video")</f>
        <v/>
      </c>
      <c r="B4505" t="inlineStr">
        <is>
          <t>1:48</t>
        </is>
      </c>
      <c r="C4505" t="inlineStr">
        <is>
          <t>accessible to the last woman
and child directly in their homes,</t>
        </is>
      </c>
      <c r="D4505">
        <f>HYPERLINK("https://www.youtube.com/watch?v=iGlyjfFquxw&amp;t=108s", "Go to time")</f>
        <v/>
      </c>
    </row>
    <row r="4506">
      <c r="A4506">
        <f>HYPERLINK("https://www.youtube.com/watch?v=iGlyjfFquxw", "Video")</f>
        <v/>
      </c>
      <c r="B4506" t="inlineStr">
        <is>
          <t>2:45</t>
        </is>
      </c>
      <c r="C4506" t="inlineStr">
        <is>
          <t>They provide preventive
information directly to women</t>
        </is>
      </c>
      <c r="D4506">
        <f>HYPERLINK("https://www.youtube.com/watch?v=iGlyjfFquxw&amp;t=165s", "Go to time")</f>
        <v/>
      </c>
    </row>
    <row r="4507">
      <c r="A4507">
        <f>HYPERLINK("https://www.youtube.com/watch?v=fXsOlAYvgh0", "Video")</f>
        <v/>
      </c>
      <c r="B4507" t="inlineStr">
        <is>
          <t>1:04</t>
        </is>
      </c>
      <c r="C4507" t="inlineStr">
        <is>
          <t>and not in the direction
that I was expecting.</t>
        </is>
      </c>
      <c r="D4507">
        <f>HYPERLINK("https://www.youtube.com/watch?v=fXsOlAYvgh0&amp;t=64s", "Go to time")</f>
        <v/>
      </c>
    </row>
    <row r="4508">
      <c r="A4508">
        <f>HYPERLINK("https://www.youtube.com/watch?v=fXsOlAYvgh0", "Video")</f>
        <v/>
      </c>
      <c r="B4508" t="inlineStr">
        <is>
          <t>1:25</t>
        </is>
      </c>
      <c r="C4508" t="inlineStr">
        <is>
          <t>in both directions.</t>
        </is>
      </c>
      <c r="D4508">
        <f>HYPERLINK("https://www.youtube.com/watch?v=fXsOlAYvgh0&amp;t=85s", "Go to time")</f>
        <v/>
      </c>
    </row>
    <row r="4509">
      <c r="A4509">
        <f>HYPERLINK("https://www.youtube.com/watch?v=fXsOlAYvgh0", "Video")</f>
        <v/>
      </c>
      <c r="B4509" t="inlineStr">
        <is>
          <t>7:26</t>
        </is>
      </c>
      <c r="C4509" t="inlineStr">
        <is>
          <t>in either direction.</t>
        </is>
      </c>
      <c r="D4509">
        <f>HYPERLINK("https://www.youtube.com/watch?v=fXsOlAYvgh0&amp;t=446s", "Go to time")</f>
        <v/>
      </c>
    </row>
    <row r="4510">
      <c r="A4510">
        <f>HYPERLINK("https://www.youtube.com/watch?v=0B543Zkqq88", "Video")</f>
        <v/>
      </c>
      <c r="B4510" t="inlineStr">
        <is>
          <t>1:55</t>
        </is>
      </c>
      <c r="C4510" t="inlineStr">
        <is>
          <t>the biggest boy band on the planet
was none other than One Direction.</t>
        </is>
      </c>
      <c r="D4510">
        <f>HYPERLINK("https://www.youtube.com/watch?v=0B543Zkqq88&amp;t=115s", "Go to time")</f>
        <v/>
      </c>
    </row>
    <row r="4511">
      <c r="A4511">
        <f>HYPERLINK("https://www.youtube.com/watch?v=0B543Zkqq88", "Video")</f>
        <v/>
      </c>
      <c r="B4511" t="inlineStr">
        <is>
          <t>2:00</t>
        </is>
      </c>
      <c r="C4511" t="inlineStr">
        <is>
          <t>And Harry Styles was a member
of One Direction.</t>
        </is>
      </c>
      <c r="D4511">
        <f>HYPERLINK("https://www.youtube.com/watch?v=0B543Zkqq88&amp;t=120s", "Go to time")</f>
        <v/>
      </c>
    </row>
    <row r="4512">
      <c r="A4512">
        <f>HYPERLINK("https://www.youtube.com/watch?v=0B543Zkqq88", "Video")</f>
        <v/>
      </c>
      <c r="B4512" t="inlineStr">
        <is>
          <t>3:19</t>
        </is>
      </c>
      <c r="C4512" t="inlineStr">
        <is>
          <t>One Direction, the biggest
boy band on the planet,</t>
        </is>
      </c>
      <c r="D4512">
        <f>HYPERLINK("https://www.youtube.com/watch?v=0B543Zkqq88&amp;t=199s", "Go to time")</f>
        <v/>
      </c>
    </row>
    <row r="4513">
      <c r="A4513">
        <f>HYPERLINK("https://www.youtube.com/watch?v=0B543Zkqq88", "Video")</f>
        <v/>
      </c>
      <c r="B4513" t="inlineStr">
        <is>
          <t>5:14</t>
        </is>
      </c>
      <c r="C4513" t="inlineStr">
        <is>
          <t>the Backstreet Boys, One Direction,</t>
        </is>
      </c>
      <c r="D4513">
        <f>HYPERLINK("https://www.youtube.com/watch?v=0B543Zkqq88&amp;t=314s", "Go to time")</f>
        <v/>
      </c>
    </row>
    <row r="4514">
      <c r="A4514">
        <f>HYPERLINK("https://www.youtube.com/watch?v=1g-1_Y3fvUg", "Video")</f>
        <v/>
      </c>
      <c r="B4514" t="inlineStr">
        <is>
          <t>7:26</t>
        </is>
      </c>
      <c r="C4514" t="inlineStr">
        <is>
          <t>and just kind of, go direct
to their friend's house?</t>
        </is>
      </c>
      <c r="D4514">
        <f>HYPERLINK("https://www.youtube.com/watch?v=1g-1_Y3fvUg&amp;t=446s", "Go to time")</f>
        <v/>
      </c>
    </row>
    <row r="4515">
      <c r="A4515">
        <f>HYPERLINK("https://www.youtube.com/watch?v=6R3HaHOhZks", "Video")</f>
        <v/>
      </c>
      <c r="B4515" t="inlineStr">
        <is>
          <t>0:53</t>
        </is>
      </c>
      <c r="C4515" t="inlineStr">
        <is>
          <t>we grow the meat directly
from muscle cells.</t>
        </is>
      </c>
      <c r="D4515">
        <f>HYPERLINK("https://www.youtube.com/watch?v=6R3HaHOhZks&amp;t=53s", "Go to time")</f>
        <v/>
      </c>
    </row>
    <row r="4516">
      <c r="A4516">
        <f>HYPERLINK("https://www.youtube.com/watch?v=WFP9IbXYM1k", "Video")</f>
        <v/>
      </c>
      <c r="B4516" t="inlineStr">
        <is>
          <t>2:07</t>
        </is>
      </c>
      <c r="C4516" t="inlineStr">
        <is>
          <t>"I'm sorry, our major donor
has switched direction.</t>
        </is>
      </c>
      <c r="D4516">
        <f>HYPERLINK("https://www.youtube.com/watch?v=WFP9IbXYM1k&amp;t=127s", "Go to time")</f>
        <v/>
      </c>
    </row>
    <row r="4517">
      <c r="A4517">
        <f>HYPERLINK("https://www.youtube.com/watch?v=WFP9IbXYM1k", "Video")</f>
        <v/>
      </c>
      <c r="B4517" t="inlineStr">
        <is>
          <t>3:59</t>
        </is>
      </c>
      <c r="C4517" t="inlineStr">
        <is>
          <t>are directed by the top
one percent of donors.</t>
        </is>
      </c>
      <c r="D4517">
        <f>HYPERLINK("https://www.youtube.com/watch?v=WFP9IbXYM1k&amp;t=239s", "Go to time")</f>
        <v/>
      </c>
    </row>
    <row r="4518">
      <c r="A4518">
        <f>HYPERLINK("https://www.youtube.com/watch?v=sRT61YB0hSQ", "Video")</f>
        <v/>
      </c>
      <c r="B4518" t="inlineStr">
        <is>
          <t>2:17</t>
        </is>
      </c>
      <c r="C4518" t="inlineStr">
        <is>
          <t>allowing you to come to the temple
from all directions,</t>
        </is>
      </c>
      <c r="D4518">
        <f>HYPERLINK("https://www.youtube.com/watch?v=sRT61YB0hSQ&amp;t=137s", "Go to time")</f>
        <v/>
      </c>
    </row>
    <row r="4519">
      <c r="A4519">
        <f>HYPERLINK("https://www.youtube.com/watch?v=sRT61YB0hSQ", "Video")</f>
        <v/>
      </c>
      <c r="B4519" t="inlineStr">
        <is>
          <t>10:27</t>
        </is>
      </c>
      <c r="C4519" t="inlineStr">
        <is>
          <t>open in all directions,</t>
        </is>
      </c>
      <c r="D4519">
        <f>HYPERLINK("https://www.youtube.com/watch?v=sRT61YB0hSQ&amp;t=627s", "Go to time")</f>
        <v/>
      </c>
    </row>
    <row r="4520">
      <c r="A4520">
        <f>HYPERLINK("https://www.youtube.com/watch?v=sRT61YB0hSQ", "Video")</f>
        <v/>
      </c>
      <c r="B4520" t="inlineStr">
        <is>
          <t>11:18</t>
        </is>
      </c>
      <c r="C4520" t="inlineStr">
        <is>
          <t>and inside, a view in all directions,</t>
        </is>
      </c>
      <c r="D4520">
        <f>HYPERLINK("https://www.youtube.com/watch?v=sRT61YB0hSQ&amp;t=678s", "Go to time")</f>
        <v/>
      </c>
    </row>
    <row r="4521">
      <c r="A4521">
        <f>HYPERLINK("https://www.youtube.com/watch?v=Kv0Xz0lMKDQ", "Video")</f>
        <v/>
      </c>
      <c r="B4521" t="inlineStr">
        <is>
          <t>5:30</t>
        </is>
      </c>
      <c r="C4521" t="inlineStr">
        <is>
          <t>that will affect their lives
directly or indirectly.</t>
        </is>
      </c>
      <c r="D4521">
        <f>HYPERLINK("https://www.youtube.com/watch?v=Kv0Xz0lMKDQ&amp;t=330s", "Go to time")</f>
        <v/>
      </c>
    </row>
    <row r="4522">
      <c r="A4522">
        <f>HYPERLINK("https://www.youtube.com/watch?v=n3ZbjsS4TCc", "Video")</f>
        <v/>
      </c>
      <c r="B4522" t="inlineStr">
        <is>
          <t>0:24</t>
        </is>
      </c>
      <c r="C4522" t="inlineStr">
        <is>
          <t>I made the appointment myself because,
being the director of the department,</t>
        </is>
      </c>
      <c r="D4522">
        <f>HYPERLINK("https://www.youtube.com/watch?v=n3ZbjsS4TCc&amp;t=24s", "Go to time")</f>
        <v/>
      </c>
    </row>
    <row r="4523">
      <c r="A4523">
        <f>HYPERLINK("https://www.youtube.com/watch?v=XQJhRDbsDzI", "Video")</f>
        <v/>
      </c>
      <c r="B4523" t="inlineStr">
        <is>
          <t>0:12</t>
        </is>
      </c>
      <c r="C4523" t="inlineStr">
        <is>
          <t>what I do remember is that the casting director
asked me, "Could you do that again?</t>
        </is>
      </c>
      <c r="D4523">
        <f>HYPERLINK("https://www.youtube.com/watch?v=XQJhRDbsDzI&amp;t=12s", "Go to time")</f>
        <v/>
      </c>
    </row>
    <row r="4524">
      <c r="A4524">
        <f>HYPERLINK("https://www.youtube.com/watch?v=XQJhRDbsDzI", "Video")</f>
        <v/>
      </c>
      <c r="B4524" t="inlineStr">
        <is>
          <t>2:41</t>
        </is>
      </c>
      <c r="C4524" t="inlineStr">
        <is>
          <t>whole life by executives and producers and
directors and writers and agents and managers</t>
        </is>
      </c>
      <c r="D4524">
        <f>HYPERLINK("https://www.youtube.com/watch?v=XQJhRDbsDzI&amp;t=161s", "Go to time")</f>
        <v/>
      </c>
    </row>
    <row r="4525">
      <c r="A4525">
        <f>HYPERLINK("https://www.youtube.com/watch?v=ZkWJem3LY5E", "Video")</f>
        <v/>
      </c>
      <c r="B4525" t="inlineStr">
        <is>
          <t>3:22</t>
        </is>
      </c>
      <c r="C4525" t="inlineStr">
        <is>
          <t>is referred to as a closed-loop system
or bidirectional human interface.</t>
        </is>
      </c>
      <c r="D4525">
        <f>HYPERLINK("https://www.youtube.com/watch?v=ZkWJem3LY5E&amp;t=202s", "Go to time")</f>
        <v/>
      </c>
    </row>
    <row r="4526">
      <c r="A4526">
        <f>HYPERLINK("https://www.youtube.com/watch?v=wtl5UrrgU8c", "Video")</f>
        <v/>
      </c>
      <c r="B4526" t="inlineStr">
        <is>
          <t>0:48</t>
        </is>
      </c>
      <c r="C4526" t="inlineStr">
        <is>
          <t>Either they're of the camp
that is very indirect and soft</t>
        </is>
      </c>
      <c r="D4526">
        <f>HYPERLINK("https://www.youtube.com/watch?v=wtl5UrrgU8c&amp;t=48s", "Go to time")</f>
        <v/>
      </c>
    </row>
    <row r="4527">
      <c r="A4527">
        <f>HYPERLINK("https://www.youtube.com/watch?v=wtl5UrrgU8c", "Video")</f>
        <v/>
      </c>
      <c r="B4527" t="inlineStr">
        <is>
          <t>0:57</t>
        </is>
      </c>
      <c r="C4527" t="inlineStr">
        <is>
          <t>or they fall into the other
camp of being too direct,</t>
        </is>
      </c>
      <c r="D4527">
        <f>HYPERLINK("https://www.youtube.com/watch?v=wtl5UrrgU8c&amp;t=57s", "Go to time")</f>
        <v/>
      </c>
    </row>
    <row r="4528">
      <c r="A4528">
        <f>HYPERLINK("https://www.youtube.com/watch?v=P4h2zgJhC7E", "Video")</f>
        <v/>
      </c>
      <c r="B4528" t="inlineStr">
        <is>
          <t>6:53</t>
        </is>
      </c>
      <c r="C4528" t="inlineStr">
        <is>
          <t>So there's an opportunity
to include menopause directly.</t>
        </is>
      </c>
      <c r="D4528">
        <f>HYPERLINK("https://www.youtube.com/watch?v=P4h2zgJhC7E&amp;t=413s", "Go to time")</f>
        <v/>
      </c>
    </row>
    <row r="4529">
      <c r="A4529">
        <f>HYPERLINK("https://www.youtube.com/watch?v=0G2U0R0hOCU", "Video")</f>
        <v/>
      </c>
      <c r="B4529" t="inlineStr">
        <is>
          <t>14:39</t>
        </is>
      </c>
      <c r="C4529" t="inlineStr">
        <is>
          <t>It's pointing you
in the direction of the sacred.</t>
        </is>
      </c>
      <c r="D4529">
        <f>HYPERLINK("https://www.youtube.com/watch?v=0G2U0R0hOCU&amp;t=879s", "Go to time")</f>
        <v/>
      </c>
    </row>
    <row r="4530">
      <c r="A4530">
        <f>HYPERLINK("https://www.youtube.com/watch?v=gpE_W50OTUc", "Video")</f>
        <v/>
      </c>
      <c r="B4530" t="inlineStr">
        <is>
          <t>0:31</t>
        </is>
      </c>
      <c r="C4530" t="inlineStr">
        <is>
          <t>for analysts, associates, vice presidents,
all the way up to managing directors.</t>
        </is>
      </c>
      <c r="D4530">
        <f>HYPERLINK("https://www.youtube.com/watch?v=gpE_W50OTUc&amp;t=31s", "Go to time")</f>
        <v/>
      </c>
    </row>
    <row r="4531">
      <c r="A4531">
        <f>HYPERLINK("https://www.youtube.com/watch?v=SjCrlJyFBiI", "Video")</f>
        <v/>
      </c>
      <c r="B4531" t="inlineStr">
        <is>
          <t>7:59</t>
        </is>
      </c>
      <c r="C4531" t="inlineStr">
        <is>
          <t>we partnered directly with Black property
owners to provide subsidized housing,</t>
        </is>
      </c>
      <c r="D4531">
        <f>HYPERLINK("https://www.youtube.com/watch?v=SjCrlJyFBiI&amp;t=479s", "Go to time")</f>
        <v/>
      </c>
    </row>
    <row r="4532">
      <c r="A4532">
        <f>HYPERLINK("https://www.youtube.com/watch?v=u3BZDx2dnSE", "Video")</f>
        <v/>
      </c>
      <c r="B4532" t="inlineStr">
        <is>
          <t>17:53</t>
        </is>
      </c>
      <c r="C4532" t="inlineStr">
        <is>
          <t>explicit and direct to the bailout that</t>
        </is>
      </c>
      <c r="D4532">
        <f>HYPERLINK("https://www.youtube.com/watch?v=u3BZDx2dnSE&amp;t=1073s", "Go to time")</f>
        <v/>
      </c>
    </row>
    <row r="4533">
      <c r="A4533">
        <f>HYPERLINK("https://www.youtube.com/watch?v=u3BZDx2dnSE", "Video")</f>
        <v/>
      </c>
      <c r="B4533" t="inlineStr">
        <is>
          <t>22:49</t>
        </is>
      </c>
      <c r="C4533" t="inlineStr">
        <is>
          <t>of a direction that kind of</t>
        </is>
      </c>
      <c r="D4533">
        <f>HYPERLINK("https://www.youtube.com/watch?v=u3BZDx2dnSE&amp;t=1369s", "Go to time")</f>
        <v/>
      </c>
    </row>
    <row r="4534">
      <c r="A4534">
        <f>HYPERLINK("https://www.youtube.com/watch?v=u3BZDx2dnSE", "Video")</f>
        <v/>
      </c>
      <c r="B4534" t="inlineStr">
        <is>
          <t>22:50</t>
        </is>
      </c>
      <c r="C4534" t="inlineStr">
        <is>
          <t>directionality to what the public sector</t>
        </is>
      </c>
      <c r="D4534">
        <f>HYPERLINK("https://www.youtube.com/watch?v=u3BZDx2dnSE&amp;t=1370s", "Go to time")</f>
        <v/>
      </c>
    </row>
    <row r="4535">
      <c r="A4535">
        <f>HYPERLINK("https://www.youtube.com/watch?v=u3BZDx2dnSE", "Video")</f>
        <v/>
      </c>
      <c r="B4535" t="inlineStr">
        <is>
          <t>23:00</t>
        </is>
      </c>
      <c r="C4535" t="inlineStr">
        <is>
          <t>private sector activity Motorola direct</t>
        </is>
      </c>
      <c r="D4535">
        <f>HYPERLINK("https://www.youtube.com/watch?v=u3BZDx2dnSE&amp;t=1380s", "Go to time")</f>
        <v/>
      </c>
    </row>
    <row r="4536">
      <c r="A4536">
        <f>HYPERLINK("https://www.youtube.com/watch?v=u3BZDx2dnSE", "Video")</f>
        <v/>
      </c>
      <c r="B4536" t="inlineStr">
        <is>
          <t>29:01</t>
        </is>
      </c>
      <c r="C4536" t="inlineStr">
        <is>
          <t>different directions</t>
        </is>
      </c>
      <c r="D4536">
        <f>HYPERLINK("https://www.youtube.com/watch?v=u3BZDx2dnSE&amp;t=1741s", "Go to time")</f>
        <v/>
      </c>
    </row>
    <row r="4537">
      <c r="A4537">
        <f>HYPERLINK("https://www.youtube.com/watch?v=u3BZDx2dnSE", "Video")</f>
        <v/>
      </c>
      <c r="B4537" t="inlineStr">
        <is>
          <t>44:19</t>
        </is>
      </c>
      <c r="C4537" t="inlineStr">
        <is>
          <t>in that direction so first I should say</t>
        </is>
      </c>
      <c r="D4537">
        <f>HYPERLINK("https://www.youtube.com/watch?v=u3BZDx2dnSE&amp;t=2659s", "Go to time")</f>
        <v/>
      </c>
    </row>
    <row r="4538">
      <c r="A4538">
        <f>HYPERLINK("https://www.youtube.com/watch?v=u3BZDx2dnSE", "Video")</f>
        <v/>
      </c>
      <c r="B4538" t="inlineStr">
        <is>
          <t>47:37</t>
        </is>
      </c>
      <c r="C4538" t="inlineStr">
        <is>
          <t>Commission says this is gonna direct</t>
        </is>
      </c>
      <c r="D4538">
        <f>HYPERLINK("https://www.youtube.com/watch?v=u3BZDx2dnSE&amp;t=2857s", "Go to time")</f>
        <v/>
      </c>
    </row>
    <row r="4539">
      <c r="A4539">
        <f>HYPERLINK("https://www.youtube.com/watch?v=u3BZDx2dnSE", "Video")</f>
        <v/>
      </c>
      <c r="B4539" t="inlineStr">
        <is>
          <t>47:41</t>
        </is>
      </c>
      <c r="C4539" t="inlineStr">
        <is>
          <t>a rate it has a direction so putting the</t>
        </is>
      </c>
      <c r="D4539">
        <f>HYPERLINK("https://www.youtube.com/watch?v=u3BZDx2dnSE&amp;t=2861s", "Go to time")</f>
        <v/>
      </c>
    </row>
    <row r="4540">
      <c r="A4540">
        <f>HYPERLINK("https://www.youtube.com/watch?v=mkd_XHXhCcw", "Video")</f>
        <v/>
      </c>
      <c r="B4540" t="inlineStr">
        <is>
          <t>16:21</t>
        </is>
      </c>
      <c r="C4540" t="inlineStr">
        <is>
          <t>It just depends
on which direction he goes.</t>
        </is>
      </c>
      <c r="D4540">
        <f>HYPERLINK("https://www.youtube.com/watch?v=mkd_XHXhCcw&amp;t=981s", "Go to time")</f>
        <v/>
      </c>
    </row>
    <row r="4541">
      <c r="A4541">
        <f>HYPERLINK("https://www.youtube.com/watch?v=mkd_XHXhCcw", "Video")</f>
        <v/>
      </c>
      <c r="B4541" t="inlineStr">
        <is>
          <t>31:23</t>
        </is>
      </c>
      <c r="C4541" t="inlineStr">
        <is>
          <t>that puts you in direct contact
with people completely unlike yourself</t>
        </is>
      </c>
      <c r="D4541">
        <f>HYPERLINK("https://www.youtube.com/watch?v=mkd_XHXhCcw&amp;t=1883s", "Go to time")</f>
        <v/>
      </c>
    </row>
    <row r="4542">
      <c r="A4542">
        <f>HYPERLINK("https://www.youtube.com/watch?v=CoQuaDKV3xk", "Video")</f>
        <v/>
      </c>
      <c r="B4542" t="inlineStr">
        <is>
          <t>29:36</t>
        </is>
      </c>
      <c r="C4542" t="inlineStr">
        <is>
          <t>direction one person wrote in about how</t>
        </is>
      </c>
      <c r="D4542">
        <f>HYPERLINK("https://www.youtube.com/watch?v=CoQuaDKV3xk&amp;t=1776s", "Go to time")</f>
        <v/>
      </c>
    </row>
    <row r="4543">
      <c r="A4543">
        <f>HYPERLINK("https://www.youtube.com/watch?v=CoQuaDKV3xk", "Video")</f>
        <v/>
      </c>
      <c r="B4543" t="inlineStr">
        <is>
          <t>31:17</t>
        </is>
      </c>
      <c r="C4543" t="inlineStr">
        <is>
          <t>it's directly linked to our completely</t>
        </is>
      </c>
      <c r="D4543">
        <f>HYPERLINK("https://www.youtube.com/watch?v=CoQuaDKV3xk&amp;t=1877s", "Go to time")</f>
        <v/>
      </c>
    </row>
    <row r="4544">
      <c r="A4544">
        <f>HYPERLINK("https://www.youtube.com/watch?v=CoQuaDKV3xk", "Video")</f>
        <v/>
      </c>
      <c r="B4544" t="inlineStr">
        <is>
          <t>40:08</t>
        </is>
      </c>
      <c r="C4544" t="inlineStr">
        <is>
          <t>their direct flight connections and then</t>
        </is>
      </c>
      <c r="D4544">
        <f>HYPERLINK("https://www.youtube.com/watch?v=CoQuaDKV3xk&amp;t=2408s", "Go to time")</f>
        <v/>
      </c>
    </row>
    <row r="4545">
      <c r="A4545">
        <f>HYPERLINK("https://www.youtube.com/watch?v=CoQuaDKV3xk", "Video")</f>
        <v/>
      </c>
      <c r="B4545" t="inlineStr">
        <is>
          <t>40:24</t>
        </is>
      </c>
      <c r="C4545" t="inlineStr">
        <is>
          <t>the number of direct flights between</t>
        </is>
      </c>
      <c r="D4545">
        <f>HYPERLINK("https://www.youtube.com/watch?v=CoQuaDKV3xk&amp;t=2424s", "Go to time")</f>
        <v/>
      </c>
    </row>
    <row r="4546">
      <c r="A4546">
        <f>HYPERLINK("https://www.youtube.com/watch?v=WHtmgv7eiZk", "Video")</f>
        <v/>
      </c>
      <c r="B4546" t="inlineStr">
        <is>
          <t>2:23</t>
        </is>
      </c>
      <c r="C4546" t="inlineStr">
        <is>
          <t>but changed direction</t>
        </is>
      </c>
      <c r="D4546">
        <f>HYPERLINK("https://www.youtube.com/watch?v=WHtmgv7eiZk&amp;t=143s", "Go to time")</f>
        <v/>
      </c>
    </row>
    <row r="4547">
      <c r="A4547">
        <f>HYPERLINK("https://www.youtube.com/watch?v=Mq0_g-vCwb4", "Video")</f>
        <v/>
      </c>
      <c r="B4547" t="inlineStr">
        <is>
          <t>5:18</t>
        </is>
      </c>
      <c r="C4547" t="inlineStr">
        <is>
          <t>People's way of eating
had to change direction</t>
        </is>
      </c>
      <c r="D4547">
        <f>HYPERLINK("https://www.youtube.com/watch?v=Mq0_g-vCwb4&amp;t=318s", "Go to time")</f>
        <v/>
      </c>
    </row>
    <row r="4548">
      <c r="A4548">
        <f>HYPERLINK("https://www.youtube.com/watch?v=DBBA2LAsepU", "Video")</f>
        <v/>
      </c>
      <c r="B4548" t="inlineStr">
        <is>
          <t>0:22</t>
        </is>
      </c>
      <c r="C4548" t="inlineStr">
        <is>
          <t>one that affected you directly.</t>
        </is>
      </c>
      <c r="D4548">
        <f>HYPERLINK("https://www.youtube.com/watch?v=DBBA2LAsepU&amp;t=22s", "Go to time")</f>
        <v/>
      </c>
    </row>
    <row r="4549">
      <c r="A4549">
        <f>HYPERLINK("https://www.youtube.com/watch?v=DBBA2LAsepU", "Video")</f>
        <v/>
      </c>
      <c r="B4549" t="inlineStr">
        <is>
          <t>7:07</t>
        </is>
      </c>
      <c r="C4549" t="inlineStr">
        <is>
          <t>or like being more open about the fact
that they need to change direction,</t>
        </is>
      </c>
      <c r="D4549">
        <f>HYPERLINK("https://www.youtube.com/watch?v=DBBA2LAsepU&amp;t=427s", "Go to time")</f>
        <v/>
      </c>
    </row>
    <row r="4550">
      <c r="A4550">
        <f>HYPERLINK("https://www.youtube.com/watch?v=icQS5_mOx7U", "Video")</f>
        <v/>
      </c>
      <c r="B4550" t="inlineStr">
        <is>
          <t>1:22</t>
        </is>
      </c>
      <c r="C4550" t="inlineStr">
        <is>
          <t>that is directly and indirectly
nudging the world</t>
        </is>
      </c>
      <c r="D4550">
        <f>HYPERLINK("https://www.youtube.com/watch?v=icQS5_mOx7U&amp;t=82s", "Go to time")</f>
        <v/>
      </c>
    </row>
    <row r="4551">
      <c r="A4551">
        <f>HYPERLINK("https://www.youtube.com/watch?v=0_M_syPuFos", "Video")</f>
        <v/>
      </c>
      <c r="B4551" t="inlineStr">
        <is>
          <t>5:04</t>
        </is>
      </c>
      <c r="C4551" t="inlineStr">
        <is>
          <t>directly from the pixels,
the raw pixels on the screen,</t>
        </is>
      </c>
      <c r="D4551">
        <f>HYPERLINK("https://www.youtube.com/watch?v=0_M_syPuFos&amp;t=304s", "Go to time")</f>
        <v/>
      </c>
    </row>
    <row r="4552">
      <c r="A4552">
        <f>HYPERLINK("https://www.youtube.com/watch?v=0_M_syPuFos", "Video")</f>
        <v/>
      </c>
      <c r="B4552" t="inlineStr">
        <is>
          <t>5:30</t>
        </is>
      </c>
      <c r="C4552" t="inlineStr">
        <is>
          <t>CA: But there was a direct line
from that to this moment</t>
        </is>
      </c>
      <c r="D4552">
        <f>HYPERLINK("https://www.youtube.com/watch?v=0_M_syPuFos&amp;t=330s", "Go to time")</f>
        <v/>
      </c>
    </row>
    <row r="4553">
      <c r="A4553">
        <f>HYPERLINK("https://www.youtube.com/watch?v=0_M_syPuFos", "Video")</f>
        <v/>
      </c>
      <c r="B4553" t="inlineStr">
        <is>
          <t>11:26</t>
        </is>
      </c>
      <c r="C4553" t="inlineStr">
        <is>
          <t>Can you directly predict the 3D structure
just from the amino acid sequence?</t>
        </is>
      </c>
      <c r="D4553">
        <f>HYPERLINK("https://www.youtube.com/watch?v=0_M_syPuFos&amp;t=686s", "Go to time")</f>
        <v/>
      </c>
    </row>
    <row r="4554">
      <c r="A4554">
        <f>HYPERLINK("https://www.youtube.com/watch?v=0_M_syPuFos", "Video")</f>
        <v/>
      </c>
      <c r="B4554" t="inlineStr">
        <is>
          <t>15:54</t>
        </is>
      </c>
      <c r="C4554" t="inlineStr">
        <is>
          <t>CA: OK. Demis, I'd like
to change direction a bit.</t>
        </is>
      </c>
      <c r="D4554">
        <f>HYPERLINK("https://www.youtube.com/watch?v=0_M_syPuFos&amp;t=954s", "Go to time")</f>
        <v/>
      </c>
    </row>
    <row r="4555">
      <c r="A4555">
        <f>HYPERLINK("https://www.youtube.com/watch?v=0_M_syPuFos", "Video")</f>
        <v/>
      </c>
      <c r="B4555" t="inlineStr">
        <is>
          <t>25:24</t>
        </is>
      </c>
      <c r="C4555" t="inlineStr">
        <is>
          <t>in the right direction.</t>
        </is>
      </c>
      <c r="D4555">
        <f>HYPERLINK("https://www.youtube.com/watch?v=0_M_syPuFos&amp;t=1524s", "Go to time")</f>
        <v/>
      </c>
    </row>
    <row r="4556">
      <c r="A4556">
        <f>HYPERLINK("https://www.youtube.com/watch?v=IGIT-vENgaQ", "Video")</f>
        <v/>
      </c>
      <c r="B4556" t="inlineStr">
        <is>
          <t>10:03</t>
        </is>
      </c>
      <c r="C4556" t="inlineStr">
        <is>
          <t>They use direct air capture machines
to filter carbon dioxide out of the air</t>
        </is>
      </c>
      <c r="D4556">
        <f>HYPERLINK("https://www.youtube.com/watch?v=IGIT-vENgaQ&amp;t=603s", "Go to time")</f>
        <v/>
      </c>
    </row>
    <row r="4557">
      <c r="A4557">
        <f>HYPERLINK("https://www.youtube.com/watch?v=f4xu7w6Vf0U", "Video")</f>
        <v/>
      </c>
      <c r="B4557" t="inlineStr">
        <is>
          <t>29:25</t>
        </is>
      </c>
      <c r="C4557" t="inlineStr">
        <is>
          <t>so the sort of 100 million
tests a day direction,</t>
        </is>
      </c>
      <c r="D4557">
        <f>HYPERLINK("https://www.youtube.com/watch?v=f4xu7w6Vf0U&amp;t=1765s", "Go to time")</f>
        <v/>
      </c>
    </row>
    <row r="4558">
      <c r="A4558">
        <f>HYPERLINK("https://www.youtube.com/watch?v=f4xu7w6Vf0U", "Video")</f>
        <v/>
      </c>
      <c r="B4558" t="inlineStr">
        <is>
          <t>31:25</t>
        </is>
      </c>
      <c r="C4558" t="inlineStr">
        <is>
          <t>so they're not as directly
part of our group</t>
        </is>
      </c>
      <c r="D4558">
        <f>HYPERLINK("https://www.youtube.com/watch?v=f4xu7w6Vf0U&amp;t=1885s", "Go to time")</f>
        <v/>
      </c>
    </row>
    <row r="4559">
      <c r="A4559">
        <f>HYPERLINK("https://www.youtube.com/watch?v=f4xu7w6Vf0U", "Video")</f>
        <v/>
      </c>
      <c r="B4559" t="inlineStr">
        <is>
          <t>31:40</t>
        </is>
      </c>
      <c r="C4559" t="inlineStr">
        <is>
          <t>Glenn Cohen, who directs the Petrie-Flom
Center for law and bioethics</t>
        </is>
      </c>
      <c r="D4559">
        <f>HYPERLINK("https://www.youtube.com/watch?v=f4xu7w6Vf0U&amp;t=1900s", "Go to time")</f>
        <v/>
      </c>
    </row>
    <row r="4560">
      <c r="A4560">
        <f>HYPERLINK("https://www.youtube.com/watch?v=f4xu7w6Vf0U", "Video")</f>
        <v/>
      </c>
      <c r="B4560" t="inlineStr">
        <is>
          <t>36:12</t>
        </is>
      </c>
      <c r="C4560" t="inlineStr">
        <is>
          <t>and know that any direction is tricky,</t>
        </is>
      </c>
      <c r="D4560">
        <f>HYPERLINK("https://www.youtube.com/watch?v=f4xu7w6Vf0U&amp;t=2172s", "Go to time")</f>
        <v/>
      </c>
    </row>
    <row r="4561">
      <c r="A4561">
        <f>HYPERLINK("https://www.youtube.com/watch?v=f4xu7w6Vf0U", "Video")</f>
        <v/>
      </c>
      <c r="B4561" t="inlineStr">
        <is>
          <t>36:29</t>
        </is>
      </c>
      <c r="C4561" t="inlineStr">
        <is>
          <t>have clarity about the directional options</t>
        </is>
      </c>
      <c r="D4561">
        <f>HYPERLINK("https://www.youtube.com/watch?v=f4xu7w6Vf0U&amp;t=2189s", "Go to time")</f>
        <v/>
      </c>
    </row>
    <row r="4562">
      <c r="A4562">
        <f>HYPERLINK("https://www.youtube.com/watch?v=f4xu7w6Vf0U", "Video")</f>
        <v/>
      </c>
      <c r="B4562" t="inlineStr">
        <is>
          <t>36:31</t>
        </is>
      </c>
      <c r="C4562" t="inlineStr">
        <is>
          <t>and have a sense of collectively moving
in a direction that we desire, right.</t>
        </is>
      </c>
      <c r="D4562">
        <f>HYPERLINK("https://www.youtube.com/watch?v=f4xu7w6Vf0U&amp;t=2191s", "Go to time")</f>
        <v/>
      </c>
    </row>
    <row r="4563">
      <c r="A4563">
        <f>HYPERLINK("https://www.youtube.com/watch?v=f4xu7w6Vf0U", "Video")</f>
        <v/>
      </c>
      <c r="B4563" t="inlineStr">
        <is>
          <t>42:44</t>
        </is>
      </c>
      <c r="C4563" t="inlineStr">
        <is>
          <t>and also, Congress can really help
by directing investment,</t>
        </is>
      </c>
      <c r="D4563">
        <f>HYPERLINK("https://www.youtube.com/watch?v=f4xu7w6Vf0U&amp;t=2564s", "Go to time")</f>
        <v/>
      </c>
    </row>
    <row r="4564">
      <c r="A4564">
        <f>HYPERLINK("https://www.youtube.com/watch?v=h5D3mv8ewCY", "Video")</f>
        <v/>
      </c>
      <c r="B4564" t="inlineStr">
        <is>
          <t>11:51</t>
        </is>
      </c>
      <c r="C4564" t="inlineStr">
        <is>
          <t>were dosed with messenger RNA injected
directly into their heart muscles,</t>
        </is>
      </c>
      <c r="D4564">
        <f>HYPERLINK("https://www.youtube.com/watch?v=h5D3mv8ewCY&amp;t=711s", "Go to time")</f>
        <v/>
      </c>
    </row>
    <row r="4565">
      <c r="A4565">
        <f>HYPERLINK("https://www.youtube.com/watch?v=h5D3mv8ewCY", "Video")</f>
        <v/>
      </c>
      <c r="B4565" t="inlineStr">
        <is>
          <t>15:01</t>
        </is>
      </c>
      <c r="C4565" t="inlineStr">
        <is>
          <t>For cancer patients, we can send in --
by directly injecting</t>
        </is>
      </c>
      <c r="D4565">
        <f>HYPERLINK("https://www.youtube.com/watch?v=h5D3mv8ewCY&amp;t=901s", "Go to time")</f>
        <v/>
      </c>
    </row>
    <row r="4566">
      <c r="A4566">
        <f>HYPERLINK("https://www.youtube.com/watch?v=L61Kbo3y218", "Video")</f>
        <v/>
      </c>
      <c r="B4566" t="inlineStr">
        <is>
          <t>8:42</t>
        </is>
      </c>
      <c r="C4566" t="inlineStr">
        <is>
          <t>It's a dome with 128 custom speakers
coming from all directions,</t>
        </is>
      </c>
      <c r="D4566">
        <f>HYPERLINK("https://www.youtube.com/watch?v=L61Kbo3y218&amp;t=522s", "Go to time")</f>
        <v/>
      </c>
    </row>
    <row r="4567">
      <c r="A4567">
        <f>HYPERLINK("https://www.youtube.com/watch?v=-QkDwqktaVk", "Video")</f>
        <v/>
      </c>
      <c r="B4567" t="inlineStr">
        <is>
          <t>9:19</t>
        </is>
      </c>
      <c r="C4567" t="inlineStr">
        <is>
          <t>that local residents
get to directly decide</t>
        </is>
      </c>
      <c r="D4567">
        <f>HYPERLINK("https://www.youtube.com/watch?v=-QkDwqktaVk&amp;t=559s", "Go to time")</f>
        <v/>
      </c>
    </row>
    <row r="4568">
      <c r="A4568">
        <f>HYPERLINK("https://www.youtube.com/watch?v=bzlYyhh3X0w", "Video")</f>
        <v/>
      </c>
      <c r="B4568" t="inlineStr">
        <is>
          <t>1:55</t>
        </is>
      </c>
      <c r="C4568" t="inlineStr">
        <is>
          <t>They can be directed
at individuals and groups,</t>
        </is>
      </c>
      <c r="D4568">
        <f>HYPERLINK("https://www.youtube.com/watch?v=bzlYyhh3X0w&amp;t=115s", "Go to time")</f>
        <v/>
      </c>
    </row>
    <row r="4569">
      <c r="A4569">
        <f>HYPERLINK("https://www.youtube.com/watch?v=bzlYyhh3X0w", "Video")</f>
        <v/>
      </c>
      <c r="B4569" t="inlineStr">
        <is>
          <t>1:58</t>
        </is>
      </c>
      <c r="C4569" t="inlineStr">
        <is>
          <t>and they can also
be directed at ourselves.</t>
        </is>
      </c>
      <c r="D4569">
        <f>HYPERLINK("https://www.youtube.com/watch?v=bzlYyhh3X0w&amp;t=118s", "Go to time")</f>
        <v/>
      </c>
    </row>
    <row r="4570">
      <c r="A4570">
        <f>HYPERLINK("https://www.youtube.com/watch?v=bzlYyhh3X0w", "Video")</f>
        <v/>
      </c>
      <c r="B4570" t="inlineStr">
        <is>
          <t>9:08</t>
        </is>
      </c>
      <c r="C4570" t="inlineStr">
        <is>
          <t>When director Kate Champion,</t>
        </is>
      </c>
      <c r="D4570">
        <f>HYPERLINK("https://www.youtube.com/watch?v=bzlYyhh3X0w&amp;t=548s", "Go to time")</f>
        <v/>
      </c>
    </row>
    <row r="4571">
      <c r="A4571">
        <f>HYPERLINK("https://www.youtube.com/watch?v=PI5V1-IFvlI", "Video")</f>
        <v/>
      </c>
      <c r="B4571" t="inlineStr">
        <is>
          <t>13:27</t>
        </is>
      </c>
      <c r="C4571" t="inlineStr">
        <is>
          <t>and it works in two directions.</t>
        </is>
      </c>
      <c r="D4571">
        <f>HYPERLINK("https://www.youtube.com/watch?v=PI5V1-IFvlI&amp;t=807s", "Go to time")</f>
        <v/>
      </c>
    </row>
    <row r="4572">
      <c r="A4572">
        <f>HYPERLINK("https://www.youtube.com/watch?v=5g8V23poB9Q", "Video")</f>
        <v/>
      </c>
      <c r="B4572" t="inlineStr">
        <is>
          <t>13:15</t>
        </is>
      </c>
      <c r="C4572" t="inlineStr">
        <is>
          <t>One reason is that the Paris Agreement
set the direction of travel,</t>
        </is>
      </c>
      <c r="D4572">
        <f>HYPERLINK("https://www.youtube.com/watch?v=5g8V23poB9Q&amp;t=795s", "Go to time")</f>
        <v/>
      </c>
    </row>
    <row r="4573">
      <c r="A4573">
        <f>HYPERLINK("https://www.youtube.com/watch?v=aupPrDnhrKA", "Video")</f>
        <v/>
      </c>
      <c r="B4573" t="inlineStr">
        <is>
          <t>6:18</t>
        </is>
      </c>
      <c r="C4573" t="inlineStr">
        <is>
          <t>And if you turn
and head to this direction,</t>
        </is>
      </c>
      <c r="D4573">
        <f>HYPERLINK("https://www.youtube.com/watch?v=aupPrDnhrKA&amp;t=378s", "Go to time")</f>
        <v/>
      </c>
    </row>
    <row r="4574">
      <c r="A4574">
        <f>HYPERLINK("https://www.youtube.com/watch?v=aupPrDnhrKA", "Video")</f>
        <v/>
      </c>
      <c r="B4574" t="inlineStr">
        <is>
          <t>7:31</t>
        </is>
      </c>
      <c r="C4574" t="inlineStr">
        <is>
          <t>because we learn better
through direct experience.</t>
        </is>
      </c>
      <c r="D4574">
        <f>HYPERLINK("https://www.youtube.com/watch?v=aupPrDnhrKA&amp;t=451s", "Go to time")</f>
        <v/>
      </c>
    </row>
    <row r="4575">
      <c r="A4575">
        <f>HYPERLINK("https://www.youtube.com/watch?v=aupPrDnhrKA", "Video")</f>
        <v/>
      </c>
      <c r="B4575" t="inlineStr">
        <is>
          <t>10:30</t>
        </is>
      </c>
      <c r="C4575" t="inlineStr">
        <is>
          <t>But things are rapidly moving
in the right direction.</t>
        </is>
      </c>
      <c r="D4575">
        <f>HYPERLINK("https://www.youtube.com/watch?v=aupPrDnhrKA&amp;t=630s", "Go to time")</f>
        <v/>
      </c>
    </row>
    <row r="4576">
      <c r="A4576">
        <f>HYPERLINK("https://www.youtube.com/watch?v=Li7PsYiwxVc", "Video")</f>
        <v/>
      </c>
      <c r="B4576" t="inlineStr">
        <is>
          <t>6:51</t>
        </is>
      </c>
      <c r="C4576" t="inlineStr">
        <is>
          <t>and we directly search for signs of life.</t>
        </is>
      </c>
      <c r="D4576">
        <f>HYPERLINK("https://www.youtube.com/watch?v=Li7PsYiwxVc&amp;t=411s", "Go to time")</f>
        <v/>
      </c>
    </row>
    <row r="4577">
      <c r="A4577">
        <f>HYPERLINK("https://www.youtube.com/watch?v=kqVGiB98cnc", "Video")</f>
        <v/>
      </c>
      <c r="B4577" t="inlineStr">
        <is>
          <t>3:32</t>
        </is>
      </c>
      <c r="C4577" t="inlineStr">
        <is>
          <t>directions</t>
        </is>
      </c>
      <c r="D4577">
        <f>HYPERLINK("https://www.youtube.com/watch?v=kqVGiB98cnc&amp;t=212s", "Go to time")</f>
        <v/>
      </c>
    </row>
    <row r="4578">
      <c r="A4578">
        <f>HYPERLINK("https://www.youtube.com/watch?v=LZXUR4z2P9w", "Video")</f>
        <v/>
      </c>
      <c r="B4578" t="inlineStr">
        <is>
          <t>1:32</t>
        </is>
      </c>
      <c r="C4578" t="inlineStr">
        <is>
          <t>you've got to go in the opposite direction</t>
        </is>
      </c>
      <c r="D4578">
        <f>HYPERLINK("https://www.youtube.com/watch?v=LZXUR4z2P9w&amp;t=92s", "Go to time")</f>
        <v/>
      </c>
    </row>
    <row r="4579">
      <c r="A4579">
        <f>HYPERLINK("https://www.youtube.com/watch?v=7p1nCRQCiUM", "Video")</f>
        <v/>
      </c>
      <c r="B4579" t="inlineStr">
        <is>
          <t>11:46</t>
        </is>
      </c>
      <c r="C4579" t="inlineStr">
        <is>
          <t>so it actually flows in both directions,</t>
        </is>
      </c>
      <c r="D4579">
        <f>HYPERLINK("https://www.youtube.com/watch?v=7p1nCRQCiUM&amp;t=706s", "Go to time")</f>
        <v/>
      </c>
    </row>
    <row r="4580">
      <c r="A4580">
        <f>HYPERLINK("https://www.youtube.com/watch?v=A3WrAEm3PXU", "Video")</f>
        <v/>
      </c>
      <c r="B4580" t="inlineStr">
        <is>
          <t>3:18</t>
        </is>
      </c>
      <c r="C4580" t="inlineStr">
        <is>
          <t>And a direct consequence
of this activation</t>
        </is>
      </c>
      <c r="D4580">
        <f>HYPERLINK("https://www.youtube.com/watch?v=A3WrAEm3PXU&amp;t=198s", "Go to time")</f>
        <v/>
      </c>
    </row>
    <row r="4581">
      <c r="A4581">
        <f>HYPERLINK("https://www.youtube.com/watch?v=ZTg54BbjJfA", "Video")</f>
        <v/>
      </c>
      <c r="B4581" t="inlineStr">
        <is>
          <t>6:14</t>
        </is>
      </c>
      <c r="C4581" t="inlineStr">
        <is>
          <t>I mean, I went and talked to Pete Docter,
who is the director at Pixar,</t>
        </is>
      </c>
      <c r="D4581">
        <f>HYPERLINK("https://www.youtube.com/watch?v=ZTg54BbjJfA&amp;t=374s", "Go to time")</f>
        <v/>
      </c>
    </row>
    <row r="4582">
      <c r="A4582">
        <f>HYPERLINK("https://www.youtube.com/watch?v=EQQqGlFL_is", "Video")</f>
        <v/>
      </c>
      <c r="B4582" t="inlineStr">
        <is>
          <t>1:23</t>
        </is>
      </c>
      <c r="C4582" t="inlineStr">
        <is>
          <t>directed against them.</t>
        </is>
      </c>
      <c r="D4582">
        <f>HYPERLINK("https://www.youtube.com/watch?v=EQQqGlFL_is&amp;t=83s", "Go to time")</f>
        <v/>
      </c>
    </row>
    <row r="4583">
      <c r="A4583">
        <f>HYPERLINK("https://www.youtube.com/watch?v=CPVjktgYKo4", "Video")</f>
        <v/>
      </c>
      <c r="B4583" t="inlineStr">
        <is>
          <t>12:44</t>
        </is>
      </c>
      <c r="C4583" t="inlineStr">
        <is>
          <t>And I know that they will lead us
in the right direction.</t>
        </is>
      </c>
      <c r="D4583">
        <f>HYPERLINK("https://www.youtube.com/watch?v=CPVjktgYKo4&amp;t=764s", "Go to time")</f>
        <v/>
      </c>
    </row>
    <row r="4584">
      <c r="A4584">
        <f>HYPERLINK("https://www.youtube.com/watch?v=vgigO1XgyRo", "Video")</f>
        <v/>
      </c>
      <c r="B4584" t="inlineStr">
        <is>
          <t>2:22</t>
        </is>
      </c>
      <c r="C4584" t="inlineStr">
        <is>
          <t>for the direct communication
between the brain and machine,</t>
        </is>
      </c>
      <c r="D4584">
        <f>HYPERLINK("https://www.youtube.com/watch?v=vgigO1XgyRo&amp;t=142s", "Go to time")</f>
        <v/>
      </c>
    </row>
    <row r="4585">
      <c r="A4585">
        <f>HYPERLINK("https://www.youtube.com/watch?v=Mp3Msfw90BE", "Video")</f>
        <v/>
      </c>
      <c r="B4585" t="inlineStr">
        <is>
          <t>2:26</t>
        </is>
      </c>
      <c r="C4585" t="inlineStr">
        <is>
          <t>instead of just going
directly to the decision maker.</t>
        </is>
      </c>
      <c r="D4585">
        <f>HYPERLINK("https://www.youtube.com/watch?v=Mp3Msfw90BE&amp;t=146s", "Go to time")</f>
        <v/>
      </c>
    </row>
    <row r="4586">
      <c r="A4586">
        <f>HYPERLINK("https://www.youtube.com/watch?v=8nt3edWLgIg", "Video")</f>
        <v/>
      </c>
      <c r="B4586" t="inlineStr">
        <is>
          <t>12:23</t>
        </is>
      </c>
      <c r="C4586" t="inlineStr">
        <is>
          <t>is to implant this technology
directly into our brains.</t>
        </is>
      </c>
      <c r="D4586">
        <f>HYPERLINK("https://www.youtube.com/watch?v=8nt3edWLgIg&amp;t=743s", "Go to time")</f>
        <v/>
      </c>
    </row>
    <row r="4587">
      <c r="A4587">
        <f>HYPERLINK("https://www.youtube.com/watch?v=V3Cav6WhwZc", "Video")</f>
        <v/>
      </c>
      <c r="B4587" t="inlineStr">
        <is>
          <t>2:31</t>
        </is>
      </c>
      <c r="C4587" t="inlineStr">
        <is>
          <t>but in the opposite direction,
back towards plants.</t>
        </is>
      </c>
      <c r="D4587">
        <f>HYPERLINK("https://www.youtube.com/watch?v=V3Cav6WhwZc&amp;t=151s", "Go to time")</f>
        <v/>
      </c>
    </row>
    <row r="4588">
      <c r="A4588">
        <f>HYPERLINK("https://www.youtube.com/watch?v=_nSHsb5xKPo", "Video")</f>
        <v/>
      </c>
      <c r="B4588" t="inlineStr">
        <is>
          <t>2:01</t>
        </is>
      </c>
      <c r="C4588" t="inlineStr">
        <is>
          <t>where every year the Director
of National Intelligence in the US</t>
        </is>
      </c>
      <c r="D4588">
        <f>HYPERLINK("https://www.youtube.com/watch?v=_nSHsb5xKPo&amp;t=121s", "Go to time")</f>
        <v/>
      </c>
    </row>
    <row r="4589">
      <c r="A4589">
        <f>HYPERLINK("https://www.youtube.com/watch?v=_nSHsb5xKPo", "Video")</f>
        <v/>
      </c>
      <c r="B4589" t="inlineStr">
        <is>
          <t>7:25</t>
        </is>
      </c>
      <c r="C4589" t="inlineStr">
        <is>
          <t>the Director of the CIA,
Secretary of Defense,</t>
        </is>
      </c>
      <c r="D4589">
        <f>HYPERLINK("https://www.youtube.com/watch?v=_nSHsb5xKPo&amp;t=445s", "Go to time")</f>
        <v/>
      </c>
    </row>
    <row r="4590">
      <c r="A4590">
        <f>HYPERLINK("https://www.youtube.com/watch?v=yuu6o4AQwNI", "Video")</f>
        <v/>
      </c>
      <c r="B4590" t="inlineStr">
        <is>
          <t>7:21</t>
        </is>
      </c>
      <c r="C4590" t="inlineStr">
        <is>
          <t>Typically, I direct all of my portraits,</t>
        </is>
      </c>
      <c r="D4590">
        <f>HYPERLINK("https://www.youtube.com/watch?v=yuu6o4AQwNI&amp;t=441s", "Go to time")</f>
        <v/>
      </c>
    </row>
    <row r="4591">
      <c r="A4591">
        <f>HYPERLINK("https://www.youtube.com/watch?v=lyu7v7nWzfo", "Video")</f>
        <v/>
      </c>
      <c r="B4591" t="inlineStr">
        <is>
          <t>4:40</t>
        </is>
      </c>
      <c r="C4591" t="inlineStr">
        <is>
          <t>which are only indirectly related
to things in the world,</t>
        </is>
      </c>
      <c r="D4591">
        <f>HYPERLINK("https://www.youtube.com/watch?v=lyu7v7nWzfo&amp;t=280s", "Go to time")</f>
        <v/>
      </c>
    </row>
    <row r="4592">
      <c r="A4592">
        <f>HYPERLINK("https://www.youtube.com/watch?v=lyu7v7nWzfo", "Video")</f>
        <v/>
      </c>
      <c r="B4592" t="inlineStr">
        <is>
          <t>7:21</t>
        </is>
      </c>
      <c r="C4592" t="inlineStr">
        <is>
          <t>on perceptual predictions
flowing in the opposite direction.</t>
        </is>
      </c>
      <c r="D4592">
        <f>HYPERLINK("https://www.youtube.com/watch?v=lyu7v7nWzfo&amp;t=441s", "Go to time")</f>
        <v/>
      </c>
    </row>
    <row r="4593">
      <c r="A4593">
        <f>HYPERLINK("https://www.youtube.com/watch?v=o4Nno6POrwE", "Video")</f>
        <v/>
      </c>
      <c r="B4593" t="inlineStr">
        <is>
          <t>8:14</t>
        </is>
      </c>
      <c r="C4593" t="inlineStr">
        <is>
          <t>that when others choose to read our texts
as directives for hate and vengeance,</t>
        </is>
      </c>
      <c r="D4593">
        <f>HYPERLINK("https://www.youtube.com/watch?v=o4Nno6POrwE&amp;t=494s", "Go to time")</f>
        <v/>
      </c>
    </row>
    <row r="4594">
      <c r="A4594">
        <f>HYPERLINK("https://www.youtube.com/watch?v=o4Nno6POrwE", "Video")</f>
        <v/>
      </c>
      <c r="B4594" t="inlineStr">
        <is>
          <t>8:21</t>
        </is>
      </c>
      <c r="C4594" t="inlineStr">
        <is>
          <t>as directives for love
and for forgiveness.</t>
        </is>
      </c>
      <c r="D4594">
        <f>HYPERLINK("https://www.youtube.com/watch?v=o4Nno6POrwE&amp;t=501s", "Go to time")</f>
        <v/>
      </c>
    </row>
    <row r="4595">
      <c r="A4595">
        <f>HYPERLINK("https://www.youtube.com/watch?v=mnRlB3G9fDU", "Video")</f>
        <v/>
      </c>
      <c r="B4595" t="inlineStr">
        <is>
          <t>4:08</t>
        </is>
      </c>
      <c r="C4595" t="inlineStr">
        <is>
          <t>There's a sales director, who manages
all of the customer interactions,</t>
        </is>
      </c>
      <c r="D4595">
        <f>HYPERLINK("https://www.youtube.com/watch?v=mnRlB3G9fDU&amp;t=248s", "Go to time")</f>
        <v/>
      </c>
    </row>
    <row r="4596">
      <c r="A4596">
        <f>HYPERLINK("https://www.youtube.com/watch?v=mnRlB3G9fDU", "Video")</f>
        <v/>
      </c>
      <c r="B4596" t="inlineStr">
        <is>
          <t>4:12</t>
        </is>
      </c>
      <c r="C4596" t="inlineStr">
        <is>
          <t>and there's an operations director,
who manages all the internal activities.</t>
        </is>
      </c>
      <c r="D4596">
        <f>HYPERLINK("https://www.youtube.com/watch?v=mnRlB3G9fDU&amp;t=252s", "Go to time")</f>
        <v/>
      </c>
    </row>
    <row r="4597">
      <c r="A4597">
        <f>HYPERLINK("https://www.youtube.com/watch?v=mnRlB3G9fDU", "Video")</f>
        <v/>
      </c>
      <c r="B4597" t="inlineStr">
        <is>
          <t>4:16</t>
        </is>
      </c>
      <c r="C4597" t="inlineStr">
        <is>
          <t>And here's the people who report
to the sales and operations directors.</t>
        </is>
      </c>
      <c r="D4597">
        <f>HYPERLINK("https://www.youtube.com/watch?v=mnRlB3G9fDU&amp;t=256s", "Go to time")</f>
        <v/>
      </c>
    </row>
    <row r="4598">
      <c r="A4598">
        <f>HYPERLINK("https://www.youtube.com/watch?v=mnRlB3G9fDU", "Video")</f>
        <v/>
      </c>
      <c r="B4598" t="inlineStr">
        <is>
          <t>4:49</t>
        </is>
      </c>
      <c r="C4598" t="inlineStr">
        <is>
          <t>the finance director with
the accounting platform would be one.</t>
        </is>
      </c>
      <c r="D4598">
        <f>HYPERLINK("https://www.youtube.com/watch?v=mnRlB3G9fDU&amp;t=289s", "Go to time")</f>
        <v/>
      </c>
    </row>
    <row r="4599">
      <c r="A4599">
        <f>HYPERLINK("https://www.youtube.com/watch?v=mnRlB3G9fDU", "Video")</f>
        <v/>
      </c>
      <c r="B4599" t="inlineStr">
        <is>
          <t>5:10</t>
        </is>
      </c>
      <c r="C4599" t="inlineStr">
        <is>
          <t>the finance director would feel
responsible for managing it</t>
        </is>
      </c>
      <c r="D4599">
        <f>HYPERLINK("https://www.youtube.com/watch?v=mnRlB3G9fDU&amp;t=310s", "Go to time")</f>
        <v/>
      </c>
    </row>
    <row r="4600">
      <c r="A4600">
        <f>HYPERLINK("https://www.youtube.com/watch?v=mnRlB3G9fDU", "Video")</f>
        <v/>
      </c>
      <c r="B4600" t="inlineStr">
        <is>
          <t>5:30</t>
        </is>
      </c>
      <c r="C4600" t="inlineStr">
        <is>
          <t>where the finance director
would literally give feedback</t>
        </is>
      </c>
      <c r="D4600">
        <f>HYPERLINK("https://www.youtube.com/watch?v=mnRlB3G9fDU&amp;t=330s", "Go to time")</f>
        <v/>
      </c>
    </row>
    <row r="4601">
      <c r="A4601">
        <f>HYPERLINK("https://www.youtube.com/watch?v=mnRlB3G9fDU", "Video")</f>
        <v/>
      </c>
      <c r="B4601" t="inlineStr">
        <is>
          <t>6:00</t>
        </is>
      </c>
      <c r="C4601" t="inlineStr">
        <is>
          <t>At Bovingdons, the operations director
was interacting with five technologies.</t>
        </is>
      </c>
      <c r="D4601">
        <f>HYPERLINK("https://www.youtube.com/watch?v=mnRlB3G9fDU&amp;t=360s", "Go to time")</f>
        <v/>
      </c>
    </row>
    <row r="4602">
      <c r="A4602">
        <f>HYPERLINK("https://www.youtube.com/watch?v=mnRlB3G9fDU", "Video")</f>
        <v/>
      </c>
      <c r="B4602" t="inlineStr">
        <is>
          <t>6:16</t>
        </is>
      </c>
      <c r="C4602" t="inlineStr">
        <is>
          <t>if the operations director had actually
had a lot of people reporting to him,</t>
        </is>
      </c>
      <c r="D4602">
        <f>HYPERLINK("https://www.youtube.com/watch?v=mnRlB3G9fDU&amp;t=376s", "Go to time")</f>
        <v/>
      </c>
    </row>
    <row r="4603">
      <c r="A4603">
        <f>HYPERLINK("https://www.youtube.com/watch?v=x92AnU6MUr0", "Video")</f>
        <v/>
      </c>
      <c r="B4603" t="inlineStr">
        <is>
          <t>3:00</t>
        </is>
      </c>
      <c r="C4603" t="inlineStr">
        <is>
          <t>And when they launched
as a direct-to-consumer,</t>
        </is>
      </c>
      <c r="D4603">
        <f>HYPERLINK("https://www.youtube.com/watch?v=x92AnU6MUr0&amp;t=180s", "Go to time")</f>
        <v/>
      </c>
    </row>
    <row r="4604">
      <c r="A4604">
        <f>HYPERLINK("https://www.youtube.com/watch?v=x92AnU6MUr0", "Video")</f>
        <v/>
      </c>
      <c r="B4604" t="inlineStr">
        <is>
          <t>3:50</t>
        </is>
      </c>
      <c r="C4604" t="inlineStr">
        <is>
          <t>After all, direct-to-consumer,
it's a channel, not a business.</t>
        </is>
      </c>
      <c r="D4604">
        <f>HYPERLINK("https://www.youtube.com/watch?v=x92AnU6MUr0&amp;t=230s", "Go to time")</f>
        <v/>
      </c>
    </row>
    <row r="4605">
      <c r="A4605">
        <f>HYPERLINK("https://www.youtube.com/watch?v=zjrFw3MASGc", "Video")</f>
        <v/>
      </c>
      <c r="B4605" t="inlineStr">
        <is>
          <t>8:13</t>
        </is>
      </c>
      <c r="C4605" t="inlineStr">
        <is>
          <t>where the actions on one side
had a direct consequence</t>
        </is>
      </c>
      <c r="D4605">
        <f>HYPERLINK("https://www.youtube.com/watch?v=zjrFw3MASGc&amp;t=493s", "Go to time")</f>
        <v/>
      </c>
    </row>
    <row r="4606">
      <c r="A4606">
        <f>HYPERLINK("https://www.youtube.com/watch?v=zjrFw3MASGc", "Video")</f>
        <v/>
      </c>
      <c r="B4606" t="inlineStr">
        <is>
          <t>9:43</t>
        </is>
      </c>
      <c r="C4606" t="inlineStr">
        <is>
          <t>And here, the wall cuts directly
through the kitchen table.</t>
        </is>
      </c>
      <c r="D4606">
        <f>HYPERLINK("https://www.youtube.com/watch?v=zjrFw3MASGc&amp;t=583s", "Go to time")</f>
        <v/>
      </c>
    </row>
    <row r="4607">
      <c r="A4607">
        <f>HYPERLINK("https://www.youtube.com/watch?v=7a5NyUITbyk", "Video")</f>
        <v/>
      </c>
      <c r="B4607" t="inlineStr">
        <is>
          <t>8:58</t>
        </is>
      </c>
      <c r="C4607" t="inlineStr">
        <is>
          <t>even though the sun
was shining directly on it.</t>
        </is>
      </c>
      <c r="D4607">
        <f>HYPERLINK("https://www.youtube.com/watch?v=7a5NyUITbyk&amp;t=538s", "Go to time")</f>
        <v/>
      </c>
    </row>
    <row r="4608">
      <c r="A4608">
        <f>HYPERLINK("https://www.youtube.com/watch?v=7a5NyUITbyk", "Video")</f>
        <v/>
      </c>
      <c r="B4608" t="inlineStr">
        <is>
          <t>9:23</t>
        </is>
      </c>
      <c r="C4608" t="inlineStr">
        <is>
          <t>Well, we believe the most direct way
to save energy with this technology</t>
        </is>
      </c>
      <c r="D4608">
        <f>HYPERLINK("https://www.youtube.com/watch?v=7a5NyUITbyk&amp;t=563s", "Go to time")</f>
        <v/>
      </c>
    </row>
    <row r="4609">
      <c r="A4609">
        <f>HYPERLINK("https://www.youtube.com/watch?v=7a5NyUITbyk", "Video")</f>
        <v/>
      </c>
      <c r="B4609" t="inlineStr">
        <is>
          <t>11:55</t>
        </is>
      </c>
      <c r="C4609" t="inlineStr">
        <is>
          <t>Perhaps we could even directly
generate power with this cold.</t>
        </is>
      </c>
      <c r="D4609">
        <f>HYPERLINK("https://www.youtube.com/watch?v=7a5NyUITbyk&amp;t=715s", "Go to time")</f>
        <v/>
      </c>
    </row>
    <row r="4610">
      <c r="A4610">
        <f>HYPERLINK("https://www.youtube.com/watch?v=es4w3WUcrN0", "Video")</f>
        <v/>
      </c>
      <c r="B4610" t="inlineStr">
        <is>
          <t>0:37</t>
        </is>
      </c>
      <c r="C4610" t="inlineStr">
        <is>
          <t>our camp director would say,</t>
        </is>
      </c>
      <c r="D4610">
        <f>HYPERLINK("https://www.youtube.com/watch?v=es4w3WUcrN0&amp;t=37s", "Go to time")</f>
        <v/>
      </c>
    </row>
    <row r="4611">
      <c r="A4611">
        <f>HYPERLINK("https://www.youtube.com/watch?v=7LPJrzZaoZg", "Video")</f>
        <v/>
      </c>
      <c r="B4611" t="inlineStr">
        <is>
          <t>6:21</t>
        </is>
      </c>
      <c r="C4611" t="inlineStr">
        <is>
          <t>are all a direct result
of me playing with your garbage.</t>
        </is>
      </c>
      <c r="D4611">
        <f>HYPERLINK("https://www.youtube.com/watch?v=7LPJrzZaoZg&amp;t=381s", "Go to time")</f>
        <v/>
      </c>
    </row>
    <row r="4612">
      <c r="A4612">
        <f>HYPERLINK("https://www.youtube.com/watch?v=PlytMrKfOFA", "Video")</f>
        <v/>
      </c>
      <c r="B4612" t="inlineStr">
        <is>
          <t>5:28</t>
        </is>
      </c>
      <c r="C4612" t="inlineStr">
        <is>
          <t>And if you can shape and direct
those X-rays where you want them to go,</t>
        </is>
      </c>
      <c r="D4612">
        <f>HYPERLINK("https://www.youtube.com/watch?v=PlytMrKfOFA&amp;t=328s", "Go to time")</f>
        <v/>
      </c>
    </row>
    <row r="4613">
      <c r="A4613">
        <f>HYPERLINK("https://www.youtube.com/watch?v=PlytMrKfOFA", "Video")</f>
        <v/>
      </c>
      <c r="B4613" t="inlineStr">
        <is>
          <t>7:27</t>
        </is>
      </c>
      <c r="C4613" t="inlineStr">
        <is>
          <t>that take two beams of particles
in opposite directions,</t>
        </is>
      </c>
      <c r="D4613">
        <f>HYPERLINK("https://www.youtube.com/watch?v=PlytMrKfOFA&amp;t=447s", "Go to time")</f>
        <v/>
      </c>
    </row>
    <row r="4614">
      <c r="A4614">
        <f>HYPERLINK("https://www.youtube.com/watch?v=iu9u5yzUlb0", "Video")</f>
        <v/>
      </c>
      <c r="B4614" t="inlineStr">
        <is>
          <t>10:21</t>
        </is>
      </c>
      <c r="C4614" t="inlineStr">
        <is>
          <t>of Jane and her direct reports,</t>
        </is>
      </c>
      <c r="D4614">
        <f>HYPERLINK("https://www.youtube.com/watch?v=iu9u5yzUlb0&amp;t=621s", "Go to time")</f>
        <v/>
      </c>
    </row>
    <row r="4615">
      <c r="A4615">
        <f>HYPERLINK("https://www.youtube.com/watch?v=_mq-HqRnngc", "Video")</f>
        <v/>
      </c>
      <c r="B4615" t="inlineStr">
        <is>
          <t>3:22</t>
        </is>
      </c>
      <c r="C4615" t="inlineStr">
        <is>
          <t>Lisa O'Connell, a dramaturge
and director of a playwright center,</t>
        </is>
      </c>
      <c r="D4615">
        <f>HYPERLINK("https://www.youtube.com/watch?v=_mq-HqRnngc&amp;t=202s", "Go to time")</f>
        <v/>
      </c>
    </row>
    <row r="4616">
      <c r="A4616">
        <f>HYPERLINK("https://www.youtube.com/watch?v=AA4N5ZFefqs", "Video")</f>
        <v/>
      </c>
      <c r="B4616" t="inlineStr">
        <is>
          <t>8:20</t>
        </is>
      </c>
      <c r="C4616" t="inlineStr">
        <is>
          <t>Objective: effort aimed in a direction.</t>
        </is>
      </c>
      <c r="D4616">
        <f>HYPERLINK("https://www.youtube.com/watch?v=AA4N5ZFefqs&amp;t=500s", "Go to time")</f>
        <v/>
      </c>
    </row>
    <row r="4617">
      <c r="A4617">
        <f>HYPERLINK("https://www.youtube.com/watch?v=SK3z5H_Rfr0", "Video")</f>
        <v/>
      </c>
      <c r="B4617" t="inlineStr">
        <is>
          <t>2:14</t>
        </is>
      </c>
      <c r="C4617" t="inlineStr">
        <is>
          <t>first, we need to understand
the scope and direction</t>
        </is>
      </c>
      <c r="D4617">
        <f>HYPERLINK("https://www.youtube.com/watch?v=SK3z5H_Rfr0&amp;t=134s", "Go to time")</f>
        <v/>
      </c>
    </row>
    <row r="4618">
      <c r="A4618">
        <f>HYPERLINK("https://www.youtube.com/watch?v=XjK61Kkx1zI", "Video")</f>
        <v/>
      </c>
      <c r="B4618" t="inlineStr">
        <is>
          <t>6:54</t>
        </is>
      </c>
      <c r="C4618" t="inlineStr">
        <is>
          <t>First, let me share some good news
from that dire IPCC report.</t>
        </is>
      </c>
      <c r="D4618">
        <f>HYPERLINK("https://www.youtube.com/watch?v=XjK61Kkx1zI&amp;t=414s", "Go to time")</f>
        <v/>
      </c>
    </row>
    <row r="4619">
      <c r="A4619">
        <f>HYPERLINK("https://www.youtube.com/watch?v=PX61e3sAj5k", "Video")</f>
        <v/>
      </c>
      <c r="B4619" t="inlineStr">
        <is>
          <t>1:10</t>
        </is>
      </c>
      <c r="C4619" t="inlineStr">
        <is>
          <t>and sometimes it comes from directions
that you didn't even imagine.</t>
        </is>
      </c>
      <c r="D4619">
        <f>HYPERLINK("https://www.youtube.com/watch?v=PX61e3sAj5k&amp;t=70s", "Go to time")</f>
        <v/>
      </c>
    </row>
    <row r="4620">
      <c r="A4620">
        <f>HYPERLINK("https://www.youtube.com/watch?v=m9jnEfTscYI", "Video")</f>
        <v/>
      </c>
      <c r="B4620" t="inlineStr">
        <is>
          <t>3:15</t>
        </is>
      </c>
      <c r="C4620" t="inlineStr">
        <is>
          <t>with the prosthesis connecting directly
into the amputee's bone for stability,</t>
        </is>
      </c>
      <c r="D4620">
        <f>HYPERLINK("https://www.youtube.com/watch?v=m9jnEfTscYI&amp;t=195s", "Go to time")</f>
        <v/>
      </c>
    </row>
    <row r="4621">
      <c r="A4621">
        <f>HYPERLINK("https://www.youtube.com/watch?v=nAHvKC_k5VE", "Video")</f>
        <v/>
      </c>
      <c r="B4621" t="inlineStr">
        <is>
          <t>1:43</t>
        </is>
      </c>
      <c r="C4621" t="inlineStr">
        <is>
          <t>when I was appointed as festival director
in the tiny British city of Salisbury.</t>
        </is>
      </c>
      <c r="D4621">
        <f>HYPERLINK("https://www.youtube.com/watch?v=nAHvKC_k5VE&amp;t=103s", "Go to time")</f>
        <v/>
      </c>
    </row>
    <row r="4622">
      <c r="A4622">
        <f>HYPERLINK("https://www.youtube.com/watch?v=PYjWLqE_cfE", "Video")</f>
        <v/>
      </c>
      <c r="B4622" t="inlineStr">
        <is>
          <t>6:45</t>
        </is>
      </c>
      <c r="C4622" t="inlineStr">
        <is>
          <t>is when people can directly, tangibly
and emotionally experience</t>
        </is>
      </c>
      <c r="D4622">
        <f>HYPERLINK("https://www.youtube.com/watch?v=PYjWLqE_cfE&amp;t=405s", "Go to time")</f>
        <v/>
      </c>
    </row>
    <row r="4623">
      <c r="A4623">
        <f>HYPERLINK("https://www.youtube.com/watch?v=PYjWLqE_cfE", "Video")</f>
        <v/>
      </c>
      <c r="B4623" t="inlineStr">
        <is>
          <t>14:18</t>
        </is>
      </c>
      <c r="C4623" t="inlineStr">
        <is>
          <t>It means we have the chance
to change direction,</t>
        </is>
      </c>
      <c r="D4623">
        <f>HYPERLINK("https://www.youtube.com/watch?v=PYjWLqE_cfE&amp;t=858s", "Go to time")</f>
        <v/>
      </c>
    </row>
    <row r="4624">
      <c r="A4624">
        <f>HYPERLINK("https://www.youtube.com/watch?v=BcgDvEdGEXg", "Video")</f>
        <v/>
      </c>
      <c r="B4624" t="inlineStr">
        <is>
          <t>15:26</t>
        </is>
      </c>
      <c r="C4624" t="inlineStr">
        <is>
          <t>so that we can direct them
at what is most needed.</t>
        </is>
      </c>
      <c r="D4624">
        <f>HYPERLINK("https://www.youtube.com/watch?v=BcgDvEdGEXg&amp;t=926s", "Go to time")</f>
        <v/>
      </c>
    </row>
    <row r="4625">
      <c r="A4625">
        <f>HYPERLINK("https://www.youtube.com/watch?v=BcgDvEdGEXg", "Video")</f>
        <v/>
      </c>
      <c r="B4625" t="inlineStr">
        <is>
          <t>23:35</t>
        </is>
      </c>
      <c r="C4625" t="inlineStr">
        <is>
          <t>we were in a pretty dire state
in terms of our future,</t>
        </is>
      </c>
      <c r="D4625">
        <f>HYPERLINK("https://www.youtube.com/watch?v=BcgDvEdGEXg&amp;t=1415s", "Go to time")</f>
        <v/>
      </c>
    </row>
    <row r="4626">
      <c r="A4626">
        <f>HYPERLINK("https://www.youtube.com/watch?v=BcgDvEdGEXg", "Video")</f>
        <v/>
      </c>
      <c r="B4626" t="inlineStr">
        <is>
          <t>25:09</t>
        </is>
      </c>
      <c r="C4626" t="inlineStr">
        <is>
          <t>I'm proud of our direction.</t>
        </is>
      </c>
      <c r="D4626">
        <f>HYPERLINK("https://www.youtube.com/watch?v=BcgDvEdGEXg&amp;t=1509s", "Go to time")</f>
        <v/>
      </c>
    </row>
    <row r="4627">
      <c r="A4627">
        <f>HYPERLINK("https://www.youtube.com/watch?v=O4F40SsEFyY", "Video")</f>
        <v/>
      </c>
      <c r="B4627" t="inlineStr">
        <is>
          <t>12:33</t>
        </is>
      </c>
      <c r="C4627" t="inlineStr">
        <is>
          <t>they're no longer limited to the geography
directly around their farm</t>
        </is>
      </c>
      <c r="D4627">
        <f>HYPERLINK("https://www.youtube.com/watch?v=O4F40SsEFyY&amp;t=753s", "Go to time")</f>
        <v/>
      </c>
    </row>
    <row r="4628">
      <c r="A4628">
        <f>HYPERLINK("https://www.youtube.com/watch?v=O4F40SsEFyY", "Video")</f>
        <v/>
      </c>
      <c r="B4628" t="inlineStr">
        <is>
          <t>13:43</t>
        </is>
      </c>
      <c r="C4628" t="inlineStr">
        <is>
          <t>bringing all these goodies
directly to your door.</t>
        </is>
      </c>
      <c r="D4628">
        <f>HYPERLINK("https://www.youtube.com/watch?v=O4F40SsEFyY&amp;t=823s", "Go to time")</f>
        <v/>
      </c>
    </row>
    <row r="4629">
      <c r="A4629">
        <f>HYPERLINK("https://www.youtube.com/watch?v=O4F40SsEFyY", "Video")</f>
        <v/>
      </c>
      <c r="B4629" t="inlineStr">
        <is>
          <t>14:38</t>
        </is>
      </c>
      <c r="C4629" t="inlineStr">
        <is>
          <t>and then to drop them
directly at your door,</t>
        </is>
      </c>
      <c r="D4629">
        <f>HYPERLINK("https://www.youtube.com/watch?v=O4F40SsEFyY&amp;t=878s", "Go to time")</f>
        <v/>
      </c>
    </row>
    <row r="4630">
      <c r="A4630">
        <f>HYPERLINK("https://www.youtube.com/watch?v=HDjM5lw8OYo", "Video")</f>
        <v/>
      </c>
      <c r="B4630" t="inlineStr">
        <is>
          <t>0:16</t>
        </is>
      </c>
      <c r="C4630" t="inlineStr">
        <is>
          <t>and hooked up directly to your brain.</t>
        </is>
      </c>
      <c r="D4630">
        <f>HYPERLINK("https://www.youtube.com/watch?v=HDjM5lw8OYo&amp;t=16s", "Go to time")</f>
        <v/>
      </c>
    </row>
    <row r="4631">
      <c r="A4631">
        <f>HYPERLINK("https://www.youtube.com/watch?v=1Rr-pZoftho", "Video")</f>
        <v/>
      </c>
      <c r="B4631" t="inlineStr">
        <is>
          <t>2:39</t>
        </is>
      </c>
      <c r="C4631" t="inlineStr">
        <is>
          <t>These leaves direct bats to their flowers</t>
        </is>
      </c>
      <c r="D4631">
        <f>HYPERLINK("https://www.youtube.com/watch?v=1Rr-pZoftho&amp;t=159s", "Go to time")</f>
        <v/>
      </c>
    </row>
    <row r="4632">
      <c r="A4632">
        <f>HYPERLINK("https://www.youtube.com/watch?v=TppG2Wcl3bY", "Video")</f>
        <v/>
      </c>
      <c r="B4632" t="inlineStr">
        <is>
          <t>4:31</t>
        </is>
      </c>
      <c r="C4632" t="inlineStr">
        <is>
          <t>At that time, the presidential office,
Los Pinos, had issued a direct censor</t>
        </is>
      </c>
      <c r="D4632">
        <f>HYPERLINK("https://www.youtube.com/watch?v=TppG2Wcl3bY&amp;t=271s", "Go to time")</f>
        <v/>
      </c>
    </row>
    <row r="4633">
      <c r="A4633">
        <f>HYPERLINK("https://www.youtube.com/watch?v=RJEJl6SKM4s", "Video")</f>
        <v/>
      </c>
      <c r="B4633" t="inlineStr">
        <is>
          <t>2:46</t>
        </is>
      </c>
      <c r="C4633" t="inlineStr">
        <is>
          <t>and if you want to direct your resources
to those with the lowest incomes,</t>
        </is>
      </c>
      <c r="D4633">
        <f>HYPERLINK("https://www.youtube.com/watch?v=RJEJl6SKM4s&amp;t=166s", "Go to time")</f>
        <v/>
      </c>
    </row>
    <row r="4634">
      <c r="A4634">
        <f>HYPERLINK("https://www.youtube.com/watch?v=bjhvoNlTn60", "Video")</f>
        <v/>
      </c>
      <c r="B4634" t="inlineStr">
        <is>
          <t>7:42</t>
        </is>
      </c>
      <c r="C4634" t="inlineStr">
        <is>
          <t>That includes directly producing
plastic, flavor, fragrances,</t>
        </is>
      </c>
      <c r="D4634">
        <f>HYPERLINK("https://www.youtube.com/watch?v=bjhvoNlTn60&amp;t=462s", "Go to time")</f>
        <v/>
      </c>
    </row>
    <row r="4635">
      <c r="A4635">
        <f>HYPERLINK("https://www.youtube.com/watch?v=UjGMiChiUFc", "Video")</f>
        <v/>
      </c>
      <c r="B4635" t="inlineStr">
        <is>
          <t>3:47</t>
        </is>
      </c>
      <c r="C4635" t="inlineStr">
        <is>
          <t>and it can be directly
activated by bacteria</t>
        </is>
      </c>
      <c r="D4635">
        <f>HYPERLINK("https://www.youtube.com/watch?v=UjGMiChiUFc&amp;t=227s", "Go to time")</f>
        <v/>
      </c>
    </row>
    <row r="4636">
      <c r="A4636">
        <f>HYPERLINK("https://www.youtube.com/watch?v=UjGMiChiUFc", "Video")</f>
        <v/>
      </c>
      <c r="B4636" t="inlineStr">
        <is>
          <t>4:09</t>
        </is>
      </c>
      <c r="C4636" t="inlineStr">
        <is>
          <t>And there's one other
very important, albeit indirect way</t>
        </is>
      </c>
      <c r="D4636">
        <f>HYPERLINK("https://www.youtube.com/watch?v=UjGMiChiUFc&amp;t=249s", "Go to time")</f>
        <v/>
      </c>
    </row>
    <row r="4637">
      <c r="A4637">
        <f>HYPERLINK("https://www.youtube.com/watch?v=NuhIzO57HVk", "Video")</f>
        <v/>
      </c>
      <c r="B4637" t="inlineStr">
        <is>
          <t>0:18</t>
        </is>
      </c>
      <c r="C4637" t="inlineStr">
        <is>
          <t>It’s an anonymous survey with
your bosses, peers and direct reports,</t>
        </is>
      </c>
      <c r="D4637">
        <f>HYPERLINK("https://www.youtube.com/watch?v=NuhIzO57HVk&amp;t=18s", "Go to time")</f>
        <v/>
      </c>
    </row>
    <row r="4638">
      <c r="A4638">
        <f>HYPERLINK("https://www.youtube.com/watch?v=ItGGGN4jeYE", "Video")</f>
        <v/>
      </c>
      <c r="B4638" t="inlineStr">
        <is>
          <t>9:23</t>
        </is>
      </c>
      <c r="C4638" t="inlineStr">
        <is>
          <t>An able body doesn’t give you
a direct pass to a happy life.</t>
        </is>
      </c>
      <c r="D4638">
        <f>HYPERLINK("https://www.youtube.com/watch?v=ItGGGN4jeYE&amp;t=563s", "Go to time")</f>
        <v/>
      </c>
    </row>
    <row r="4639">
      <c r="A4639">
        <f>HYPERLINK("https://www.youtube.com/watch?v=5aeEJotxI-U", "Video")</f>
        <v/>
      </c>
      <c r="B4639" t="inlineStr">
        <is>
          <t>9:52</t>
        </is>
      </c>
      <c r="C4639" t="inlineStr">
        <is>
          <t>have already taken on the responsibility
to act in this direction.</t>
        </is>
      </c>
      <c r="D4639">
        <f>HYPERLINK("https://www.youtube.com/watch?v=5aeEJotxI-U&amp;t=592s", "Go to time")</f>
        <v/>
      </c>
    </row>
    <row r="4640">
      <c r="A4640">
        <f>HYPERLINK("https://www.youtube.com/watch?v=5aeEJotxI-U", "Video")</f>
        <v/>
      </c>
      <c r="B4640" t="inlineStr">
        <is>
          <t>11:31</t>
        </is>
      </c>
      <c r="C4640" t="inlineStr">
        <is>
          <t>the production of wealth is directed
to the integral well-being of</t>
        </is>
      </c>
      <c r="D4640">
        <f>HYPERLINK("https://www.youtube.com/watch?v=5aeEJotxI-U&amp;t=691s", "Go to time")</f>
        <v/>
      </c>
    </row>
    <row r="4641">
      <c r="A4641">
        <f>HYPERLINK("https://www.youtube.com/watch?v=VRAlpK8IGLE", "Video")</f>
        <v/>
      </c>
      <c r="B4641" t="inlineStr">
        <is>
          <t>3:44</t>
        </is>
      </c>
      <c r="C4641" t="inlineStr">
        <is>
          <t>US department store Neiman Marcus
was in pretty dire straits.</t>
        </is>
      </c>
      <c r="D4641">
        <f>HYPERLINK("https://www.youtube.com/watch?v=VRAlpK8IGLE&amp;t=224s", "Go to time")</f>
        <v/>
      </c>
    </row>
    <row r="4642">
      <c r="A4642">
        <f>HYPERLINK("https://www.youtube.com/watch?v=MjpO66YdP2s", "Video")</f>
        <v/>
      </c>
      <c r="B4642" t="inlineStr">
        <is>
          <t>15:32</t>
        </is>
      </c>
      <c r="C4642" t="inlineStr">
        <is>
          <t>And he was codirector
with the president of MIT.</t>
        </is>
      </c>
      <c r="D4642">
        <f>HYPERLINK("https://www.youtube.com/watch?v=MjpO66YdP2s&amp;t=932s", "Go to time")</f>
        <v/>
      </c>
    </row>
    <row r="4643">
      <c r="A4643">
        <f>HYPERLINK("https://www.youtube.com/watch?v=MjpO66YdP2s", "Video")</f>
        <v/>
      </c>
      <c r="B4643" t="inlineStr">
        <is>
          <t>46:05</t>
        </is>
      </c>
      <c r="C4643" t="inlineStr">
        <is>
          <t>There's a number of conferences
that I think were directly affected</t>
        </is>
      </c>
      <c r="D4643">
        <f>HYPERLINK("https://www.youtube.com/watch?v=MjpO66YdP2s&amp;t=2765s", "Go to time")</f>
        <v/>
      </c>
    </row>
    <row r="4644">
      <c r="A4644">
        <f>HYPERLINK("https://www.youtube.com/watch?v=51k3UASQE5E", "Video")</f>
        <v/>
      </c>
      <c r="B4644" t="inlineStr">
        <is>
          <t>4:56</t>
        </is>
      </c>
      <c r="C4644" t="inlineStr">
        <is>
          <t>And so what she tried to do
was go to her direct supervisor.</t>
        </is>
      </c>
      <c r="D4644">
        <f>HYPERLINK("https://www.youtube.com/watch?v=51k3UASQE5E&amp;t=296s", "Go to time")</f>
        <v/>
      </c>
    </row>
    <row r="4645">
      <c r="A4645">
        <f>HYPERLINK("https://www.youtube.com/watch?v=51k3UASQE5E", "Video")</f>
        <v/>
      </c>
      <c r="B4645" t="inlineStr">
        <is>
          <t>7:00</t>
        </is>
      </c>
      <c r="C4645" t="inlineStr">
        <is>
          <t>So Kathe looked at the information,
she reported it to her direct supervisor,</t>
        </is>
      </c>
      <c r="D4645">
        <f>HYPERLINK("https://www.youtube.com/watch?v=51k3UASQE5E&amp;t=420s", "Go to time")</f>
        <v/>
      </c>
    </row>
    <row r="4646">
      <c r="A4646">
        <f>HYPERLINK("https://www.youtube.com/watch?v=L7vXZ1BnTBI", "Video")</f>
        <v/>
      </c>
      <c r="B4646" t="inlineStr">
        <is>
          <t>0:09</t>
        </is>
      </c>
      <c r="C4646" t="inlineStr">
        <is>
          <t>Director: TED, Best Buy,
Tim Dunn, take one.</t>
        </is>
      </c>
      <c r="D4646">
        <f>HYPERLINK("https://www.youtube.com/watch?v=L7vXZ1BnTBI&amp;t=9s", "Go to time")</f>
        <v/>
      </c>
    </row>
    <row r="4647">
      <c r="A4647">
        <f>HYPERLINK("https://www.youtube.com/watch?v=NDQ1Mi5I4rg", "Video")</f>
        <v/>
      </c>
      <c r="B4647" t="inlineStr">
        <is>
          <t>12:31</t>
        </is>
      </c>
      <c r="C4647" t="inlineStr">
        <is>
          <t>to shape your life in that direction.</t>
        </is>
      </c>
      <c r="D4647">
        <f>HYPERLINK("https://www.youtube.com/watch?v=NDQ1Mi5I4rg&amp;t=751s", "Go to time")</f>
        <v/>
      </c>
    </row>
    <row r="4648">
      <c r="A4648">
        <f>HYPERLINK("https://www.youtube.com/watch?v=NDQ1Mi5I4rg", "Video")</f>
        <v/>
      </c>
      <c r="B4648" t="inlineStr">
        <is>
          <t>12:43</t>
        </is>
      </c>
      <c r="C4648" t="inlineStr">
        <is>
          <t>Emotions are data,
they are not directives.</t>
        </is>
      </c>
      <c r="D4648">
        <f>HYPERLINK("https://www.youtube.com/watch?v=NDQ1Mi5I4rg&amp;t=763s", "Go to time")</f>
        <v/>
      </c>
    </row>
    <row r="4649">
      <c r="A4649">
        <f>HYPERLINK("https://www.youtube.com/watch?v=6UeaxsubJ70", "Video")</f>
        <v/>
      </c>
      <c r="B4649" t="inlineStr">
        <is>
          <t>2:57</t>
        </is>
      </c>
      <c r="C4649" t="inlineStr">
        <is>
          <t>And it can help direct our behavior.</t>
        </is>
      </c>
      <c r="D4649">
        <f>HYPERLINK("https://www.youtube.com/watch?v=6UeaxsubJ70&amp;t=177s", "Go to time")</f>
        <v/>
      </c>
    </row>
    <row r="4650">
      <c r="A4650">
        <f>HYPERLINK("https://www.youtube.com/watch?v=rWTwcySGvrE", "Video")</f>
        <v/>
      </c>
      <c r="B4650" t="inlineStr">
        <is>
          <t>7:09</t>
        </is>
      </c>
      <c r="C4650" t="inlineStr">
        <is>
          <t>to help creators establish
direct financial relationships</t>
        </is>
      </c>
      <c r="D4650">
        <f>HYPERLINK("https://www.youtube.com/watch?v=rWTwcySGvrE&amp;t=429s", "Go to time")</f>
        <v/>
      </c>
    </row>
    <row r="4651">
      <c r="A4651">
        <f>HYPERLINK("https://www.youtube.com/watch?v=rWTwcySGvrE", "Video")</f>
        <v/>
      </c>
      <c r="B4651" t="inlineStr">
        <is>
          <t>8:07</t>
        </is>
      </c>
      <c r="C4651" t="inlineStr">
        <is>
          <t>for creators to directly own
their relationship with their subscribers.</t>
        </is>
      </c>
      <c r="D4651">
        <f>HYPERLINK("https://www.youtube.com/watch?v=rWTwcySGvrE&amp;t=487s", "Go to time")</f>
        <v/>
      </c>
    </row>
    <row r="4652">
      <c r="A4652">
        <f>HYPERLINK("https://www.youtube.com/watch?v=rWTwcySGvrE", "Video")</f>
        <v/>
      </c>
      <c r="B4652" t="inlineStr">
        <is>
          <t>11:41</t>
        </is>
      </c>
      <c r="C4652" t="inlineStr">
        <is>
          <t>who are directly invested in her success.</t>
        </is>
      </c>
      <c r="D4652">
        <f>HYPERLINK("https://www.youtube.com/watch?v=rWTwcySGvrE&amp;t=701s", "Go to time")</f>
        <v/>
      </c>
    </row>
    <row r="4653">
      <c r="A4653">
        <f>HYPERLINK("https://www.youtube.com/watch?v=iU1bhHeCkoU", "Video")</f>
        <v/>
      </c>
      <c r="B4653" t="inlineStr">
        <is>
          <t>7:19</t>
        </is>
      </c>
      <c r="C4653" t="inlineStr">
        <is>
          <t>that direct us into all these particular
channels of information,</t>
        </is>
      </c>
      <c r="D4653">
        <f>HYPERLINK("https://www.youtube.com/watch?v=iU1bhHeCkoU&amp;t=439s", "Go to time")</f>
        <v/>
      </c>
    </row>
    <row r="4654">
      <c r="A4654">
        <f>HYPERLINK("https://www.youtube.com/watch?v=hMutHPLkUYM", "Video")</f>
        <v/>
      </c>
      <c r="B4654" t="inlineStr">
        <is>
          <t>3:54</t>
        </is>
      </c>
      <c r="C4654" t="inlineStr">
        <is>
          <t>even they still recoiled
at direct attacks on him,</t>
        </is>
      </c>
      <c r="D4654">
        <f>HYPERLINK("https://www.youtube.com/watch?v=hMutHPLkUYM&amp;t=234s", "Go to time")</f>
        <v/>
      </c>
    </row>
    <row r="4655">
      <c r="A4655">
        <f>HYPERLINK("https://www.youtube.com/watch?v=yjYrxcGSWX4", "Video")</f>
        <v/>
      </c>
      <c r="B4655" t="inlineStr">
        <is>
          <t>6:52</t>
        </is>
      </c>
      <c r="C4655" t="inlineStr">
        <is>
          <t>and he directed
the original "Westworld" movie.</t>
        </is>
      </c>
      <c r="D4655">
        <f>HYPERLINK("https://www.youtube.com/watch?v=yjYrxcGSWX4&amp;t=412s", "Go to time")</f>
        <v/>
      </c>
    </row>
    <row r="4656">
      <c r="A4656">
        <f>HYPERLINK("https://www.youtube.com/watch?v=rwigf0C6zxM", "Video")</f>
        <v/>
      </c>
      <c r="B4656" t="inlineStr">
        <is>
          <t>0:58</t>
        </is>
      </c>
      <c r="C4656" t="inlineStr">
        <is>
          <t>on their body and indirectly.</t>
        </is>
      </c>
      <c r="D4656">
        <f>HYPERLINK("https://www.youtube.com/watch?v=rwigf0C6zxM&amp;t=58s", "Go to time")</f>
        <v/>
      </c>
    </row>
    <row r="4657">
      <c r="A4657">
        <f>HYPERLINK("https://www.youtube.com/watch?v=rwigf0C6zxM", "Video")</f>
        <v/>
      </c>
      <c r="B4657" t="inlineStr">
        <is>
          <t>2:24</t>
        </is>
      </c>
      <c r="C4657" t="inlineStr">
        <is>
          <t>love to eat phytoplankton
directly or indirectly.</t>
        </is>
      </c>
      <c r="D4657">
        <f>HYPERLINK("https://www.youtube.com/watch?v=rwigf0C6zxM&amp;t=144s", "Go to time")</f>
        <v/>
      </c>
    </row>
    <row r="4658">
      <c r="A4658">
        <f>HYPERLINK("https://www.youtube.com/watch?v=rwigf0C6zxM", "Video")</f>
        <v/>
      </c>
      <c r="B4658" t="inlineStr">
        <is>
          <t>5:47</t>
        </is>
      </c>
      <c r="C4658" t="inlineStr">
        <is>
          <t>and indirectly through
the fertilization of phyto.</t>
        </is>
      </c>
      <c r="D4658">
        <f>HYPERLINK("https://www.youtube.com/watch?v=rwigf0C6zxM&amp;t=347s", "Go to time")</f>
        <v/>
      </c>
    </row>
    <row r="4659">
      <c r="A4659">
        <f>HYPERLINK("https://www.youtube.com/watch?v=jATCr-gQvPA", "Video")</f>
        <v/>
      </c>
      <c r="B4659" t="inlineStr">
        <is>
          <t>6:28</t>
        </is>
      </c>
      <c r="C4659" t="inlineStr">
        <is>
          <t>And I knew we were headed
in the right direction.</t>
        </is>
      </c>
      <c r="D4659">
        <f>HYPERLINK("https://www.youtube.com/watch?v=jATCr-gQvPA&amp;t=388s", "Go to time")</f>
        <v/>
      </c>
    </row>
    <row r="4660">
      <c r="A4660">
        <f>HYPERLINK("https://www.youtube.com/watch?v=Eup2J0oAq9Y", "Video")</f>
        <v/>
      </c>
      <c r="B4660" t="inlineStr">
        <is>
          <t>1:54</t>
        </is>
      </c>
      <c r="C4660" t="inlineStr">
        <is>
          <t>and it also enabled you
to kind of create new directions,</t>
        </is>
      </c>
      <c r="D4660">
        <f>HYPERLINK("https://www.youtube.com/watch?v=Eup2J0oAq9Y&amp;t=114s", "Go to time")</f>
        <v/>
      </c>
    </row>
    <row r="4661">
      <c r="A4661">
        <f>HYPERLINK("https://www.youtube.com/watch?v=Eup2J0oAq9Y", "Video")</f>
        <v/>
      </c>
      <c r="B4661" t="inlineStr">
        <is>
          <t>2:19</t>
        </is>
      </c>
      <c r="C4661" t="inlineStr">
        <is>
          <t>Because then you start to understand
which direction is which,</t>
        </is>
      </c>
      <c r="D4661">
        <f>HYPERLINK("https://www.youtube.com/watch?v=Eup2J0oAq9Y&amp;t=139s", "Go to time")</f>
        <v/>
      </c>
    </row>
    <row r="4662">
      <c r="A4662">
        <f>HYPERLINK("https://www.youtube.com/watch?v=Qao76IPXW-E", "Video")</f>
        <v/>
      </c>
      <c r="B4662" t="inlineStr">
        <is>
          <t>11:18</t>
        </is>
      </c>
      <c r="C4662" t="inlineStr">
        <is>
          <t>there was very little funding
that went directly to women's hands</t>
        </is>
      </c>
      <c r="D4662">
        <f>HYPERLINK("https://www.youtube.com/watch?v=Qao76IPXW-E&amp;t=678s", "Go to time")</f>
        <v/>
      </c>
    </row>
    <row r="4663">
      <c r="A4663">
        <f>HYPERLINK("https://www.youtube.com/watch?v=OWiiA9hXbY8", "Video")</f>
        <v/>
      </c>
      <c r="B4663" t="inlineStr">
        <is>
          <t>8:37</t>
        </is>
      </c>
      <c r="C4663" t="inlineStr">
        <is>
          <t>to have all these teams
running in different directions,</t>
        </is>
      </c>
      <c r="D4663">
        <f>HYPERLINK("https://www.youtube.com/watch?v=OWiiA9hXbY8&amp;t=517s", "Go to time")</f>
        <v/>
      </c>
    </row>
    <row r="4664">
      <c r="A4664">
        <f>HYPERLINK("https://www.youtube.com/watch?v=TSDOXxlT0U0", "Video")</f>
        <v/>
      </c>
      <c r="B4664" t="inlineStr">
        <is>
          <t>3:48</t>
        </is>
      </c>
      <c r="C4664" t="inlineStr">
        <is>
          <t>and it can also point us in a direction,</t>
        </is>
      </c>
      <c r="D4664">
        <f>HYPERLINK("https://www.youtube.com/watch?v=TSDOXxlT0U0&amp;t=228s", "Go to time")</f>
        <v/>
      </c>
    </row>
    <row r="4665">
      <c r="A4665">
        <f>HYPERLINK("https://www.youtube.com/watch?v=k1oPVp63eNk", "Video")</f>
        <v/>
      </c>
      <c r="B4665" t="inlineStr">
        <is>
          <t>2:21</t>
        </is>
      </c>
      <c r="C4665" t="inlineStr">
        <is>
          <t>And the EU is taking steps
in the right direction</t>
        </is>
      </c>
      <c r="D4665">
        <f>HYPERLINK("https://www.youtube.com/watch?v=k1oPVp63eNk&amp;t=141s", "Go to time")</f>
        <v/>
      </c>
    </row>
    <row r="4666">
      <c r="A4666">
        <f>HYPERLINK("https://www.youtube.com/watch?v=VMXdSkW6hns", "Video")</f>
        <v/>
      </c>
      <c r="B4666" t="inlineStr">
        <is>
          <t>5:07</t>
        </is>
      </c>
      <c r="C4666" t="inlineStr">
        <is>
          <t>So I pause, waiting for her directions.</t>
        </is>
      </c>
      <c r="D4666">
        <f>HYPERLINK("https://www.youtube.com/watch?v=VMXdSkW6hns&amp;t=307s", "Go to time")</f>
        <v/>
      </c>
    </row>
    <row r="4667">
      <c r="A4667">
        <f>HYPERLINK("https://www.youtube.com/watch?v=MsKU2BY6yHQ", "Video")</f>
        <v/>
      </c>
      <c r="B4667" t="inlineStr">
        <is>
          <t>8:51</t>
        </is>
      </c>
      <c r="C4667" t="inlineStr">
        <is>
          <t>with two distinct boards
of independent directors.</t>
        </is>
      </c>
      <c r="D4667">
        <f>HYPERLINK("https://www.youtube.com/watch?v=MsKU2BY6yHQ&amp;t=531s", "Go to time")</f>
        <v/>
      </c>
    </row>
    <row r="4668">
      <c r="A4668">
        <f>HYPERLINK("https://www.youtube.com/watch?v=spwXNUFHhAg", "Video")</f>
        <v/>
      </c>
      <c r="B4668" t="inlineStr">
        <is>
          <t>3:40</t>
        </is>
      </c>
      <c r="C4668" t="inlineStr">
        <is>
          <t>directed me to the shoe department,</t>
        </is>
      </c>
      <c r="D4668">
        <f>HYPERLINK("https://www.youtube.com/watch?v=spwXNUFHhAg&amp;t=220s", "Go to time")</f>
        <v/>
      </c>
    </row>
    <row r="4669">
      <c r="A4669">
        <f>HYPERLINK("https://www.youtube.com/watch?v=CyElHdaqkjo", "Video")</f>
        <v/>
      </c>
      <c r="B4669" t="inlineStr">
        <is>
          <t>6:06</t>
        </is>
      </c>
      <c r="C4669" t="inlineStr">
        <is>
          <t>our overprotection
and overdirection and hand-holding,</t>
        </is>
      </c>
      <c r="D4669">
        <f>HYPERLINK("https://www.youtube.com/watch?v=CyElHdaqkjo&amp;t=366s", "Go to time")</f>
        <v/>
      </c>
    </row>
    <row r="4670">
      <c r="A4670">
        <f>HYPERLINK("https://www.youtube.com/watch?v=o_XVt5rdpFY", "Video")</f>
        <v/>
      </c>
      <c r="B4670" t="inlineStr">
        <is>
          <t>3:51</t>
        </is>
      </c>
      <c r="C4670" t="inlineStr">
        <is>
          <t>asking about the directions
to the train station. Right?</t>
        </is>
      </c>
      <c r="D4670">
        <f>HYPERLINK("https://www.youtube.com/watch?v=o_XVt5rdpFY&amp;t=231s", "Go to time")</f>
        <v/>
      </c>
    </row>
    <row r="4671">
      <c r="A4671">
        <f>HYPERLINK("https://www.youtube.com/watch?v=xb0nLpdWttA", "Video")</f>
        <v/>
      </c>
      <c r="B4671" t="inlineStr">
        <is>
          <t>0:13</t>
        </is>
      </c>
      <c r="C4671" t="inlineStr">
        <is>
          <t>I’m the director of the 
Emotion and Self Control Lab</t>
        </is>
      </c>
      <c r="D4671">
        <f>HYPERLINK("https://www.youtube.com/watch?v=xb0nLpdWttA&amp;t=13s", "Go to time")</f>
        <v/>
      </c>
    </row>
    <row r="4672">
      <c r="A4672">
        <f>HYPERLINK("https://www.youtube.com/watch?v=EuOv0rbPt-A", "Video")</f>
        <v/>
      </c>
      <c r="B4672" t="inlineStr">
        <is>
          <t>4:36</t>
        </is>
      </c>
      <c r="C4672" t="inlineStr">
        <is>
          <t>Some employers vaguely or even directly
threaten to call immigration</t>
        </is>
      </c>
      <c r="D4672">
        <f>HYPERLINK("https://www.youtube.com/watch?v=EuOv0rbPt-A&amp;t=276s", "Go to time")</f>
        <v/>
      </c>
    </row>
    <row r="4673">
      <c r="A4673">
        <f>HYPERLINK("https://www.youtube.com/watch?v=oIZDtqWX6Fk", "Video")</f>
        <v/>
      </c>
      <c r="B4673" t="inlineStr">
        <is>
          <t>10:49</t>
        </is>
      </c>
      <c r="C4673" t="inlineStr">
        <is>
          <t>They were the first Europeans
to sail directly to sub-Saharan Africa</t>
        </is>
      </c>
      <c r="D4673">
        <f>HYPERLINK("https://www.youtube.com/watch?v=oIZDtqWX6Fk&amp;t=649s", "Go to time")</f>
        <v/>
      </c>
    </row>
    <row r="4674">
      <c r="A4674">
        <f>HYPERLINK("https://www.youtube.com/watch?v=7YoLMG2qja4", "Video")</f>
        <v/>
      </c>
      <c r="B4674" t="inlineStr">
        <is>
          <t>2:57</t>
        </is>
      </c>
      <c r="C4674" t="inlineStr">
        <is>
          <t>You tried to leave the trench
in the other direction.</t>
        </is>
      </c>
      <c r="D4674">
        <f>HYPERLINK("https://www.youtube.com/watch?v=7YoLMG2qja4&amp;t=177s", "Go to time")</f>
        <v/>
      </c>
    </row>
    <row r="4675">
      <c r="A4675">
        <f>HYPERLINK("https://www.youtube.com/watch?v=qN8vzlcYAE8", "Video")</f>
        <v/>
      </c>
      <c r="B4675" t="inlineStr">
        <is>
          <t>7:53</t>
        </is>
      </c>
      <c r="C4675" t="inlineStr">
        <is>
          <t>which is just direct planting
of seedlings into the ground --</t>
        </is>
      </c>
      <c r="D4675">
        <f>HYPERLINK("https://www.youtube.com/watch?v=qN8vzlcYAE8&amp;t=473s", "Go to time")</f>
        <v/>
      </c>
    </row>
    <row r="4676">
      <c r="A4676">
        <f>HYPERLINK("https://www.youtube.com/watch?v=kmIZeEu-3CY", "Video")</f>
        <v/>
      </c>
      <c r="B4676" t="inlineStr">
        <is>
          <t>11:13</t>
        </is>
      </c>
      <c r="C4676" t="inlineStr">
        <is>
          <t>these big companies are starting
to move their ships in that direction.</t>
        </is>
      </c>
      <c r="D4676">
        <f>HYPERLINK("https://www.youtube.com/watch?v=kmIZeEu-3CY&amp;t=673s", "Go to time")</f>
        <v/>
      </c>
    </row>
    <row r="4677">
      <c r="A4677">
        <f>HYPERLINK("https://www.youtube.com/watch?v=kmIZeEu-3CY", "Video")</f>
        <v/>
      </c>
      <c r="B4677" t="inlineStr">
        <is>
          <t>11:48</t>
        </is>
      </c>
      <c r="C4677" t="inlineStr">
        <is>
          <t>there was traffic stopped
in all directions,</t>
        </is>
      </c>
      <c r="D4677">
        <f>HYPERLINK("https://www.youtube.com/watch?v=kmIZeEu-3CY&amp;t=708s", "Go to time")</f>
        <v/>
      </c>
    </row>
    <row r="4678">
      <c r="A4678">
        <f>HYPERLINK("https://www.youtube.com/watch?v=RlQ3C_VanaU", "Video")</f>
        <v/>
      </c>
      <c r="B4678" t="inlineStr">
        <is>
          <t>7:46</t>
        </is>
      </c>
      <c r="C4678" t="inlineStr">
        <is>
          <t>and it's pointing in the direction
of getting creators paid.</t>
        </is>
      </c>
      <c r="D4678">
        <f>HYPERLINK("https://www.youtube.com/watch?v=RlQ3C_VanaU&amp;t=466s", "Go to time")</f>
        <v/>
      </c>
    </row>
    <row r="4679">
      <c r="A4679">
        <f>HYPERLINK("https://www.youtube.com/watch?v=RlQ3C_VanaU", "Video")</f>
        <v/>
      </c>
      <c r="B4679" t="inlineStr">
        <is>
          <t>8:12</t>
        </is>
      </c>
      <c r="C4679" t="inlineStr">
        <is>
          <t>because of the direct connection
between the person who makes the thing</t>
        </is>
      </c>
      <c r="D4679">
        <f>HYPERLINK("https://www.youtube.com/watch?v=RlQ3C_VanaU&amp;t=492s", "Go to time")</f>
        <v/>
      </c>
    </row>
    <row r="4680">
      <c r="A4680">
        <f>HYPERLINK("https://www.youtube.com/watch?v=HFKmpyf9ucQ", "Video")</f>
        <v/>
      </c>
      <c r="B4680" t="inlineStr">
        <is>
          <t>1:00</t>
        </is>
      </c>
      <c r="C4680" t="inlineStr">
        <is>
          <t>A finance director I've been working with,</t>
        </is>
      </c>
      <c r="D4680">
        <f>HYPERLINK("https://www.youtube.com/watch?v=HFKmpyf9ucQ&amp;t=60s", "Go to time")</f>
        <v/>
      </c>
    </row>
    <row r="4681">
      <c r="A4681">
        <f>HYPERLINK("https://www.youtube.com/watch?v=HFKmpyf9ucQ", "Video")</f>
        <v/>
      </c>
      <c r="B4681" t="inlineStr">
        <is>
          <t>1:21</t>
        </is>
      </c>
      <c r="C4681" t="inlineStr">
        <is>
          <t>And this finance director came to me
somewhat stunned and said,</t>
        </is>
      </c>
      <c r="D4681">
        <f>HYPERLINK("https://www.youtube.com/watch?v=HFKmpyf9ucQ&amp;t=81s", "Go to time")</f>
        <v/>
      </c>
    </row>
    <row r="4682">
      <c r="A4682">
        <f>HYPERLINK("https://www.youtube.com/watch?v=HFKmpyf9ucQ", "Video")</f>
        <v/>
      </c>
      <c r="B4682" t="inlineStr">
        <is>
          <t>8:11</t>
        </is>
      </c>
      <c r="C4682" t="inlineStr">
        <is>
          <t>I was working with an HR director
in the construction industry</t>
        </is>
      </c>
      <c r="D4682">
        <f>HYPERLINK("https://www.youtube.com/watch?v=HFKmpyf9ucQ&amp;t=491s", "Go to time")</f>
        <v/>
      </c>
    </row>
    <row r="4683">
      <c r="A4683">
        <f>HYPERLINK("https://www.youtube.com/watch?v=HFKmpyf9ucQ", "Video")</f>
        <v/>
      </c>
      <c r="B4683" t="inlineStr">
        <is>
          <t>8:27</t>
        </is>
      </c>
      <c r="C4683" t="inlineStr">
        <is>
          <t>And this HR director really
didn't want to get involved.</t>
        </is>
      </c>
      <c r="D4683">
        <f>HYPERLINK("https://www.youtube.com/watch?v=HFKmpyf9ucQ&amp;t=507s", "Go to time")</f>
        <v/>
      </c>
    </row>
    <row r="4684">
      <c r="A4684">
        <f>HYPERLINK("https://www.youtube.com/watch?v=oYsDNpi_qPQ", "Video")</f>
        <v/>
      </c>
      <c r="B4684" t="inlineStr">
        <is>
          <t>2:49</t>
        </is>
      </c>
      <c r="C4684" t="inlineStr">
        <is>
          <t>to reduce direct emissions from buildings</t>
        </is>
      </c>
      <c r="D4684">
        <f>HYPERLINK("https://www.youtube.com/watch?v=oYsDNpi_qPQ&amp;t=169s", "Go to time")</f>
        <v/>
      </c>
    </row>
    <row r="4685">
      <c r="A4685">
        <f>HYPERLINK("https://www.youtube.com/watch?v=oYsDNpi_qPQ", "Video")</f>
        <v/>
      </c>
      <c r="B4685" t="inlineStr">
        <is>
          <t>11:08</t>
        </is>
      </c>
      <c r="C4685" t="inlineStr">
        <is>
          <t>you can sell directly
to another building that needs it</t>
        </is>
      </c>
      <c r="D4685">
        <f>HYPERLINK("https://www.youtube.com/watch?v=oYsDNpi_qPQ&amp;t=668s", "Go to time")</f>
        <v/>
      </c>
    </row>
    <row r="4686">
      <c r="A4686">
        <f>HYPERLINK("https://www.youtube.com/watch?v=E_fB_s_TC5k", "Video")</f>
        <v/>
      </c>
      <c r="B4686" t="inlineStr">
        <is>
          <t>9:18</t>
        </is>
      </c>
      <c r="C4686" t="inlineStr">
        <is>
          <t>These insights came directly
from the community members</t>
        </is>
      </c>
      <c r="D4686">
        <f>HYPERLINK("https://www.youtube.com/watch?v=E_fB_s_TC5k&amp;t=558s", "Go to time")</f>
        <v/>
      </c>
    </row>
    <row r="4687">
      <c r="A4687">
        <f>HYPERLINK("https://www.youtube.com/watch?v=_H4C-08GkKo", "Video")</f>
        <v/>
      </c>
      <c r="B4687" t="inlineStr">
        <is>
          <t>0:21</t>
        </is>
      </c>
      <c r="C4687" t="inlineStr">
        <is>
          <t>In 1964, the director of the Taiwan
provincial weather bureau</t>
        </is>
      </c>
      <c r="D4687">
        <f>HYPERLINK("https://www.youtube.com/watch?v=_H4C-08GkKo&amp;t=21s", "Go to time")</f>
        <v/>
      </c>
    </row>
    <row r="4688">
      <c r="A4688">
        <f>HYPERLINK("https://www.youtube.com/watch?v=jKjSr12d-GQ", "Video")</f>
        <v/>
      </c>
      <c r="B4688" t="inlineStr">
        <is>
          <t>7:01</t>
        </is>
      </c>
      <c r="C4688" t="inlineStr">
        <is>
          <t>in relation to directors.</t>
        </is>
      </c>
      <c r="D4688">
        <f>HYPERLINK("https://www.youtube.com/watch?v=jKjSr12d-GQ&amp;t=421s", "Go to time")</f>
        <v/>
      </c>
    </row>
    <row r="4689">
      <c r="A4689">
        <f>HYPERLINK("https://www.youtube.com/watch?v=jKjSr12d-GQ", "Video")</f>
        <v/>
      </c>
      <c r="B4689" t="inlineStr">
        <is>
          <t>7:17</t>
        </is>
      </c>
      <c r="C4689" t="inlineStr">
        <is>
          <t>88 percent were directed by white men,</t>
        </is>
      </c>
      <c r="D4689">
        <f>HYPERLINK("https://www.youtube.com/watch?v=jKjSr12d-GQ&amp;t=437s", "Go to time")</f>
        <v/>
      </c>
    </row>
    <row r="4690">
      <c r="A4690">
        <f>HYPERLINK("https://www.youtube.com/watch?v=jKjSr12d-GQ", "Video")</f>
        <v/>
      </c>
      <c r="B4690" t="inlineStr">
        <is>
          <t>8:19</t>
        </is>
      </c>
      <c r="C4690" t="inlineStr">
        <is>
          <t>And they had also managed to increase
their diverse directing pool</t>
        </is>
      </c>
      <c r="D4690">
        <f>HYPERLINK("https://www.youtube.com/watch?v=jKjSr12d-GQ&amp;t=499s", "Go to time")</f>
        <v/>
      </c>
    </row>
    <row r="4691">
      <c r="A4691">
        <f>HYPERLINK("https://www.youtube.com/watch?v=p8ReF00JP5w", "Video")</f>
        <v/>
      </c>
      <c r="B4691" t="inlineStr">
        <is>
          <t>4:07</t>
        </is>
      </c>
      <c r="C4691" t="inlineStr">
        <is>
          <t>As a direct conservation measure,</t>
        </is>
      </c>
      <c r="D4691">
        <f>HYPERLINK("https://www.youtube.com/watch?v=p8ReF00JP5w&amp;t=247s", "Go to time")</f>
        <v/>
      </c>
    </row>
    <row r="4692">
      <c r="A4692">
        <f>HYPERLINK("https://www.youtube.com/watch?v=HLEgiR1Fsds", "Video")</f>
        <v/>
      </c>
      <c r="B4692" t="inlineStr">
        <is>
          <t>9:25</t>
        </is>
      </c>
      <c r="C4692" t="inlineStr">
        <is>
          <t>It's directly related to intellectual
disability and breast cancer.</t>
        </is>
      </c>
      <c r="D4692">
        <f>HYPERLINK("https://www.youtube.com/watch?v=HLEgiR1Fsds&amp;t=565s", "Go to time")</f>
        <v/>
      </c>
    </row>
    <row r="4693">
      <c r="A4693">
        <f>HYPERLINK("https://www.youtube.com/watch?v=Sek29hwUjZE", "Video")</f>
        <v/>
      </c>
      <c r="B4693" t="inlineStr">
        <is>
          <t>6:09</t>
        </is>
      </c>
      <c r="C4693" t="inlineStr">
        <is>
          <t>we will soon be consuming media
tailored directly to our cravings</t>
        </is>
      </c>
      <c r="D4693">
        <f>HYPERLINK("https://www.youtube.com/watch?v=Sek29hwUjZE&amp;t=369s", "Go to time")</f>
        <v/>
      </c>
    </row>
    <row r="4694">
      <c r="A4694">
        <f>HYPERLINK("https://www.youtube.com/watch?v=qZjr2CIEflc", "Video")</f>
        <v/>
      </c>
      <c r="B4694" t="inlineStr">
        <is>
          <t>6:47</t>
        </is>
      </c>
      <c r="C4694" t="inlineStr">
        <is>
          <t>I stepped into the role of creator,
director and producer,</t>
        </is>
      </c>
      <c r="D4694">
        <f>HYPERLINK("https://www.youtube.com/watch?v=qZjr2CIEflc&amp;t=407s", "Go to time")</f>
        <v/>
      </c>
    </row>
    <row r="4695">
      <c r="A4695">
        <f>HYPERLINK("https://www.youtube.com/watch?v=N4tP-OCG6jU", "Video")</f>
        <v/>
      </c>
      <c r="B4695" t="inlineStr">
        <is>
          <t>2:43</t>
        </is>
      </c>
      <c r="C4695" t="inlineStr">
        <is>
          <t>I think the future might be
shaping in the right direction.</t>
        </is>
      </c>
      <c r="D4695">
        <f>HYPERLINK("https://www.youtube.com/watch?v=N4tP-OCG6jU&amp;t=163s", "Go to time")</f>
        <v/>
      </c>
    </row>
    <row r="4696">
      <c r="A4696">
        <f>HYPERLINK("https://www.youtube.com/watch?v=bWA1gvA5lxU", "Video")</f>
        <v/>
      </c>
      <c r="B4696" t="inlineStr">
        <is>
          <t>13:46</t>
        </is>
      </c>
      <c r="C4696" t="inlineStr">
        <is>
          <t>sent us off in the wrong direction.</t>
        </is>
      </c>
      <c r="D4696">
        <f>HYPERLINK("https://www.youtube.com/watch?v=bWA1gvA5lxU&amp;t=826s", "Go to time")</f>
        <v/>
      </c>
    </row>
    <row r="4697">
      <c r="A4697">
        <f>HYPERLINK("https://www.youtube.com/watch?v=wD2rhRUYUyA", "Video")</f>
        <v/>
      </c>
      <c r="B4697" t="inlineStr">
        <is>
          <t>1:28</t>
        </is>
      </c>
      <c r="C4697" t="inlineStr">
        <is>
          <t>Now I run the world's first
direct-to-consumer digital fashion brand</t>
        </is>
      </c>
      <c r="D4697">
        <f>HYPERLINK("https://www.youtube.com/watch?v=wD2rhRUYUyA&amp;t=88s", "Go to time")</f>
        <v/>
      </c>
    </row>
    <row r="4698">
      <c r="A4698">
        <f>HYPERLINK("https://www.youtube.com/watch?v=wD2rhRUYUyA", "Video")</f>
        <v/>
      </c>
      <c r="B4698" t="inlineStr">
        <is>
          <t>3:22</t>
        </is>
      </c>
      <c r="C4698" t="inlineStr">
        <is>
          <t>And the digital realm somehow forces you
to go into that exploratory direction.</t>
        </is>
      </c>
      <c r="D4698">
        <f>HYPERLINK("https://www.youtube.com/watch?v=wD2rhRUYUyA&amp;t=202s", "Go to time")</f>
        <v/>
      </c>
    </row>
    <row r="4699">
      <c r="A4699">
        <f>HYPERLINK("https://www.youtube.com/watch?v=4tQee2_JgUo", "Video")</f>
        <v/>
      </c>
      <c r="B4699" t="inlineStr">
        <is>
          <t>3:58</t>
        </is>
      </c>
      <c r="C4699" t="inlineStr">
        <is>
          <t>but this particular series is talking
to me directly as a Muslim woman.</t>
        </is>
      </c>
      <c r="D4699">
        <f>HYPERLINK("https://www.youtube.com/watch?v=4tQee2_JgUo&amp;t=238s", "Go to time")</f>
        <v/>
      </c>
    </row>
    <row r="4700">
      <c r="A4700">
        <f>HYPERLINK("https://www.youtube.com/watch?v=7Fiaew7nDmE", "Video")</f>
        <v/>
      </c>
      <c r="B4700" t="inlineStr">
        <is>
          <t>0:47</t>
        </is>
      </c>
      <c r="C4700" t="inlineStr">
        <is>
          <t>who should not be allowed
to tweet directly from their brain.</t>
        </is>
      </c>
      <c r="D4700">
        <f>HYPERLINK("https://www.youtube.com/watch?v=7Fiaew7nDmE&amp;t=47s", "Go to time")</f>
        <v/>
      </c>
    </row>
    <row r="4701">
      <c r="A4701">
        <f>HYPERLINK("https://www.youtube.com/watch?v=7Fiaew7nDmE", "Video")</f>
        <v/>
      </c>
      <c r="B4701" t="inlineStr">
        <is>
          <t>1:29</t>
        </is>
      </c>
      <c r="C4701" t="inlineStr">
        <is>
          <t>with clicks directly coming
from their brain.</t>
        </is>
      </c>
      <c r="D4701">
        <f>HYPERLINK("https://www.youtube.com/watch?v=7Fiaew7nDmE&amp;t=89s", "Go to time")</f>
        <v/>
      </c>
    </row>
    <row r="4702">
      <c r="A4702">
        <f>HYPERLINK("https://www.youtube.com/watch?v=7Fiaew7nDmE", "Video")</f>
        <v/>
      </c>
      <c r="B4702" t="inlineStr">
        <is>
          <t>4:14</t>
        </is>
      </c>
      <c r="C4702" t="inlineStr">
        <is>
          <t>which require drilling needles
directly into the brain.</t>
        </is>
      </c>
      <c r="D4702">
        <f>HYPERLINK("https://www.youtube.com/watch?v=7Fiaew7nDmE&amp;t=254s", "Go to time")</f>
        <v/>
      </c>
    </row>
    <row r="4703">
      <c r="A4703">
        <f>HYPERLINK("https://www.youtube.com/watch?v=qty0NjF3pdQ", "Video")</f>
        <v/>
      </c>
      <c r="B4703" t="inlineStr">
        <is>
          <t>12:02</t>
        </is>
      </c>
      <c r="C4703" t="inlineStr">
        <is>
          <t>"They think that's the right direction
for this country."</t>
        </is>
      </c>
      <c r="D4703">
        <f>HYPERLINK("https://www.youtube.com/watch?v=qty0NjF3pdQ&amp;t=722s", "Go to time")</f>
        <v/>
      </c>
    </row>
    <row r="4704">
      <c r="A4704">
        <f>HYPERLINK("https://www.youtube.com/watch?v=pdh3KbiREHM", "Video")</f>
        <v/>
      </c>
      <c r="B4704" t="inlineStr">
        <is>
          <t>0:35</t>
        </is>
      </c>
      <c r="C4704" t="inlineStr">
        <is>
          <t>It's closest, direct translation
is "coming in big."</t>
        </is>
      </c>
      <c r="D4704">
        <f>HYPERLINK("https://www.youtube.com/watch?v=pdh3KbiREHM&amp;t=35s", "Go to time")</f>
        <v/>
      </c>
    </row>
    <row r="4705">
      <c r="A4705">
        <f>HYPERLINK("https://www.youtube.com/watch?v=zUKB7PcAB0I", "Video")</f>
        <v/>
      </c>
      <c r="B4705" t="inlineStr">
        <is>
          <t>11:46</t>
        </is>
      </c>
      <c r="C4705" t="inlineStr">
        <is>
          <t>with the director of public prosecution,</t>
        </is>
      </c>
      <c r="D4705">
        <f>HYPERLINK("https://www.youtube.com/watch?v=zUKB7PcAB0I&amp;t=706s", "Go to time")</f>
        <v/>
      </c>
    </row>
    <row r="4706">
      <c r="A4706">
        <f>HYPERLINK("https://www.youtube.com/watch?v=5MuIMqhT8DM", "Video")</f>
        <v/>
      </c>
      <c r="B4706" t="inlineStr">
        <is>
          <t>7:24</t>
        </is>
      </c>
      <c r="C4706" t="inlineStr">
        <is>
          <t>It's called direct current
brain stimulation.</t>
        </is>
      </c>
      <c r="D4706">
        <f>HYPERLINK("https://www.youtube.com/watch?v=5MuIMqhT8DM&amp;t=444s", "Go to time")</f>
        <v/>
      </c>
    </row>
    <row r="4707">
      <c r="A4707">
        <f>HYPERLINK("https://www.youtube.com/watch?v=50yxXTAHrfc", "Video")</f>
        <v/>
      </c>
      <c r="B4707" t="inlineStr">
        <is>
          <t>9:19</t>
        </is>
      </c>
      <c r="C4707" t="inlineStr">
        <is>
          <t>and he waved his arms in that direction.</t>
        </is>
      </c>
      <c r="D4707">
        <f>HYPERLINK("https://www.youtube.com/watch?v=50yxXTAHrfc&amp;t=559s", "Go to time")</f>
        <v/>
      </c>
    </row>
    <row r="4708">
      <c r="A4708">
        <f>HYPERLINK("https://www.youtube.com/watch?v=50yxXTAHrfc", "Video")</f>
        <v/>
      </c>
      <c r="B4708" t="inlineStr">
        <is>
          <t>13:18</t>
        </is>
      </c>
      <c r="C4708" t="inlineStr">
        <is>
          <t>But by having no direct contact with them,</t>
        </is>
      </c>
      <c r="D4708">
        <f>HYPERLINK("https://www.youtube.com/watch?v=50yxXTAHrfc&amp;t=798s", "Go to time")</f>
        <v/>
      </c>
    </row>
    <row r="4709">
      <c r="A4709">
        <f>HYPERLINK("https://www.youtube.com/watch?v=EAU5D8hqIUI", "Video")</f>
        <v/>
      </c>
      <c r="B4709" t="inlineStr">
        <is>
          <t>13:44</t>
        </is>
      </c>
      <c r="C4709" t="inlineStr">
        <is>
          <t>The consequence of this
is potentially dire.</t>
        </is>
      </c>
      <c r="D4709">
        <f>HYPERLINK("https://www.youtube.com/watch?v=EAU5D8hqIUI&amp;t=824s", "Go to time")</f>
        <v/>
      </c>
    </row>
    <row r="4710">
      <c r="A4710">
        <f>HYPERLINK("https://www.youtube.com/watch?v=do27uAjfKbg", "Video")</f>
        <v/>
      </c>
      <c r="B4710" t="inlineStr">
        <is>
          <t>0:39</t>
        </is>
      </c>
      <c r="C4710" t="inlineStr">
        <is>
          <t>Our big wins have been only
small steps in the right direction.</t>
        </is>
      </c>
      <c r="D4710">
        <f>HYPERLINK("https://www.youtube.com/watch?v=do27uAjfKbg&amp;t=39s", "Go to time")</f>
        <v/>
      </c>
    </row>
    <row r="4711">
      <c r="A4711">
        <f>HYPERLINK("https://www.youtube.com/watch?v=r2_VWdjxchY", "Video")</f>
        <v/>
      </c>
      <c r="B4711" t="inlineStr">
        <is>
          <t>10:13</t>
        </is>
      </c>
      <c r="C4711" t="inlineStr">
        <is>
          <t>The data are almost always noisy
and they're indirect.</t>
        </is>
      </c>
      <c r="D4711">
        <f>HYPERLINK("https://www.youtube.com/watch?v=r2_VWdjxchY&amp;t=613s", "Go to time")</f>
        <v/>
      </c>
    </row>
    <row r="4712">
      <c r="A4712">
        <f>HYPERLINK("https://www.youtube.com/watch?v=r2_VWdjxchY", "Video")</f>
        <v/>
      </c>
      <c r="B4712" t="inlineStr">
        <is>
          <t>10:47</t>
        </is>
      </c>
      <c r="C4712" t="inlineStr">
        <is>
          <t>noisy and indirect observations
taken from the outside</t>
        </is>
      </c>
      <c r="D4712">
        <f>HYPERLINK("https://www.youtube.com/watch?v=r2_VWdjxchY&amp;t=647s", "Go to time")</f>
        <v/>
      </c>
    </row>
    <row r="4713">
      <c r="A4713">
        <f>HYPERLINK("https://www.youtube.com/watch?v=LbZC0DjnhGs", "Video")</f>
        <v/>
      </c>
      <c r="B4713" t="inlineStr">
        <is>
          <t>6:27</t>
        </is>
      </c>
      <c r="C4713" t="inlineStr">
        <is>
          <t>I've learned that the polls
are directly correlated to sales.</t>
        </is>
      </c>
      <c r="D4713">
        <f>HYPERLINK("https://www.youtube.com/watch?v=LbZC0DjnhGs&amp;t=387s", "Go to time")</f>
        <v/>
      </c>
    </row>
    <row r="4714">
      <c r="A4714">
        <f>HYPERLINK("https://www.youtube.com/watch?v=0Mi0miIN6tA", "Video")</f>
        <v/>
      </c>
      <c r="B4714" t="inlineStr">
        <is>
          <t>5:35</t>
        </is>
      </c>
      <c r="C4714" t="inlineStr">
        <is>
          <t>is it has the great benefit of allowing us
to be in direct communication,</t>
        </is>
      </c>
      <c r="D4714">
        <f>HYPERLINK("https://www.youtube.com/watch?v=0Mi0miIN6tA&amp;t=335s", "Go to time")</f>
        <v/>
      </c>
    </row>
    <row r="4715">
      <c r="A4715">
        <f>HYPERLINK("https://www.youtube.com/watch?v=0Mi0miIN6tA", "Video")</f>
        <v/>
      </c>
      <c r="B4715" t="inlineStr">
        <is>
          <t>5:39</t>
        </is>
      </c>
      <c r="C4715" t="inlineStr">
        <is>
          <t>and this, thus direct
emotional responsibility</t>
        </is>
      </c>
      <c r="D4715">
        <f>HYPERLINK("https://www.youtube.com/watch?v=0Mi0miIN6tA&amp;t=339s", "Go to time")</f>
        <v/>
      </c>
    </row>
    <row r="4716">
      <c r="A4716">
        <f>HYPERLINK("https://www.youtube.com/watch?v=0Mi0miIN6tA", "Video")</f>
        <v/>
      </c>
      <c r="B4716" t="inlineStr">
        <is>
          <t>14:00</t>
        </is>
      </c>
      <c r="C4716" t="inlineStr">
        <is>
          <t>the direct democracies,
the deliberative democracies,</t>
        </is>
      </c>
      <c r="D4716">
        <f>HYPERLINK("https://www.youtube.com/watch?v=0Mi0miIN6tA&amp;t=840s", "Go to time")</f>
        <v/>
      </c>
    </row>
    <row r="4717">
      <c r="A4717">
        <f>HYPERLINK("https://www.youtube.com/watch?v=kxGOuqsoteA", "Video")</f>
        <v/>
      </c>
      <c r="B4717" t="inlineStr">
        <is>
          <t>19:25</t>
        </is>
      </c>
      <c r="C4717" t="inlineStr">
        <is>
          <t>directed at African Americans these</t>
        </is>
      </c>
      <c r="D4717">
        <f>HYPERLINK("https://www.youtube.com/watch?v=kxGOuqsoteA&amp;t=1165s", "Go to time")</f>
        <v/>
      </c>
    </row>
    <row r="4718">
      <c r="A4718">
        <f>HYPERLINK("https://www.youtube.com/watch?v=kxGOuqsoteA", "Video")</f>
        <v/>
      </c>
      <c r="B4718" t="inlineStr">
        <is>
          <t>33:13</t>
        </is>
      </c>
      <c r="C4718" t="inlineStr">
        <is>
          <t>directly or more radically why not just</t>
        </is>
      </c>
      <c r="D4718">
        <f>HYPERLINK("https://www.youtube.com/watch?v=kxGOuqsoteA&amp;t=1993s", "Go to time")</f>
        <v/>
      </c>
    </row>
    <row r="4719">
      <c r="A4719">
        <f>HYPERLINK("https://www.youtube.com/watch?v=kxGOuqsoteA", "Video")</f>
        <v/>
      </c>
      <c r="B4719" t="inlineStr">
        <is>
          <t>47:33</t>
        </is>
      </c>
      <c r="C4719" t="inlineStr">
        <is>
          <t>for a public company director that was a</t>
        </is>
      </c>
      <c r="D4719">
        <f>HYPERLINK("https://www.youtube.com/watch?v=kxGOuqsoteA&amp;t=2853s", "Go to time")</f>
        <v/>
      </c>
    </row>
    <row r="4720">
      <c r="A4720">
        <f>HYPERLINK("https://www.youtube.com/watch?v=kxGOuqsoteA", "Video")</f>
        <v/>
      </c>
      <c r="B4720" t="inlineStr">
        <is>
          <t>47:40</t>
        </is>
      </c>
      <c r="C4720" t="inlineStr">
        <is>
          <t>and in fact he sent it to the directors</t>
        </is>
      </c>
      <c r="D4720">
        <f>HYPERLINK("https://www.youtube.com/watch?v=kxGOuqsoteA&amp;t=2860s", "Go to time")</f>
        <v/>
      </c>
    </row>
    <row r="4721">
      <c r="A4721">
        <f>HYPERLINK("https://www.youtube.com/watch?v=yQqthbvYE8M", "Video")</f>
        <v/>
      </c>
      <c r="B4721" t="inlineStr">
        <is>
          <t>18:23</t>
        </is>
      </c>
      <c r="C4721" t="inlineStr">
        <is>
          <t>"the direction of human history"</t>
        </is>
      </c>
      <c r="D4721">
        <f>HYPERLINK("https://www.youtube.com/watch?v=yQqthbvYE8M&amp;t=1103s", "Go to time")</f>
        <v/>
      </c>
    </row>
    <row r="4722">
      <c r="A4722">
        <f>HYPERLINK("https://www.youtube.com/watch?v=yQqthbvYE8M", "Video")</f>
        <v/>
      </c>
      <c r="B4722" t="inlineStr">
        <is>
          <t>23:18</t>
        </is>
      </c>
      <c r="C4722" t="inlineStr">
        <is>
          <t>that we did not have any more
direct clashes between superpowers</t>
        </is>
      </c>
      <c r="D4722">
        <f>HYPERLINK("https://www.youtube.com/watch?v=yQqthbvYE8M&amp;t=1398s", "Go to time")</f>
        <v/>
      </c>
    </row>
    <row r="4723">
      <c r="A4723">
        <f>HYPERLINK("https://www.youtube.com/watch?v=yQqthbvYE8M", "Video")</f>
        <v/>
      </c>
      <c r="B4723" t="inlineStr">
        <is>
          <t>23:59</t>
        </is>
      </c>
      <c r="C4723" t="inlineStr">
        <is>
          <t>to measures designed to build trust
or to communicate directly and so on.</t>
        </is>
      </c>
      <c r="D4723">
        <f>HYPERLINK("https://www.youtube.com/watch?v=yQqthbvYE8M&amp;t=1439s", "Go to time")</f>
        <v/>
      </c>
    </row>
    <row r="4724">
      <c r="A4724">
        <f>HYPERLINK("https://www.youtube.com/watch?v=yQqthbvYE8M", "Video")</f>
        <v/>
      </c>
      <c r="B4724" t="inlineStr">
        <is>
          <t>43:17</t>
        </is>
      </c>
      <c r="C4724" t="inlineStr">
        <is>
          <t>And his direct appeal to them,</t>
        </is>
      </c>
      <c r="D4724">
        <f>HYPERLINK("https://www.youtube.com/watch?v=yQqthbvYE8M&amp;t=2597s", "Go to time")</f>
        <v/>
      </c>
    </row>
    <row r="4725">
      <c r="A4725">
        <f>HYPERLINK("https://www.youtube.com/watch?v=EkIpeO1r0NI", "Video")</f>
        <v/>
      </c>
      <c r="B4725" t="inlineStr">
        <is>
          <t>8:31</t>
        </is>
      </c>
      <c r="C4725" t="inlineStr">
        <is>
          <t>even for acts don't involve
direct human suffering.</t>
        </is>
      </c>
      <c r="D4725">
        <f>HYPERLINK("https://www.youtube.com/watch?v=EkIpeO1r0NI&amp;t=511s", "Go to time")</f>
        <v/>
      </c>
    </row>
    <row r="4726">
      <c r="A4726">
        <f>HYPERLINK("https://www.youtube.com/watch?v=6k8YBJ5sgko", "Video")</f>
        <v/>
      </c>
      <c r="B4726" t="inlineStr">
        <is>
          <t>4:03</t>
        </is>
      </c>
      <c r="C4726" t="inlineStr">
        <is>
          <t>"That's the reason the bullet
directly targeted her head</t>
        </is>
      </c>
      <c r="D4726">
        <f>HYPERLINK("https://www.youtube.com/watch?v=6k8YBJ5sgko&amp;t=243s", "Go to time")</f>
        <v/>
      </c>
    </row>
    <row r="4727">
      <c r="A4727">
        <f>HYPERLINK("https://www.youtube.com/watch?v=60e6u_1TEIs", "Video")</f>
        <v/>
      </c>
      <c r="B4727" t="inlineStr">
        <is>
          <t>3:50</t>
        </is>
      </c>
      <c r="C4727" t="inlineStr">
        <is>
          <t>has made its entire body
directly from carbon in the air.</t>
        </is>
      </c>
      <c r="D4727">
        <f>HYPERLINK("https://www.youtube.com/watch?v=60e6u_1TEIs&amp;t=230s", "Go to time")</f>
        <v/>
      </c>
    </row>
    <row r="4728">
      <c r="A4728">
        <f>HYPERLINK("https://www.youtube.com/watch?v=60e6u_1TEIs", "Video")</f>
        <v/>
      </c>
      <c r="B4728" t="inlineStr">
        <is>
          <t>7:02</t>
        </is>
      </c>
      <c r="C4728" t="inlineStr">
        <is>
          <t>It’s called direct air capture,</t>
        </is>
      </c>
      <c r="D4728">
        <f>HYPERLINK("https://www.youtube.com/watch?v=60e6u_1TEIs&amp;t=422s", "Go to time")</f>
        <v/>
      </c>
    </row>
    <row r="4729">
      <c r="A4729">
        <f>HYPERLINK("https://www.youtube.com/watch?v=60e6u_1TEIs", "Video")</f>
        <v/>
      </c>
      <c r="B4729" t="inlineStr">
        <is>
          <t>8:21</t>
        </is>
      </c>
      <c r="C4729" t="inlineStr">
        <is>
          <t>So one issue, though,
with direct air capture,</t>
        </is>
      </c>
      <c r="D4729">
        <f>HYPERLINK("https://www.youtube.com/watch?v=60e6u_1TEIs&amp;t=501s", "Go to time")</f>
        <v/>
      </c>
    </row>
    <row r="4730">
      <c r="A4730">
        <f>HYPERLINK("https://www.youtube.com/watch?v=mWA2uL8zXPI", "Video")</f>
        <v/>
      </c>
      <c r="B4730" t="inlineStr">
        <is>
          <t>4:05</t>
        </is>
      </c>
      <c r="C4730" t="inlineStr">
        <is>
          <t>have been directly linked
to their enjoyment of sex.</t>
        </is>
      </c>
      <c r="D4730">
        <f>HYPERLINK("https://www.youtube.com/watch?v=mWA2uL8zXPI&amp;t=245s", "Go to time")</f>
        <v/>
      </c>
    </row>
    <row r="4731">
      <c r="A4731">
        <f>HYPERLINK("https://www.youtube.com/watch?v=JoUZ929qoLk", "Video")</f>
        <v/>
      </c>
      <c r="B4731" t="inlineStr">
        <is>
          <t>7:35</t>
        </is>
      </c>
      <c r="C4731" t="inlineStr">
        <is>
          <t>of never being able to directly address
or express our indignation,</t>
        </is>
      </c>
      <c r="D4731">
        <f>HYPERLINK("https://www.youtube.com/watch?v=JoUZ929qoLk&amp;t=455s", "Go to time")</f>
        <v/>
      </c>
    </row>
    <row r="4732">
      <c r="A4732">
        <f>HYPERLINK("https://www.youtube.com/watch?v=ieSV8-isy3M", "Video")</f>
        <v/>
      </c>
      <c r="B4732" t="inlineStr">
        <is>
          <t>4:00</t>
        </is>
      </c>
      <c r="C4732" t="inlineStr">
        <is>
          <t>It's rippled, so that facing
the predominant direction of the sun,</t>
        </is>
      </c>
      <c r="D4732">
        <f>HYPERLINK("https://www.youtube.com/watch?v=ieSV8-isy3M&amp;t=240s", "Go to time")</f>
        <v/>
      </c>
    </row>
    <row r="4733">
      <c r="A4733">
        <f>HYPERLINK("https://www.youtube.com/watch?v=BIvezCVcsYs", "Video")</f>
        <v/>
      </c>
      <c r="B4733" t="inlineStr">
        <is>
          <t>0:44</t>
        </is>
      </c>
      <c r="C4733" t="inlineStr">
        <is>
          <t>still have not been directly observed.</t>
        </is>
      </c>
      <c r="D4733">
        <f>HYPERLINK("https://www.youtube.com/watch?v=BIvezCVcsYs&amp;t=44s", "Go to time")</f>
        <v/>
      </c>
    </row>
    <row r="4734">
      <c r="A4734">
        <f>HYPERLINK("https://www.youtube.com/watch?v=id4YRO7G0wE", "Video")</f>
        <v/>
      </c>
      <c r="B4734" t="inlineStr">
        <is>
          <t>8:55</t>
        </is>
      </c>
      <c r="C4734" t="inlineStr">
        <is>
          <t>Another one would be direct
access to weapons.</t>
        </is>
      </c>
      <c r="D4734">
        <f>HYPERLINK("https://www.youtube.com/watch?v=id4YRO7G0wE&amp;t=535s", "Go to time")</f>
        <v/>
      </c>
    </row>
    <row r="4735">
      <c r="A4735">
        <f>HYPERLINK("https://www.youtube.com/watch?v=id4YRO7G0wE", "Video")</f>
        <v/>
      </c>
      <c r="B4735" t="inlineStr">
        <is>
          <t>23:18</t>
        </is>
      </c>
      <c r="C4735" t="inlineStr">
        <is>
          <t>Hopefully we will get it
in the right direction.</t>
        </is>
      </c>
      <c r="D4735">
        <f>HYPERLINK("https://www.youtube.com/watch?v=id4YRO7G0wE&amp;t=1398s", "Go to time")</f>
        <v/>
      </c>
    </row>
    <row r="4736">
      <c r="A4736">
        <f>HYPERLINK("https://www.youtube.com/watch?v=id4YRO7G0wE", "Video")</f>
        <v/>
      </c>
      <c r="B4736" t="inlineStr">
        <is>
          <t>25:10</t>
        </is>
      </c>
      <c r="C4736" t="inlineStr">
        <is>
          <t>You can actually connect the model
directly into the databases</t>
        </is>
      </c>
      <c r="D4736">
        <f>HYPERLINK("https://www.youtube.com/watch?v=id4YRO7G0wE&amp;t=1510s", "Go to time")</f>
        <v/>
      </c>
    </row>
    <row r="4737">
      <c r="A4737">
        <f>HYPERLINK("https://www.youtube.com/watch?v=H_rsxmtfKr0", "Video")</f>
        <v/>
      </c>
      <c r="B4737" t="inlineStr">
        <is>
          <t>0:20</t>
        </is>
      </c>
      <c r="C4737" t="inlineStr">
        <is>
          <t>and now he is the managing director
and chairman of General Catalyst,</t>
        </is>
      </c>
      <c r="D4737">
        <f>HYPERLINK("https://www.youtube.com/watch?v=H_rsxmtfKr0&amp;t=20s", "Go to time")</f>
        <v/>
      </c>
    </row>
    <row r="4738">
      <c r="A4738">
        <f>HYPERLINK("https://www.youtube.com/watch?v=VasJyDmMafA", "Video")</f>
        <v/>
      </c>
      <c r="B4738" t="inlineStr">
        <is>
          <t>5:48</t>
        </is>
      </c>
      <c r="C4738" t="inlineStr">
        <is>
          <t>to get this food picked up
and delivered directly to the doors</t>
        </is>
      </c>
      <c r="D4738">
        <f>HYPERLINK("https://www.youtube.com/watch?v=VasJyDmMafA&amp;t=348s", "Go to time")</f>
        <v/>
      </c>
    </row>
    <row r="4739">
      <c r="A4739">
        <f>HYPERLINK("https://www.youtube.com/watch?v=9C7jAAxWnqA", "Video")</f>
        <v/>
      </c>
      <c r="B4739" t="inlineStr">
        <is>
          <t>13:41</t>
        </is>
      </c>
      <c r="C4739" t="inlineStr">
        <is>
          <t>On "Queen Sugar,"
we hired all women directors</t>
        </is>
      </c>
      <c r="D4739">
        <f>HYPERLINK("https://www.youtube.com/watch?v=9C7jAAxWnqA&amp;t=821s", "Go to time")</f>
        <v/>
      </c>
    </row>
    <row r="4740">
      <c r="A4740">
        <f>HYPERLINK("https://www.youtube.com/watch?v=Vn6elsrKz70", "Video")</f>
        <v/>
      </c>
      <c r="B4740" t="inlineStr">
        <is>
          <t>6:16</t>
        </is>
      </c>
      <c r="C4740" t="inlineStr">
        <is>
          <t>and the executive director of a body</t>
        </is>
      </c>
      <c r="D4740">
        <f>HYPERLINK("https://www.youtube.com/watch?v=Vn6elsrKz70&amp;t=376s", "Go to time")</f>
        <v/>
      </c>
    </row>
    <row r="4741">
      <c r="A4741">
        <f>HYPERLINK("https://www.youtube.com/watch?v=OjuYFNR1aWo", "Video")</f>
        <v/>
      </c>
      <c r="B4741" t="inlineStr">
        <is>
          <t>14:55</t>
        </is>
      </c>
      <c r="C4741" t="inlineStr">
        <is>
          <t>that it knows will react or get you
to engage more directly,</t>
        </is>
      </c>
      <c r="D4741">
        <f>HYPERLINK("https://www.youtube.com/watch?v=OjuYFNR1aWo&amp;t=895s", "Go to time")</f>
        <v/>
      </c>
    </row>
    <row r="4742">
      <c r="A4742">
        <f>HYPERLINK("https://www.youtube.com/watch?v=_jHmjs2270A", "Video")</f>
        <v/>
      </c>
      <c r="B4742" t="inlineStr">
        <is>
          <t>10:51</t>
        </is>
      </c>
      <c r="C4742" t="inlineStr">
        <is>
          <t>of the bricks directly above it,</t>
        </is>
      </c>
      <c r="D4742">
        <f>HYPERLINK("https://www.youtube.com/watch?v=_jHmjs2270A&amp;t=651s", "Go to time")</f>
        <v/>
      </c>
    </row>
    <row r="4743">
      <c r="A4743">
        <f>HYPERLINK("https://www.youtube.com/watch?v=T6WSy0FdBdU", "Video")</f>
        <v/>
      </c>
      <c r="B4743" t="inlineStr">
        <is>
          <t>0:47</t>
        </is>
      </c>
      <c r="C4743" t="inlineStr">
        <is>
          <t>This is the first worldwide commercial
direct air capture and storage plant.</t>
        </is>
      </c>
      <c r="D4743">
        <f>HYPERLINK("https://www.youtube.com/watch?v=T6WSy0FdBdU&amp;t=47s", "Go to time")</f>
        <v/>
      </c>
    </row>
    <row r="4744">
      <c r="A4744">
        <f>HYPERLINK("https://www.youtube.com/watch?v=T6WSy0FdBdU", "Video")</f>
        <v/>
      </c>
      <c r="B4744" t="inlineStr">
        <is>
          <t>6:51</t>
        </is>
      </c>
      <c r="C4744" t="inlineStr">
        <is>
          <t>Now, I often get asked if you build
direct air capture plants</t>
        </is>
      </c>
      <c r="D4744">
        <f>HYPERLINK("https://www.youtube.com/watch?v=T6WSy0FdBdU&amp;t=411s", "Go to time")</f>
        <v/>
      </c>
    </row>
    <row r="4745">
      <c r="A4745">
        <f>HYPERLINK("https://www.youtube.com/watch?v=T6WSy0FdBdU", "Video")</f>
        <v/>
      </c>
      <c r="B4745" t="inlineStr">
        <is>
          <t>7:01</t>
        </is>
      </c>
      <c r="C4745" t="inlineStr">
        <is>
          <t>Direct air capture is not a silver bullet,
but it is a must-have.</t>
        </is>
      </c>
      <c r="D4745">
        <f>HYPERLINK("https://www.youtube.com/watch?v=T6WSy0FdBdU&amp;t=421s", "Go to time")</f>
        <v/>
      </c>
    </row>
    <row r="4746">
      <c r="A4746">
        <f>HYPERLINK("https://www.youtube.com/watch?v=iKBPrJ-AKRs", "Video")</f>
        <v/>
      </c>
      <c r="B4746" t="inlineStr">
        <is>
          <t>1:21</t>
        </is>
      </c>
      <c r="C4746" t="inlineStr">
        <is>
          <t>that squirt water
in six different directions,</t>
        </is>
      </c>
      <c r="D4746">
        <f>HYPERLINK("https://www.youtube.com/watch?v=iKBPrJ-AKRs&amp;t=81s", "Go to time")</f>
        <v/>
      </c>
    </row>
    <row r="4747">
      <c r="A4747">
        <f>HYPERLINK("https://www.youtube.com/watch?v=UGHzKaAOOcA", "Video")</f>
        <v/>
      </c>
      <c r="B4747" t="inlineStr">
        <is>
          <t>9:37</t>
        </is>
      </c>
      <c r="C4747" t="inlineStr">
        <is>
          <t>They point us in the right directions</t>
        </is>
      </c>
      <c r="D4747">
        <f>HYPERLINK("https://www.youtube.com/watch?v=UGHzKaAOOcA&amp;t=577s", "Go to time")</f>
        <v/>
      </c>
    </row>
    <row r="4748">
      <c r="A4748">
        <f>HYPERLINK("https://www.youtube.com/watch?v=WrxJKj71c9o", "Video")</f>
        <v/>
      </c>
      <c r="B4748" t="inlineStr">
        <is>
          <t>0:17</t>
        </is>
      </c>
      <c r="C4748" t="inlineStr">
        <is>
          <t>we can use it to tap directly
into our feelings</t>
        </is>
      </c>
      <c r="D4748">
        <f>HYPERLINK("https://www.youtube.com/watch?v=WrxJKj71c9o&amp;t=17s", "Go to time")</f>
        <v/>
      </c>
    </row>
    <row r="4749">
      <c r="A4749">
        <f>HYPERLINK("https://www.youtube.com/watch?v=pyFcr2WcOyo", "Video")</f>
        <v/>
      </c>
      <c r="B4749" t="inlineStr">
        <is>
          <t>0:47</t>
        </is>
      </c>
      <c r="C4749" t="inlineStr">
        <is>
          <t>has been directed toward doing
the really big experiment,</t>
        </is>
      </c>
      <c r="D4749">
        <f>HYPERLINK("https://www.youtube.com/watch?v=pyFcr2WcOyo&amp;t=47s", "Go to time")</f>
        <v/>
      </c>
    </row>
    <row r="4750">
      <c r="A4750">
        <f>HYPERLINK("https://www.youtube.com/watch?v=pyFcr2WcOyo", "Video")</f>
        <v/>
      </c>
      <c r="B4750" t="inlineStr">
        <is>
          <t>1:33</t>
        </is>
      </c>
      <c r="C4750" t="inlineStr">
        <is>
          <t>it would be nicer to keep it going
in the right direction,</t>
        </is>
      </c>
      <c r="D4750">
        <f>HYPERLINK("https://www.youtube.com/watch?v=pyFcr2WcOyo&amp;t=93s", "Go to time")</f>
        <v/>
      </c>
    </row>
    <row r="4751">
      <c r="A4751">
        <f>HYPERLINK("https://www.youtube.com/watch?v=pyFcr2WcOyo", "Video")</f>
        <v/>
      </c>
      <c r="B4751" t="inlineStr">
        <is>
          <t>1:36</t>
        </is>
      </c>
      <c r="C4751" t="inlineStr">
        <is>
          <t>not the bad direction.</t>
        </is>
      </c>
      <c r="D4751">
        <f>HYPERLINK("https://www.youtube.com/watch?v=pyFcr2WcOyo&amp;t=96s", "Go to time")</f>
        <v/>
      </c>
    </row>
    <row r="4752">
      <c r="A4752">
        <f>HYPERLINK("https://www.youtube.com/watch?v=XZfKdlIRqYk", "Video")</f>
        <v/>
      </c>
      <c r="B4752" t="inlineStr">
        <is>
          <t>13:03</t>
        </is>
      </c>
      <c r="C4752" t="inlineStr">
        <is>
          <t>And I used to be the national director --</t>
        </is>
      </c>
      <c r="D4752">
        <f>HYPERLINK("https://www.youtube.com/watch?v=XZfKdlIRqYk&amp;t=783s", "Go to time")</f>
        <v/>
      </c>
    </row>
    <row r="4753">
      <c r="A4753">
        <f>HYPERLINK("https://www.youtube.com/watch?v=9HOPw9yM9pc", "Video")</f>
        <v/>
      </c>
      <c r="B4753" t="inlineStr">
        <is>
          <t>10:41</t>
        </is>
      </c>
      <c r="C4753" t="inlineStr">
        <is>
          <t>I want to send a message
to Vladimir Putin directly.</t>
        </is>
      </c>
      <c r="D4753">
        <f>HYPERLINK("https://www.youtube.com/watch?v=9HOPw9yM9pc&amp;t=641s", "Go to time")</f>
        <v/>
      </c>
    </row>
    <row r="4754">
      <c r="A4754">
        <f>HYPERLINK("https://www.youtube.com/watch?v=iwUkbi4_wWo", "Video")</f>
        <v/>
      </c>
      <c r="B4754" t="inlineStr">
        <is>
          <t>0:37</t>
        </is>
      </c>
      <c r="C4754" t="inlineStr">
        <is>
          <t>to follow the same direction
of the content creation.</t>
        </is>
      </c>
      <c r="D4754">
        <f>HYPERLINK("https://www.youtube.com/watch?v=iwUkbi4_wWo&amp;t=37s", "Go to time")</f>
        <v/>
      </c>
    </row>
    <row r="4755">
      <c r="A4755">
        <f>HYPERLINK("https://www.youtube.com/watch?v=iwUkbi4_wWo", "Video")</f>
        <v/>
      </c>
      <c r="B4755" t="inlineStr">
        <is>
          <t>2:35</t>
        </is>
      </c>
      <c r="C4755" t="inlineStr">
        <is>
          <t>we will need to capture the light
from all the possible directions.</t>
        </is>
      </c>
      <c r="D4755">
        <f>HYPERLINK("https://www.youtube.com/watch?v=iwUkbi4_wWo&amp;t=155s", "Go to time")</f>
        <v/>
      </c>
    </row>
    <row r="4756">
      <c r="A4756">
        <f>HYPERLINK("https://www.youtube.com/watch?v=iwUkbi4_wWo", "Video")</f>
        <v/>
      </c>
      <c r="B4756" t="inlineStr">
        <is>
          <t>3:01</t>
        </is>
      </c>
      <c r="C4756" t="inlineStr">
        <is>
          <t>and capturing the motion
from all the possible directions.</t>
        </is>
      </c>
      <c r="D4756">
        <f>HYPERLINK("https://www.youtube.com/watch?v=iwUkbi4_wWo&amp;t=181s", "Go to time")</f>
        <v/>
      </c>
    </row>
    <row r="4757">
      <c r="A4757">
        <f>HYPERLINK("https://www.youtube.com/watch?v=iwUkbi4_wWo", "Video")</f>
        <v/>
      </c>
      <c r="B4757" t="inlineStr">
        <is>
          <t>6:03</t>
        </is>
      </c>
      <c r="C4757" t="inlineStr">
        <is>
          <t>They have to perform a flawless action
visible from all the directions.</t>
        </is>
      </c>
      <c r="D4757">
        <f>HYPERLINK("https://www.youtube.com/watch?v=iwUkbi4_wWo&amp;t=363s", "Go to time")</f>
        <v/>
      </c>
    </row>
    <row r="4758">
      <c r="A4758">
        <f>HYPERLINK("https://www.youtube.com/watch?v=iwUkbi4_wWo", "Video")</f>
        <v/>
      </c>
      <c r="B4758" t="inlineStr">
        <is>
          <t>8:21</t>
        </is>
      </c>
      <c r="C4758" t="inlineStr">
        <is>
          <t>Together with the director Randal Kleiser,</t>
        </is>
      </c>
      <c r="D4758">
        <f>HYPERLINK("https://www.youtube.com/watch?v=iwUkbi4_wWo&amp;t=501s", "Go to time")</f>
        <v/>
      </c>
    </row>
    <row r="4759">
      <c r="A4759">
        <f>HYPERLINK("https://www.youtube.com/watch?v=VdqnAhNrqPU", "Video")</f>
        <v/>
      </c>
      <c r="B4759" t="inlineStr">
        <is>
          <t>4:10</t>
        </is>
      </c>
      <c r="C4759" t="inlineStr">
        <is>
          <t>and redirect the power
of the immune system to cancer cells.</t>
        </is>
      </c>
      <c r="D4759">
        <f>HYPERLINK("https://www.youtube.com/watch?v=VdqnAhNrqPU&amp;t=250s", "Go to time")</f>
        <v/>
      </c>
    </row>
    <row r="4760">
      <c r="A4760">
        <f>HYPERLINK("https://www.youtube.com/watch?v=PImDVT8fb-I", "Video")</f>
        <v/>
      </c>
      <c r="B4760" t="inlineStr">
        <is>
          <t>5:28</t>
        </is>
      </c>
      <c r="C4760" t="inlineStr">
        <is>
          <t>but not without dire consequences
for women and for those children,</t>
        </is>
      </c>
      <c r="D4760">
        <f>HYPERLINK("https://www.youtube.com/watch?v=PImDVT8fb-I&amp;t=328s", "Go to time")</f>
        <v/>
      </c>
    </row>
    <row r="4761">
      <c r="A4761">
        <f>HYPERLINK("https://www.youtube.com/watch?v=ZwmUdFtYbzE", "Video")</f>
        <v/>
      </c>
      <c r="B4761" t="inlineStr">
        <is>
          <t>6:36</t>
        </is>
      </c>
      <c r="C4761" t="inlineStr">
        <is>
          <t>felt like walking in the set of a movie
I don’t want to direct or be a part of.</t>
        </is>
      </c>
      <c r="D4761">
        <f>HYPERLINK("https://www.youtube.com/watch?v=ZwmUdFtYbzE&amp;t=396s", "Go to time")</f>
        <v/>
      </c>
    </row>
    <row r="4762">
      <c r="A4762">
        <f>HYPERLINK("https://www.youtube.com/watch?v=ZwmUdFtYbzE", "Video")</f>
        <v/>
      </c>
      <c r="B4762" t="inlineStr">
        <is>
          <t>9:14</t>
        </is>
      </c>
      <c r="C4762" t="inlineStr">
        <is>
          <t>not directly quoting.</t>
        </is>
      </c>
      <c r="D4762">
        <f>HYPERLINK("https://www.youtube.com/watch?v=ZwmUdFtYbzE&amp;t=554s", "Go to time")</f>
        <v/>
      </c>
    </row>
    <row r="4763">
      <c r="A4763">
        <f>HYPERLINK("https://www.youtube.com/watch?v=VQRjouwKDlU", "Video")</f>
        <v/>
      </c>
      <c r="B4763" t="inlineStr">
        <is>
          <t>4:55</t>
        </is>
      </c>
      <c r="C4763" t="inlineStr">
        <is>
          <t>There's a movie by the Canadian
film director Denys Arcand --</t>
        </is>
      </c>
      <c r="D4763">
        <f>HYPERLINK("https://www.youtube.com/watch?v=VQRjouwKDlU&amp;t=295s", "Go to time")</f>
        <v/>
      </c>
    </row>
    <row r="4764">
      <c r="A4764">
        <f>HYPERLINK("https://www.youtube.com/watch?v=7ZVu5N4gOgY", "Video")</f>
        <v/>
      </c>
      <c r="B4764" t="inlineStr">
        <is>
          <t>6:57</t>
        </is>
      </c>
      <c r="C4764" t="inlineStr">
        <is>
          <t>So clearly, the direction for coal</t>
        </is>
      </c>
      <c r="D4764">
        <f>HYPERLINK("https://www.youtube.com/watch?v=7ZVu5N4gOgY&amp;t=417s", "Go to time")</f>
        <v/>
      </c>
    </row>
    <row r="4765">
      <c r="A4765">
        <f>HYPERLINK("https://www.youtube.com/watch?v=IXZkhs45Vzg", "Video")</f>
        <v/>
      </c>
      <c r="B4765" t="inlineStr">
        <is>
          <t>4:58</t>
        </is>
      </c>
      <c r="C4765" t="inlineStr">
        <is>
          <t>One is to expand our direct
full-service program</t>
        </is>
      </c>
      <c r="D4765">
        <f>HYPERLINK("https://www.youtube.com/watch?v=IXZkhs45Vzg&amp;t=298s", "Go to time")</f>
        <v/>
      </c>
    </row>
    <row r="4766">
      <c r="A4766">
        <f>HYPERLINK("https://www.youtube.com/watch?v=zY0U0O6VsOA", "Video")</f>
        <v/>
      </c>
      <c r="B4766" t="inlineStr">
        <is>
          <t>1:43</t>
        </is>
      </c>
      <c r="C4766" t="inlineStr">
        <is>
          <t>have been misdirected.</t>
        </is>
      </c>
      <c r="D4766">
        <f>HYPERLINK("https://www.youtube.com/watch?v=zY0U0O6VsOA&amp;t=103s", "Go to time")</f>
        <v/>
      </c>
    </row>
    <row r="4767">
      <c r="A4767">
        <f>HYPERLINK("https://www.youtube.com/watch?v=zY0U0O6VsOA", "Video")</f>
        <v/>
      </c>
      <c r="B4767" t="inlineStr">
        <is>
          <t>7:29</t>
        </is>
      </c>
      <c r="C4767" t="inlineStr">
        <is>
          <t>and ask whether its values
can steer it in the right direction.</t>
        </is>
      </c>
      <c r="D4767">
        <f>HYPERLINK("https://www.youtube.com/watch?v=zY0U0O6VsOA&amp;t=449s", "Go to time")</f>
        <v/>
      </c>
    </row>
    <row r="4768">
      <c r="A4768">
        <f>HYPERLINK("https://www.youtube.com/watch?v=HEkmWdapz4c", "Video")</f>
        <v/>
      </c>
      <c r="B4768" t="inlineStr">
        <is>
          <t>2:27</t>
        </is>
      </c>
      <c r="C4768" t="inlineStr">
        <is>
          <t>deputy director of WE ACT,
an Environmental Justice Organization,</t>
        </is>
      </c>
      <c r="D4768">
        <f>HYPERLINK("https://www.youtube.com/watch?v=HEkmWdapz4c&amp;t=147s", "Go to time")</f>
        <v/>
      </c>
    </row>
    <row r="4769">
      <c r="A4769">
        <f>HYPERLINK("https://www.youtube.com/watch?v=HEkmWdapz4c", "Video")</f>
        <v/>
      </c>
      <c r="B4769" t="inlineStr">
        <is>
          <t>2:33</t>
        </is>
      </c>
      <c r="C4769" t="inlineStr">
        <is>
          <t>the founder and director
of the Shirley Chisholm Legacy Project,</t>
        </is>
      </c>
      <c r="D4769">
        <f>HYPERLINK("https://www.youtube.com/watch?v=HEkmWdapz4c&amp;t=153s", "Go to time")</f>
        <v/>
      </c>
    </row>
    <row r="4770">
      <c r="A4770">
        <f>HYPERLINK("https://www.youtube.com/watch?v=Ogce5D2XMZ0", "Video")</f>
        <v/>
      </c>
      <c r="B4770" t="inlineStr">
        <is>
          <t>0:20</t>
        </is>
      </c>
      <c r="C4770" t="inlineStr">
        <is>
          <t>I was the director of operations</t>
        </is>
      </c>
      <c r="D4770">
        <f>HYPERLINK("https://www.youtube.com/watch?v=Ogce5D2XMZ0&amp;t=20s", "Go to time")</f>
        <v/>
      </c>
    </row>
    <row r="4771">
      <c r="A4771">
        <f>HYPERLINK("https://www.youtube.com/watch?v=QXGTNROtJkY", "Video")</f>
        <v/>
      </c>
      <c r="B4771" t="inlineStr">
        <is>
          <t>5:23</t>
        </is>
      </c>
      <c r="C4771" t="inlineStr">
        <is>
          <t>the fire that gives you
direction and vision.</t>
        </is>
      </c>
      <c r="D4771">
        <f>HYPERLINK("https://www.youtube.com/watch?v=QXGTNROtJkY&amp;t=323s", "Go to time")</f>
        <v/>
      </c>
    </row>
    <row r="4772">
      <c r="A4772">
        <f>HYPERLINK("https://www.youtube.com/watch?v=u6m2rwNfkrU", "Video")</f>
        <v/>
      </c>
      <c r="B4772" t="inlineStr">
        <is>
          <t>0:37</t>
        </is>
      </c>
      <c r="C4772" t="inlineStr">
        <is>
          <t>films but lacking any direct</t>
        </is>
      </c>
      <c r="D4772">
        <f>HYPERLINK("https://www.youtube.com/watch?v=u6m2rwNfkrU&amp;t=37s", "Go to time")</f>
        <v/>
      </c>
    </row>
    <row r="4773">
      <c r="A4773">
        <f>HYPERLINK("https://www.youtube.com/watch?v=u6m2rwNfkrU", "Video")</f>
        <v/>
      </c>
      <c r="B4773" t="inlineStr">
        <is>
          <t>11:50</t>
        </is>
      </c>
      <c r="C4773" t="inlineStr">
        <is>
          <t>Architects and animators directors and</t>
        </is>
      </c>
      <c r="D4773">
        <f>HYPERLINK("https://www.youtube.com/watch?v=u6m2rwNfkrU&amp;t=710s", "Go to time")</f>
        <v/>
      </c>
    </row>
    <row r="4774">
      <c r="A4774">
        <f>HYPERLINK("https://www.youtube.com/watch?v=u6m2rwNfkrU", "Video")</f>
        <v/>
      </c>
      <c r="B4774" t="inlineStr">
        <is>
          <t>12:20</t>
        </is>
      </c>
      <c r="C4774" t="inlineStr">
        <is>
          <t>to change the direction of the bodies</t>
        </is>
      </c>
      <c r="D4774">
        <f>HYPERLINK("https://www.youtube.com/watch?v=u6m2rwNfkrU&amp;t=740s", "Go to time")</f>
        <v/>
      </c>
    </row>
    <row r="4775">
      <c r="A4775">
        <f>HYPERLINK("https://www.youtube.com/watch?v=IyuiVTsIctg", "Video")</f>
        <v/>
      </c>
      <c r="B4775" t="inlineStr">
        <is>
          <t>2:00</t>
        </is>
      </c>
      <c r="C4775" t="inlineStr">
        <is>
          <t>strategic direction Helen it's been</t>
        </is>
      </c>
      <c r="D4775">
        <f>HYPERLINK("https://www.youtube.com/watch?v=IyuiVTsIctg&amp;t=120s", "Go to time")</f>
        <v/>
      </c>
    </row>
    <row r="4776">
      <c r="A4776">
        <f>HYPERLINK("https://www.youtube.com/watch?v=IyuiVTsIctg", "Video")</f>
        <v/>
      </c>
      <c r="B4776" t="inlineStr">
        <is>
          <t>34:22</t>
        </is>
      </c>
      <c r="C4776" t="inlineStr">
        <is>
          <t>our families but you know the direct</t>
        </is>
      </c>
      <c r="D4776">
        <f>HYPERLINK("https://www.youtube.com/watch?v=IyuiVTsIctg&amp;t=2062s", "Go to time")</f>
        <v/>
      </c>
    </row>
    <row r="4777">
      <c r="A4777">
        <f>HYPERLINK("https://www.youtube.com/watch?v=b5ZESpOAolU", "Video")</f>
        <v/>
      </c>
      <c r="B4777" t="inlineStr">
        <is>
          <t>4:06</t>
        </is>
      </c>
      <c r="C4777" t="inlineStr">
        <is>
          <t>I took a direct approach.</t>
        </is>
      </c>
      <c r="D4777">
        <f>HYPERLINK("https://www.youtube.com/watch?v=b5ZESpOAolU&amp;t=246s", "Go to time")</f>
        <v/>
      </c>
    </row>
    <row r="4778">
      <c r="A4778">
        <f>HYPERLINK("https://www.youtube.com/watch?v=0JGarsZE1rk", "Video")</f>
        <v/>
      </c>
      <c r="B4778" t="inlineStr">
        <is>
          <t>12:17</t>
        </is>
      </c>
      <c r="C4778" t="inlineStr">
        <is>
          <t>directly impacting how much time
a defendant potentially faces behind bars.</t>
        </is>
      </c>
      <c r="D4778">
        <f>HYPERLINK("https://www.youtube.com/watch?v=0JGarsZE1rk&amp;t=737s", "Go to time")</f>
        <v/>
      </c>
    </row>
    <row r="4779">
      <c r="A4779">
        <f>HYPERLINK("https://www.youtube.com/watch?v=xD1ElRT-Sb0", "Video")</f>
        <v/>
      </c>
      <c r="B4779" t="inlineStr">
        <is>
          <t>3:16</t>
        </is>
      </c>
      <c r="C4779" t="inlineStr">
        <is>
          <t>They directly and efficiently
convert electrical energy</t>
        </is>
      </c>
      <c r="D4779">
        <f>HYPERLINK("https://www.youtube.com/watch?v=xD1ElRT-Sb0&amp;t=196s", "Go to time")</f>
        <v/>
      </c>
    </row>
    <row r="4780">
      <c r="A4780">
        <f>HYPERLINK("https://www.youtube.com/watch?v=bJkv9b9o9lo", "Video")</f>
        <v/>
      </c>
      <c r="B4780" t="inlineStr">
        <is>
          <t>4:08</t>
        </is>
      </c>
      <c r="C4780" t="inlineStr">
        <is>
          <t>or in which direction sperm will swim,</t>
        </is>
      </c>
      <c r="D4780">
        <f>HYPERLINK("https://www.youtube.com/watch?v=bJkv9b9o9lo&amp;t=248s", "Go to time")</f>
        <v/>
      </c>
    </row>
    <row r="4781">
      <c r="A4781">
        <f>HYPERLINK("https://www.youtube.com/watch?v=TxwGZppT2WA", "Video")</f>
        <v/>
      </c>
      <c r="B4781" t="inlineStr">
        <is>
          <t>0:10</t>
        </is>
      </c>
      <c r="C4781" t="inlineStr">
        <is>
          <t>Director: Alright,
whenever you’re ready.</t>
        </is>
      </c>
      <c r="D4781">
        <f>HYPERLINK("https://www.youtube.com/watch?v=TxwGZppT2WA&amp;t=10s", "Go to time")</f>
        <v/>
      </c>
    </row>
    <row r="4782">
      <c r="A4782">
        <f>HYPERLINK("https://www.youtube.com/watch?v=TxwGZppT2WA", "Video")</f>
        <v/>
      </c>
      <c r="B4782" t="inlineStr">
        <is>
          <t>1:33</t>
        </is>
      </c>
      <c r="C4782" t="inlineStr">
        <is>
          <t>to take the company
in a more sustainable direction.</t>
        </is>
      </c>
      <c r="D4782">
        <f>HYPERLINK("https://www.youtube.com/watch?v=TxwGZppT2WA&amp;t=93s", "Go to time")</f>
        <v/>
      </c>
    </row>
    <row r="4783">
      <c r="A4783">
        <f>HYPERLINK("https://www.youtube.com/watch?v=Y_p8qwDHtfA", "Video")</f>
        <v/>
      </c>
      <c r="B4783" t="inlineStr">
        <is>
          <t>1:12</t>
        </is>
      </c>
      <c r="C4783" t="inlineStr">
        <is>
          <t>You see, I'm a global solutions
director for top-tier retail,</t>
        </is>
      </c>
      <c r="D4783">
        <f>HYPERLINK("https://www.youtube.com/watch?v=Y_p8qwDHtfA&amp;t=72s", "Go to time")</f>
        <v/>
      </c>
    </row>
    <row r="4784">
      <c r="A4784">
        <f>HYPERLINK("https://www.youtube.com/watch?v=Y_p8qwDHtfA", "Video")</f>
        <v/>
      </c>
      <c r="B4784" t="inlineStr">
        <is>
          <t>4:39</t>
        </is>
      </c>
      <c r="C4784" t="inlineStr">
        <is>
          <t>and direct it to the next
appropriate person.</t>
        </is>
      </c>
      <c r="D4784">
        <f>HYPERLINK("https://www.youtube.com/watch?v=Y_p8qwDHtfA&amp;t=279s", "Go to time")</f>
        <v/>
      </c>
    </row>
    <row r="4785">
      <c r="A4785">
        <f>HYPERLINK("https://www.youtube.com/watch?v=QPC5_P2_Fu8", "Video")</f>
        <v/>
      </c>
      <c r="B4785" t="inlineStr">
        <is>
          <t>3:41</t>
        </is>
      </c>
      <c r="C4785" t="inlineStr">
        <is>
          <t>to add it directly to seawater
to counteract ocean acidification,</t>
        </is>
      </c>
      <c r="D4785">
        <f>HYPERLINK("https://www.youtube.com/watch?v=QPC5_P2_Fu8&amp;t=221s", "Go to time")</f>
        <v/>
      </c>
    </row>
    <row r="4786">
      <c r="A4786">
        <f>HYPERLINK("https://www.youtube.com/watch?v=0f4wtD8eXNk", "Video")</f>
        <v/>
      </c>
      <c r="B4786" t="inlineStr">
        <is>
          <t>3:21</t>
        </is>
      </c>
      <c r="C4786" t="inlineStr">
        <is>
          <t>to the artistic director emerita
of the Alvin Ailey American Dance Theater,</t>
        </is>
      </c>
      <c r="D4786">
        <f>HYPERLINK("https://www.youtube.com/watch?v=0f4wtD8eXNk&amp;t=201s", "Go to time")</f>
        <v/>
      </c>
    </row>
    <row r="4787">
      <c r="A4787">
        <f>HYPERLINK("https://www.youtube.com/watch?v=0f4wtD8eXNk", "Video")</f>
        <v/>
      </c>
      <c r="B4787" t="inlineStr">
        <is>
          <t>6:10</t>
        </is>
      </c>
      <c r="C4787" t="inlineStr">
        <is>
          <t>and then I directed it
for something like 21 years.</t>
        </is>
      </c>
      <c r="D4787">
        <f>HYPERLINK("https://www.youtube.com/watch?v=0f4wtD8eXNk&amp;t=370s", "Go to time")</f>
        <v/>
      </c>
    </row>
    <row r="4788">
      <c r="A4788">
        <f>HYPERLINK("https://www.youtube.com/watch?v=0f4wtD8eXNk", "Video")</f>
        <v/>
      </c>
      <c r="B4788" t="inlineStr">
        <is>
          <t>8:04</t>
        </is>
      </c>
      <c r="C4788" t="inlineStr">
        <is>
          <t>and some other townships
that were really in dire straits.</t>
        </is>
      </c>
      <c r="D4788">
        <f>HYPERLINK("https://www.youtube.com/watch?v=0f4wtD8eXNk&amp;t=484s", "Go to time")</f>
        <v/>
      </c>
    </row>
    <row r="4789">
      <c r="A4789">
        <f>HYPERLINK("https://www.youtube.com/watch?v=5ErKrSyUpEo", "Video")</f>
        <v/>
      </c>
      <c r="B4789" t="inlineStr">
        <is>
          <t>16:52</t>
        </is>
      </c>
      <c r="C4789" t="inlineStr">
        <is>
          <t>that's when it hardens
into hate directed outward,</t>
        </is>
      </c>
      <c r="D4789">
        <f>HYPERLINK("https://www.youtube.com/watch?v=5ErKrSyUpEo&amp;t=1012s", "Go to time")</f>
        <v/>
      </c>
    </row>
    <row r="4790">
      <c r="A4790">
        <f>HYPERLINK("https://www.youtube.com/watch?v=5ErKrSyUpEo", "Video")</f>
        <v/>
      </c>
      <c r="B4790" t="inlineStr">
        <is>
          <t>16:55</t>
        </is>
      </c>
      <c r="C4790" t="inlineStr">
        <is>
          <t>but usually directed inward.</t>
        </is>
      </c>
      <c r="D4790">
        <f>HYPERLINK("https://www.youtube.com/watch?v=5ErKrSyUpEo&amp;t=1015s", "Go to time")</f>
        <v/>
      </c>
    </row>
    <row r="4791">
      <c r="A4791">
        <f>HYPERLINK("https://www.youtube.com/watch?v=5ErKrSyUpEo", "Video")</f>
        <v/>
      </c>
      <c r="B4791" t="inlineStr">
        <is>
          <t>17:37</t>
        </is>
      </c>
      <c r="C4791" t="inlineStr">
        <is>
          <t>that love must be practiced
in all three directions</t>
        </is>
      </c>
      <c r="D4791">
        <f>HYPERLINK("https://www.youtube.com/watch?v=5ErKrSyUpEo&amp;t=1057s", "Go to time")</f>
        <v/>
      </c>
    </row>
    <row r="4792">
      <c r="A4792">
        <f>HYPERLINK("https://www.youtube.com/watch?v=N3SQlrmV1cE", "Video")</f>
        <v/>
      </c>
      <c r="B4792" t="inlineStr">
        <is>
          <t>9:19</t>
        </is>
      </c>
      <c r="C4792" t="inlineStr">
        <is>
          <t>based on the current direction of travel?</t>
        </is>
      </c>
      <c r="D4792">
        <f>HYPERLINK("https://www.youtube.com/watch?v=N3SQlrmV1cE&amp;t=559s", "Go to time")</f>
        <v/>
      </c>
    </row>
    <row r="4793">
      <c r="A4793">
        <f>HYPERLINK("https://www.youtube.com/watch?v=N3SQlrmV1cE", "Video")</f>
        <v/>
      </c>
      <c r="B4793" t="inlineStr">
        <is>
          <t>11:14</t>
        </is>
      </c>
      <c r="C4793" t="inlineStr">
        <is>
          <t>So what's been our direction of travel</t>
        </is>
      </c>
      <c r="D4793">
        <f>HYPERLINK("https://www.youtube.com/watch?v=N3SQlrmV1cE&amp;t=674s", "Go to time")</f>
        <v/>
      </c>
    </row>
    <row r="4794">
      <c r="A4794">
        <f>HYPERLINK("https://www.youtube.com/watch?v=N3SQlrmV1cE", "Video")</f>
        <v/>
      </c>
      <c r="B4794" t="inlineStr">
        <is>
          <t>11:56</t>
        </is>
      </c>
      <c r="C4794" t="inlineStr">
        <is>
          <t>But what's our direction of travel?</t>
        </is>
      </c>
      <c r="D4794">
        <f>HYPERLINK("https://www.youtube.com/watch?v=N3SQlrmV1cE&amp;t=716s", "Go to time")</f>
        <v/>
      </c>
    </row>
    <row r="4795">
      <c r="A4795">
        <f>HYPERLINK("https://www.youtube.com/watch?v=1H0tQZSd-vU", "Video")</f>
        <v/>
      </c>
      <c r="B4795" t="inlineStr">
        <is>
          <t>1:08</t>
        </is>
      </c>
      <c r="C4795" t="inlineStr">
        <is>
          <t>would often guide and direct
the speakers of the people,</t>
        </is>
      </c>
      <c r="D4795">
        <f>HYPERLINK("https://www.youtube.com/watch?v=1H0tQZSd-vU&amp;t=68s", "Go to time")</f>
        <v/>
      </c>
    </row>
    <row r="4796">
      <c r="A4796">
        <f>HYPERLINK("https://www.youtube.com/watch?v=1H0tQZSd-vU", "Video")</f>
        <v/>
      </c>
      <c r="B4796" t="inlineStr">
        <is>
          <t>1:24</t>
        </is>
      </c>
      <c r="C4796" t="inlineStr">
        <is>
          <t>was all guided and directed
by our matriarchs.</t>
        </is>
      </c>
      <c r="D4796">
        <f>HYPERLINK("https://www.youtube.com/watch?v=1H0tQZSd-vU&amp;t=84s", "Go to time")</f>
        <v/>
      </c>
    </row>
    <row r="4797">
      <c r="A4797">
        <f>HYPERLINK("https://www.youtube.com/watch?v=x9Ezzxy0frA", "Video")</f>
        <v/>
      </c>
      <c r="B4797" t="inlineStr">
        <is>
          <t>2:14</t>
        </is>
      </c>
      <c r="C4797" t="inlineStr">
        <is>
          <t>Now the Hi Level mindset wasn’t
something that she directly taught me</t>
        </is>
      </c>
      <c r="D4797">
        <f>HYPERLINK("https://www.youtube.com/watch?v=x9Ezzxy0frA&amp;t=134s", "Go to time")</f>
        <v/>
      </c>
    </row>
    <row r="4798">
      <c r="A4798">
        <f>HYPERLINK("https://www.youtube.com/watch?v=F0ofeD8VKMA", "Video")</f>
        <v/>
      </c>
      <c r="B4798" t="inlineStr">
        <is>
          <t>0:47</t>
        </is>
      </c>
      <c r="C4798" t="inlineStr">
        <is>
          <t>and then look in the other direction.</t>
        </is>
      </c>
      <c r="D4798">
        <f>HYPERLINK("https://www.youtube.com/watch?v=F0ofeD8VKMA&amp;t=47s", "Go to time")</f>
        <v/>
      </c>
    </row>
    <row r="4799">
      <c r="A4799">
        <f>HYPERLINK("https://www.youtube.com/watch?v=F0ofeD8VKMA", "Video")</f>
        <v/>
      </c>
      <c r="B4799" t="inlineStr">
        <is>
          <t>2:25</t>
        </is>
      </c>
      <c r="C4799" t="inlineStr">
        <is>
          <t>but just give them tools
that go in the right direction.</t>
        </is>
      </c>
      <c r="D4799">
        <f>HYPERLINK("https://www.youtube.com/watch?v=F0ofeD8VKMA&amp;t=145s", "Go to time")</f>
        <v/>
      </c>
    </row>
    <row r="4800">
      <c r="A4800">
        <f>HYPERLINK("https://www.youtube.com/watch?v=syxEMoU8KWg", "Video")</f>
        <v/>
      </c>
      <c r="B4800" t="inlineStr">
        <is>
          <t>5:16</t>
        </is>
      </c>
      <c r="C4800" t="inlineStr">
        <is>
          <t>They don't need direction or coercion
from outside funders.</t>
        </is>
      </c>
      <c r="D4800">
        <f>HYPERLINK("https://www.youtube.com/watch?v=syxEMoU8KWg&amp;t=316s", "Go to time")</f>
        <v/>
      </c>
    </row>
    <row r="4801">
      <c r="A4801">
        <f>HYPERLINK("https://www.youtube.com/watch?v=6DRMrFMNXCc", "Video")</f>
        <v/>
      </c>
      <c r="B4801" t="inlineStr">
        <is>
          <t>0:42</t>
        </is>
      </c>
      <c r="C4801" t="inlineStr">
        <is>
          <t>are generated as a direct result
of household consumption.</t>
        </is>
      </c>
      <c r="D4801">
        <f>HYPERLINK("https://www.youtube.com/watch?v=6DRMrFMNXCc&amp;t=42s", "Go to time")</f>
        <v/>
      </c>
    </row>
    <row r="4802">
      <c r="A4802">
        <f>HYPERLINK("https://www.youtube.com/watch?v=M_X0uwAG2Jc", "Video")</f>
        <v/>
      </c>
      <c r="B4802" t="inlineStr">
        <is>
          <t>8:35</t>
        </is>
      </c>
      <c r="C4802" t="inlineStr">
        <is>
          <t>that lends itself very well
to painting directly on the human skin.</t>
        </is>
      </c>
      <c r="D4802">
        <f>HYPERLINK("https://www.youtube.com/watch?v=M_X0uwAG2Jc&amp;t=515s", "Go to time")</f>
        <v/>
      </c>
    </row>
    <row r="4803">
      <c r="A4803">
        <f>HYPERLINK("https://www.youtube.com/watch?v=M_X0uwAG2Jc", "Video")</f>
        <v/>
      </c>
      <c r="B4803" t="inlineStr">
        <is>
          <t>9:15</t>
        </is>
      </c>
      <c r="C4803" t="inlineStr">
        <is>
          <t>and are placing it
directly on the streets.</t>
        </is>
      </c>
      <c r="D4803">
        <f>HYPERLINK("https://www.youtube.com/watch?v=M_X0uwAG2Jc&amp;t=555s", "Go to time")</f>
        <v/>
      </c>
    </row>
    <row r="4804">
      <c r="A4804">
        <f>HYPERLINK("https://www.youtube.com/watch?v=k_Xr0oGW_h4", "Video")</f>
        <v/>
      </c>
      <c r="B4804" t="inlineStr">
        <is>
          <t>3:19</t>
        </is>
      </c>
      <c r="C4804" t="inlineStr">
        <is>
          <t>and it gives you very clear directives.</t>
        </is>
      </c>
      <c r="D4804">
        <f>HYPERLINK("https://www.youtube.com/watch?v=k_Xr0oGW_h4&amp;t=199s", "Go to time")</f>
        <v/>
      </c>
    </row>
    <row r="4805">
      <c r="A4805">
        <f>HYPERLINK("https://www.youtube.com/watch?v=k_Xr0oGW_h4", "Video")</f>
        <v/>
      </c>
      <c r="B4805" t="inlineStr">
        <is>
          <t>3:25</t>
        </is>
      </c>
      <c r="C4805" t="inlineStr">
        <is>
          <t>The problem with the boredom light is
it goes on and there's no clear direction.</t>
        </is>
      </c>
      <c r="D4805">
        <f>HYPERLINK("https://www.youtube.com/watch?v=k_Xr0oGW_h4&amp;t=205s", "Go to time")</f>
        <v/>
      </c>
    </row>
    <row r="4806">
      <c r="A4806">
        <f>HYPERLINK("https://www.youtube.com/watch?v=z7_LwuuPsAE", "Video")</f>
        <v/>
      </c>
      <c r="B4806" t="inlineStr">
        <is>
          <t>2:45</t>
        </is>
      </c>
      <c r="C4806" t="inlineStr">
        <is>
          <t>they do so only indirectly.</t>
        </is>
      </c>
      <c r="D4806">
        <f>HYPERLINK("https://www.youtube.com/watch?v=z7_LwuuPsAE&amp;t=165s", "Go to time")</f>
        <v/>
      </c>
    </row>
    <row r="4807">
      <c r="A4807">
        <f>HYPERLINK("https://www.youtube.com/watch?v=z7_LwuuPsAE", "Video")</f>
        <v/>
      </c>
      <c r="B4807" t="inlineStr">
        <is>
          <t>5:51</t>
        </is>
      </c>
      <c r="C4807" t="inlineStr">
        <is>
          <t>in a bottom-up or outside-in direction.</t>
        </is>
      </c>
      <c r="D4807">
        <f>HYPERLINK("https://www.youtube.com/watch?v=z7_LwuuPsAE&amp;t=351s", "Go to time")</f>
        <v/>
      </c>
    </row>
    <row r="4808">
      <c r="A4808">
        <f>HYPERLINK("https://www.youtube.com/watch?v=z7_LwuuPsAE", "Video")</f>
        <v/>
      </c>
      <c r="B4808" t="inlineStr">
        <is>
          <t>12:08</t>
        </is>
      </c>
      <c r="C4808" t="inlineStr">
        <is>
          <t>won't be solved directly --
it will be dissolved.</t>
        </is>
      </c>
      <c r="D4808">
        <f>HYPERLINK("https://www.youtube.com/watch?v=z7_LwuuPsAE&amp;t=728s", "Go to time")</f>
        <v/>
      </c>
    </row>
    <row r="4809">
      <c r="A4809">
        <f>HYPERLINK("https://www.youtube.com/watch?v=MyVfUaXyyqo", "Video")</f>
        <v/>
      </c>
      <c r="B4809" t="inlineStr">
        <is>
          <t>7:34</t>
        </is>
      </c>
      <c r="C4809" t="inlineStr">
        <is>
          <t>we should be heading
in the opposite direction</t>
        </is>
      </c>
      <c r="D4809">
        <f>HYPERLINK("https://www.youtube.com/watch?v=MyVfUaXyyqo&amp;t=454s", "Go to time")</f>
        <v/>
      </c>
    </row>
    <row r="4810">
      <c r="A4810">
        <f>HYPERLINK("https://www.youtube.com/watch?v=CzGu9bP07i0", "Video")</f>
        <v/>
      </c>
      <c r="B4810" t="inlineStr">
        <is>
          <t>5:20</t>
        </is>
      </c>
      <c r="C4810" t="inlineStr">
        <is>
          <t>For that, let me take the example
of DAC or direct air capture.</t>
        </is>
      </c>
      <c r="D4810">
        <f>HYPERLINK("https://www.youtube.com/watch?v=CzGu9bP07i0&amp;t=320s", "Go to time")</f>
        <v/>
      </c>
    </row>
    <row r="4811">
      <c r="A4811">
        <f>HYPERLINK("https://www.youtube.com/watch?v=HW2SSoYteIs", "Video")</f>
        <v/>
      </c>
      <c r="B4811" t="inlineStr">
        <is>
          <t>10:47</t>
        </is>
      </c>
      <c r="C4811" t="inlineStr">
        <is>
          <t>Or an artist, knowing
the direct impact of their work.</t>
        </is>
      </c>
      <c r="D4811">
        <f>HYPERLINK("https://www.youtube.com/watch?v=HW2SSoYteIs&amp;t=647s", "Go to time")</f>
        <v/>
      </c>
    </row>
    <row r="4812">
      <c r="A4812">
        <f>HYPERLINK("https://www.youtube.com/watch?v=NYJUgzZYaoo", "Video")</f>
        <v/>
      </c>
      <c r="B4812" t="inlineStr">
        <is>
          <t>6:33</t>
        </is>
      </c>
      <c r="C4812" t="inlineStr">
        <is>
          <t>Fifth, there is so much more
money being directed</t>
        </is>
      </c>
      <c r="D4812">
        <f>HYPERLINK("https://www.youtube.com/watch?v=NYJUgzZYaoo&amp;t=393s", "Go to time")</f>
        <v/>
      </c>
    </row>
    <row r="4813">
      <c r="A4813">
        <f>HYPERLINK("https://www.youtube.com/watch?v=hnygd-8rriU", "Video")</f>
        <v/>
      </c>
      <c r="B4813" t="inlineStr">
        <is>
          <t>44:51</t>
        </is>
      </c>
      <c r="C4813" t="inlineStr">
        <is>
          <t>and you have this system
that is massively state-directed</t>
        </is>
      </c>
      <c r="D4813">
        <f>HYPERLINK("https://www.youtube.com/watch?v=hnygd-8rriU&amp;t=2691s", "Go to time")</f>
        <v/>
      </c>
    </row>
    <row r="4814">
      <c r="A4814">
        <f>HYPERLINK("https://www.youtube.com/watch?v=hnygd-8rriU", "Video")</f>
        <v/>
      </c>
      <c r="B4814" t="inlineStr">
        <is>
          <t>48:50</t>
        </is>
      </c>
      <c r="C4814" t="inlineStr">
        <is>
          <t>In the US that Trump hasn't yet been
willing to go after directly,</t>
        </is>
      </c>
      <c r="D4814">
        <f>HYPERLINK("https://www.youtube.com/watch?v=hnygd-8rriU&amp;t=2930s", "Go to time")</f>
        <v/>
      </c>
    </row>
    <row r="4815">
      <c r="A4815">
        <f>HYPERLINK("https://www.youtube.com/watch?v=SHSmo72oVao", "Video")</f>
        <v/>
      </c>
      <c r="B4815" t="inlineStr">
        <is>
          <t>6:18</t>
        </is>
      </c>
      <c r="C4815" t="inlineStr">
        <is>
          <t>future as it spirals in this direction</t>
        </is>
      </c>
      <c r="D4815">
        <f>HYPERLINK("https://www.youtube.com/watch?v=SHSmo72oVao&amp;t=378s", "Go to time")</f>
        <v/>
      </c>
    </row>
    <row r="4816">
      <c r="A4816">
        <f>HYPERLINK("https://www.youtube.com/watch?v=pR83Woy0zDs", "Video")</f>
        <v/>
      </c>
      <c r="B4816" t="inlineStr">
        <is>
          <t>3:39</t>
        </is>
      </c>
      <c r="C4816" t="inlineStr">
        <is>
          <t>If they don't have a direct connection</t>
        </is>
      </c>
      <c r="D4816">
        <f>HYPERLINK("https://www.youtube.com/watch?v=pR83Woy0zDs&amp;t=219s", "Go to time")</f>
        <v/>
      </c>
    </row>
    <row r="4817">
      <c r="A4817">
        <f>HYPERLINK("https://www.youtube.com/watch?v=-I3e6Mkfp7M", "Video")</f>
        <v/>
      </c>
      <c r="B4817" t="inlineStr">
        <is>
          <t>2:56</t>
        </is>
      </c>
      <c r="C4817" t="inlineStr">
        <is>
          <t>running directly across municipal streets</t>
        </is>
      </c>
      <c r="D4817">
        <f>HYPERLINK("https://www.youtube.com/watch?v=-I3e6Mkfp7M&amp;t=176s", "Go to time")</f>
        <v/>
      </c>
    </row>
    <row r="4818">
      <c r="A4818">
        <f>HYPERLINK("https://www.youtube.com/watch?v=X1RBhX1esq8", "Video")</f>
        <v/>
      </c>
      <c r="B4818" t="inlineStr">
        <is>
          <t>3:23</t>
        </is>
      </c>
      <c r="C4818" t="inlineStr">
        <is>
          <t>And those tools can directly translate
to more people getting out of the system</t>
        </is>
      </c>
      <c r="D4818">
        <f>HYPERLINK("https://www.youtube.com/watch?v=X1RBhX1esq8&amp;t=203s", "Go to time")</f>
        <v/>
      </c>
    </row>
    <row r="4819">
      <c r="A4819">
        <f>HYPERLINK("https://www.youtube.com/watch?v=kIFOiF9Q4VM", "Video")</f>
        <v/>
      </c>
      <c r="B4819" t="inlineStr">
        <is>
          <t>2:49</t>
        </is>
      </c>
      <c r="C4819" t="inlineStr">
        <is>
          <t>things like apologizing
for a misdirected, snarky text</t>
        </is>
      </c>
      <c r="D4819">
        <f>HYPERLINK("https://www.youtube.com/watch?v=kIFOiF9Q4VM&amp;t=169s", "Go to time")</f>
        <v/>
      </c>
    </row>
    <row r="4820">
      <c r="A4820">
        <f>HYPERLINK("https://www.youtube.com/watch?v=kIFOiF9Q4VM", "Video")</f>
        <v/>
      </c>
      <c r="B4820" t="inlineStr">
        <is>
          <t>4:14</t>
        </is>
      </c>
      <c r="C4820" t="inlineStr">
        <is>
          <t>our direct reports, our TEDx audience.</t>
        </is>
      </c>
      <c r="D4820">
        <f>HYPERLINK("https://www.youtube.com/watch?v=kIFOiF9Q4VM&amp;t=254s", "Go to time")</f>
        <v/>
      </c>
    </row>
    <row r="4821">
      <c r="A4821">
        <f>HYPERLINK("https://www.youtube.com/watch?v=kIFOiF9Q4VM", "Video")</f>
        <v/>
      </c>
      <c r="B4821" t="inlineStr">
        <is>
          <t>12:28</t>
        </is>
      </c>
      <c r="C4821" t="inlineStr">
        <is>
          <t>the direction of why you do what you do.</t>
        </is>
      </c>
      <c r="D4821">
        <f>HYPERLINK("https://www.youtube.com/watch?v=kIFOiF9Q4VM&amp;t=748s", "Go to time")</f>
        <v/>
      </c>
    </row>
    <row r="4822">
      <c r="A4822">
        <f>HYPERLINK("https://www.youtube.com/watch?v=kIFOiF9Q4VM", "Video")</f>
        <v/>
      </c>
      <c r="B4822" t="inlineStr">
        <is>
          <t>12:44</t>
        </is>
      </c>
      <c r="C4822" t="inlineStr">
        <is>
          <t>we change direction of the circuit.</t>
        </is>
      </c>
      <c r="D4822">
        <f>HYPERLINK("https://www.youtube.com/watch?v=kIFOiF9Q4VM&amp;t=764s", "Go to time")</f>
        <v/>
      </c>
    </row>
    <row r="4823">
      <c r="A4823">
        <f>HYPERLINK("https://www.youtube.com/watch?v=kIFOiF9Q4VM", "Video")</f>
        <v/>
      </c>
      <c r="B4823" t="inlineStr">
        <is>
          <t>13:19</t>
        </is>
      </c>
      <c r="C4823" t="inlineStr">
        <is>
          <t>changing direction might look
like naming how awkward it is</t>
        </is>
      </c>
      <c r="D4823">
        <f>HYPERLINK("https://www.youtube.com/watch?v=kIFOiF9Q4VM&amp;t=799s", "Go to time")</f>
        <v/>
      </c>
    </row>
    <row r="4824">
      <c r="A4824">
        <f>HYPERLINK("https://www.youtube.com/watch?v=kIFOiF9Q4VM", "Video")</f>
        <v/>
      </c>
      <c r="B4824" t="inlineStr">
        <is>
          <t>14:20</t>
        </is>
      </c>
      <c r="C4824" t="inlineStr">
        <is>
          <t>Changing direction isn't easy.</t>
        </is>
      </c>
      <c r="D4824">
        <f>HYPERLINK("https://www.youtube.com/watch?v=kIFOiF9Q4VM&amp;t=860s", "Go to time")</f>
        <v/>
      </c>
    </row>
    <row r="4825">
      <c r="A4825">
        <f>HYPERLINK("https://www.youtube.com/watch?v=hn8N8p9P5gw", "Video")</f>
        <v/>
      </c>
      <c r="B4825" t="inlineStr">
        <is>
          <t>3:17</t>
        </is>
      </c>
      <c r="C4825" t="inlineStr">
        <is>
          <t>it pushes it in the direction
towards its taller edge.</t>
        </is>
      </c>
      <c r="D4825">
        <f>HYPERLINK("https://www.youtube.com/watch?v=hn8N8p9P5gw&amp;t=197s", "Go to time")</f>
        <v/>
      </c>
    </row>
    <row r="4826">
      <c r="A4826">
        <f>HYPERLINK("https://www.youtube.com/watch?v=hn8N8p9P5gw", "Video")</f>
        <v/>
      </c>
      <c r="B4826" t="inlineStr">
        <is>
          <t>3:27</t>
        </is>
      </c>
      <c r="C4826" t="inlineStr">
        <is>
          <t>When the hair bundle is pushed
in the opposite direction,</t>
        </is>
      </c>
      <c r="D4826">
        <f>HYPERLINK("https://www.youtube.com/watch?v=hn8N8p9P5gw&amp;t=207s", "Go to time")</f>
        <v/>
      </c>
    </row>
    <row r="4827">
      <c r="A4827">
        <f>HYPERLINK("https://www.youtube.com/watch?v=SFpCQRZOxVE", "Video")</f>
        <v/>
      </c>
      <c r="B4827" t="inlineStr">
        <is>
          <t>6:40</t>
        </is>
      </c>
      <c r="C4827" t="inlineStr">
        <is>
          <t>Anand is also, you know,
the proud managing director</t>
        </is>
      </c>
      <c r="D4827">
        <f>HYPERLINK("https://www.youtube.com/watch?v=SFpCQRZOxVE&amp;t=400s", "Go to time")</f>
        <v/>
      </c>
    </row>
    <row r="4828">
      <c r="A4828">
        <f>HYPERLINK("https://www.youtube.com/watch?v=SFpCQRZOxVE", "Video")</f>
        <v/>
      </c>
      <c r="B4828" t="inlineStr">
        <is>
          <t>7:12</t>
        </is>
      </c>
      <c r="C4828" t="inlineStr">
        <is>
          <t>and then to trade directly
with big buyers for higher prices.</t>
        </is>
      </c>
      <c r="D4828">
        <f>HYPERLINK("https://www.youtube.com/watch?v=SFpCQRZOxVE&amp;t=432s", "Go to time")</f>
        <v/>
      </c>
    </row>
    <row r="4829">
      <c r="A4829">
        <f>HYPERLINK("https://www.youtube.com/watch?v=7pMhqyteR5g", "Video")</f>
        <v/>
      </c>
      <c r="B4829" t="inlineStr">
        <is>
          <t>1:26</t>
        </is>
      </c>
      <c r="C4829" t="inlineStr">
        <is>
          <t>we might grow materials directly
with living organisms.</t>
        </is>
      </c>
      <c r="D4829">
        <f>HYPERLINK("https://www.youtube.com/watch?v=7pMhqyteR5g&amp;t=86s", "Go to time")</f>
        <v/>
      </c>
    </row>
    <row r="4830">
      <c r="A4830">
        <f>HYPERLINK("https://www.youtube.com/watch?v=Lz9CQ2zKt3M", "Video")</f>
        <v/>
      </c>
      <c r="B4830" t="inlineStr">
        <is>
          <t>11:55</t>
        </is>
      </c>
      <c r="C4830" t="inlineStr">
        <is>
          <t>JK: Well, we have to be honest
and forthright and direct</t>
        </is>
      </c>
      <c r="D4830">
        <f>HYPERLINK("https://www.youtube.com/watch?v=Lz9CQ2zKt3M&amp;t=715s", "Go to time")</f>
        <v/>
      </c>
    </row>
    <row r="4831">
      <c r="A4831">
        <f>HYPERLINK("https://www.youtube.com/watch?v=Lz9CQ2zKt3M", "Video")</f>
        <v/>
      </c>
      <c r="B4831" t="inlineStr">
        <is>
          <t>34:00</t>
        </is>
      </c>
      <c r="C4831" t="inlineStr">
        <is>
          <t>is actually being immediately and directly</t>
        </is>
      </c>
      <c r="D4831">
        <f>HYPERLINK("https://www.youtube.com/watch?v=Lz9CQ2zKt3M&amp;t=2040s", "Go to time")</f>
        <v/>
      </c>
    </row>
    <row r="4832">
      <c r="A4832">
        <f>HYPERLINK("https://www.youtube.com/watch?v=Lz9CQ2zKt3M", "Video")</f>
        <v/>
      </c>
      <c r="B4832" t="inlineStr">
        <is>
          <t>35:17</t>
        </is>
      </c>
      <c r="C4832" t="inlineStr">
        <is>
          <t>which will actually fight hard to direct
funds to the investments</t>
        </is>
      </c>
      <c r="D4832">
        <f>HYPERLINK("https://www.youtube.com/watch?v=Lz9CQ2zKt3M&amp;t=2117s", "Go to time")</f>
        <v/>
      </c>
    </row>
    <row r="4833">
      <c r="A4833">
        <f>HYPERLINK("https://www.youtube.com/watch?v=1LX6rCIZaIU", "Video")</f>
        <v/>
      </c>
      <c r="B4833" t="inlineStr">
        <is>
          <t>12:36</t>
        </is>
      </c>
      <c r="C4833" t="inlineStr">
        <is>
          <t>On the other hand, some great directors,
like Erich Von Stroheim,</t>
        </is>
      </c>
      <c r="D4833">
        <f>HYPERLINK("https://www.youtube.com/watch?v=1LX6rCIZaIU&amp;t=756s", "Go to time")</f>
        <v/>
      </c>
    </row>
    <row r="4834">
      <c r="A4834">
        <f>HYPERLINK("https://www.youtube.com/watch?v=VDP27kIe7-s", "Video")</f>
        <v/>
      </c>
      <c r="B4834" t="inlineStr">
        <is>
          <t>0:57</t>
        </is>
      </c>
      <c r="C4834" t="inlineStr">
        <is>
          <t>And the most direct action
at Tompkins Conservation</t>
        </is>
      </c>
      <c r="D4834">
        <f>HYPERLINK("https://www.youtube.com/watch?v=VDP27kIe7-s&amp;t=57s", "Go to time")</f>
        <v/>
      </c>
    </row>
    <row r="4835">
      <c r="A4835">
        <f>HYPERLINK("https://www.youtube.com/watch?v=EpipswT-LuE", "Video")</f>
        <v/>
      </c>
      <c r="B4835" t="inlineStr">
        <is>
          <t>5:25</t>
        </is>
      </c>
      <c r="C4835" t="inlineStr">
        <is>
          <t>and provided our data directly</t>
        </is>
      </c>
      <c r="D4835">
        <f>HYPERLINK("https://www.youtube.com/watch?v=EpipswT-LuE&amp;t=325s", "Go to time")</f>
        <v/>
      </c>
    </row>
    <row r="4836">
      <c r="A4836">
        <f>HYPERLINK("https://www.youtube.com/watch?v=EpipswT-LuE", "Video")</f>
        <v/>
      </c>
      <c r="B4836" t="inlineStr">
        <is>
          <t>5:46</t>
        </is>
      </c>
      <c r="C4836" t="inlineStr">
        <is>
          <t>and have provided it directly
to the United States and NATO allies.</t>
        </is>
      </c>
      <c r="D4836">
        <f>HYPERLINK("https://www.youtube.com/watch?v=EpipswT-LuE&amp;t=346s", "Go to time")</f>
        <v/>
      </c>
    </row>
    <row r="4837">
      <c r="A4837">
        <f>HYPERLINK("https://www.youtube.com/watch?v=KHuwaKrHuR0", "Video")</f>
        <v/>
      </c>
      <c r="B4837" t="inlineStr">
        <is>
          <t>9:54</t>
        </is>
      </c>
      <c r="C4837" t="inlineStr">
        <is>
          <t>to act in this direction.</t>
        </is>
      </c>
      <c r="D4837">
        <f>HYPERLINK("https://www.youtube.com/watch?v=KHuwaKrHuR0&amp;t=594s", "Go to time")</f>
        <v/>
      </c>
    </row>
    <row r="4838">
      <c r="A4838">
        <f>HYPERLINK("https://www.youtube.com/watch?v=KHuwaKrHuR0", "Video")</f>
        <v/>
      </c>
      <c r="B4838" t="inlineStr">
        <is>
          <t>11:33</t>
        </is>
      </c>
      <c r="C4838" t="inlineStr">
        <is>
          <t>is directed to the integral well-being
of the human being</t>
        </is>
      </c>
      <c r="D4838">
        <f>HYPERLINK("https://www.youtube.com/watch?v=KHuwaKrHuR0&amp;t=693s", "Go to time")</f>
        <v/>
      </c>
    </row>
    <row r="4839">
      <c r="A4839">
        <f>HYPERLINK("https://www.youtube.com/watch?v=3VEkzweBJPM", "Video")</f>
        <v/>
      </c>
      <c r="B4839" t="inlineStr">
        <is>
          <t>13:28</t>
        </is>
      </c>
      <c r="C4839" t="inlineStr">
        <is>
          <t>Let's direct our energy
toward the crisis of belonging.</t>
        </is>
      </c>
      <c r="D4839">
        <f>HYPERLINK("https://www.youtube.com/watch?v=3VEkzweBJPM&amp;t=808s", "Go to time")</f>
        <v/>
      </c>
    </row>
    <row r="4840">
      <c r="A4840">
        <f>HYPERLINK("https://www.youtube.com/watch?v=yHGRBTZI6w0", "Video")</f>
        <v/>
      </c>
      <c r="B4840" t="inlineStr">
        <is>
          <t>4:03</t>
        </is>
      </c>
      <c r="C4840" t="inlineStr">
        <is>
          <t>It's a direction, it's a North Star
for a company.</t>
        </is>
      </c>
      <c r="D4840">
        <f>HYPERLINK("https://www.youtube.com/watch?v=yHGRBTZI6w0&amp;t=243s", "Go to time")</f>
        <v/>
      </c>
    </row>
    <row r="4841">
      <c r="A4841">
        <f>HYPERLINK("https://www.youtube.com/watch?v=yHGRBTZI6w0", "Video")</f>
        <v/>
      </c>
      <c r="B4841" t="inlineStr">
        <is>
          <t>6:27</t>
        </is>
      </c>
      <c r="C4841" t="inlineStr">
        <is>
          <t>we don't issue cards ourselves directly.</t>
        </is>
      </c>
      <c r="D4841">
        <f>HYPERLINK("https://www.youtube.com/watch?v=yHGRBTZI6w0&amp;t=387s", "Go to time")</f>
        <v/>
      </c>
    </row>
    <row r="4842">
      <c r="A4842">
        <f>HYPERLINK("https://www.youtube.com/watch?v=JfeRLwlnuHo", "Video")</f>
        <v/>
      </c>
      <c r="B4842" t="inlineStr">
        <is>
          <t>3:13</t>
        </is>
      </c>
      <c r="C4842" t="inlineStr">
        <is>
          <t>and redirecting resources
to meet human needs</t>
        </is>
      </c>
      <c r="D4842">
        <f>HYPERLINK("https://www.youtube.com/watch?v=JfeRLwlnuHo&amp;t=193s", "Go to time")</f>
        <v/>
      </c>
    </row>
    <row r="4843">
      <c r="A4843">
        <f>HYPERLINK("https://www.youtube.com/watch?v=JfeRLwlnuHo", "Video")</f>
        <v/>
      </c>
      <c r="B4843" t="inlineStr">
        <is>
          <t>3:17</t>
        </is>
      </c>
      <c r="C4843" t="inlineStr">
        <is>
          <t>and protect nature directly.</t>
        </is>
      </c>
      <c r="D4843">
        <f>HYPERLINK("https://www.youtube.com/watch?v=JfeRLwlnuHo&amp;t=197s", "Go to time")</f>
        <v/>
      </c>
    </row>
    <row r="4844">
      <c r="A4844">
        <f>HYPERLINK("https://www.youtube.com/watch?v=JfeRLwlnuHo", "Video")</f>
        <v/>
      </c>
      <c r="B4844" t="inlineStr">
        <is>
          <t>7:32</t>
        </is>
      </c>
      <c r="C4844" t="inlineStr">
        <is>
          <t>That's changing the forward direction
away from a cliff.</t>
        </is>
      </c>
      <c r="D4844">
        <f>HYPERLINK("https://www.youtube.com/watch?v=JfeRLwlnuHo&amp;t=452s", "Go to time")</f>
        <v/>
      </c>
    </row>
    <row r="4845">
      <c r="A4845">
        <f>HYPERLINK("https://www.youtube.com/watch?v=JfeRLwlnuHo", "Video")</f>
        <v/>
      </c>
      <c r="B4845" t="inlineStr">
        <is>
          <t>9:45</t>
        </is>
      </c>
      <c r="C4845" t="inlineStr">
        <is>
          <t>which will be pivotal,
once directed towards the right goal.</t>
        </is>
      </c>
      <c r="D4845">
        <f>HYPERLINK("https://www.youtube.com/watch?v=JfeRLwlnuHo&amp;t=585s", "Go to time")</f>
        <v/>
      </c>
    </row>
    <row r="4846">
      <c r="A4846">
        <f>HYPERLINK("https://www.youtube.com/watch?v=JfeRLwlnuHo", "Video")</f>
        <v/>
      </c>
      <c r="B4846" t="inlineStr">
        <is>
          <t>9:49</t>
        </is>
      </c>
      <c r="C4846" t="inlineStr">
        <is>
          <t>This redirection is indispensable.</t>
        </is>
      </c>
      <c r="D4846">
        <f>HYPERLINK("https://www.youtube.com/watch?v=JfeRLwlnuHo&amp;t=589s", "Go to time")</f>
        <v/>
      </c>
    </row>
    <row r="4847">
      <c r="A4847">
        <f>HYPERLINK("https://www.youtube.com/watch?v=JrRRvqgYgT0", "Video")</f>
        <v/>
      </c>
      <c r="B4847" t="inlineStr">
        <is>
          <t>7:43</t>
        </is>
      </c>
      <c r="C4847" t="inlineStr">
        <is>
          <t>is through direct or indirect voting.</t>
        </is>
      </c>
      <c r="D4847">
        <f>HYPERLINK("https://www.youtube.com/watch?v=JrRRvqgYgT0&amp;t=463s", "Go to time")</f>
        <v/>
      </c>
    </row>
    <row r="4848">
      <c r="A4848">
        <f>HYPERLINK("https://www.youtube.com/watch?v=H9ZOpQzjukY", "Video")</f>
        <v/>
      </c>
      <c r="B4848" t="inlineStr">
        <is>
          <t>7:07</t>
        </is>
      </c>
      <c r="C4848" t="inlineStr">
        <is>
          <t>So by touching our work directly,
we're not only going to control it better,</t>
        </is>
      </c>
      <c r="D4848">
        <f>HYPERLINK("https://www.youtube.com/watch?v=H9ZOpQzjukY&amp;t=427s", "Go to time")</f>
        <v/>
      </c>
    </row>
    <row r="4849">
      <c r="A4849">
        <f>HYPERLINK("https://www.youtube.com/watch?v=b5Jy8WvQXPA", "Video")</f>
        <v/>
      </c>
      <c r="B4849" t="inlineStr">
        <is>
          <t>1:53</t>
        </is>
      </c>
      <c r="C4849" t="inlineStr">
        <is>
          <t>from actors and directors</t>
        </is>
      </c>
      <c r="D4849">
        <f>HYPERLINK("https://www.youtube.com/watch?v=b5Jy8WvQXPA&amp;t=113s", "Go to time")</f>
        <v/>
      </c>
    </row>
    <row r="4850">
      <c r="A4850">
        <f>HYPERLINK("https://www.youtube.com/watch?v=Xe8fIjxicoo", "Video")</f>
        <v/>
      </c>
      <c r="B4850" t="inlineStr">
        <is>
          <t>43:09</t>
        </is>
      </c>
      <c r="C4850" t="inlineStr">
        <is>
          <t>on whether you think we are heading
in the right direction,</t>
        </is>
      </c>
      <c r="D4850">
        <f>HYPERLINK("https://www.youtube.com/watch?v=Xe8fIjxicoo&amp;t=2589s", "Go to time")</f>
        <v/>
      </c>
    </row>
    <row r="4851">
      <c r="A4851">
        <f>HYPERLINK("https://www.youtube.com/watch?v=tZ7ySrDVqOs", "Video")</f>
        <v/>
      </c>
      <c r="B4851" t="inlineStr">
        <is>
          <t>2:08</t>
        </is>
      </c>
      <c r="C4851" t="inlineStr">
        <is>
          <t>which move in several directions at once.</t>
        </is>
      </c>
      <c r="D4851">
        <f>HYPERLINK("https://www.youtube.com/watch?v=tZ7ySrDVqOs&amp;t=128s", "Go to time")</f>
        <v/>
      </c>
    </row>
    <row r="4852">
      <c r="A4852">
        <f>HYPERLINK("https://www.youtube.com/watch?v=Cdfc9PuXdD0", "Video")</f>
        <v/>
      </c>
      <c r="B4852" t="inlineStr">
        <is>
          <t>1:57</t>
        </is>
      </c>
      <c r="C4852" t="inlineStr">
        <is>
          <t>Babies seem to inherit Demodex mites
through direct contact,</t>
        </is>
      </c>
      <c r="D4852">
        <f>HYPERLINK("https://www.youtube.com/watch?v=Cdfc9PuXdD0&amp;t=117s", "Go to time")</f>
        <v/>
      </c>
    </row>
    <row r="4853">
      <c r="A4853">
        <f>HYPERLINK("https://www.youtube.com/watch?v=k8d5Pf7VIiU", "Video")</f>
        <v/>
      </c>
      <c r="B4853" t="inlineStr">
        <is>
          <t>0:41</t>
        </is>
      </c>
      <c r="C4853" t="inlineStr">
        <is>
          <t>are called direct irradiance.</t>
        </is>
      </c>
      <c r="D4853">
        <f>HYPERLINK("https://www.youtube.com/watch?v=k8d5Pf7VIiU&amp;t=41s", "Go to time")</f>
        <v/>
      </c>
    </row>
    <row r="4854">
      <c r="A4854">
        <f>HYPERLINK("https://www.youtube.com/watch?v=k8d5Pf7VIiU", "Video")</f>
        <v/>
      </c>
      <c r="B4854" t="inlineStr">
        <is>
          <t>1:13</t>
        </is>
      </c>
      <c r="C4854" t="inlineStr">
        <is>
          <t>only the direct rays onto a single point on the tower,</t>
        </is>
      </c>
      <c r="D4854">
        <f>HYPERLINK("https://www.youtube.com/watch?v=k8d5Pf7VIiU&amp;t=73s", "Go to time")</f>
        <v/>
      </c>
    </row>
    <row r="4855">
      <c r="A4855">
        <f>HYPERLINK("https://www.youtube.com/watch?v=k8d5Pf7VIiU", "Video")</f>
        <v/>
      </c>
      <c r="B4855" t="inlineStr">
        <is>
          <t>1:49</t>
        </is>
      </c>
      <c r="C4855" t="inlineStr">
        <is>
          <t>while solar towers can only use direct irradiance,</t>
        </is>
      </c>
      <c r="D4855">
        <f>HYPERLINK("https://www.youtube.com/watch?v=k8d5Pf7VIiU&amp;t=109s", "Go to time")</f>
        <v/>
      </c>
    </row>
    <row r="4856">
      <c r="A4856">
        <f>HYPERLINK("https://www.youtube.com/watch?v=k8d5Pf7VIiU", "Video")</f>
        <v/>
      </c>
      <c r="B4856" t="inlineStr">
        <is>
          <t>2:10</t>
        </is>
      </c>
      <c r="C4856" t="inlineStr">
        <is>
          <t>to almost zero because of this dependence on direct rays.</t>
        </is>
      </c>
      <c r="D4856">
        <f>HYPERLINK("https://www.youtube.com/watch?v=k8d5Pf7VIiU&amp;t=130s", "Go to time")</f>
        <v/>
      </c>
    </row>
    <row r="4857">
      <c r="A4857">
        <f>HYPERLINK("https://www.youtube.com/watch?v=Nlcr1jd_Tok", "Video")</f>
        <v/>
      </c>
      <c r="B4857" t="inlineStr">
        <is>
          <t>0:36</t>
        </is>
      </c>
      <c r="C4857" t="inlineStr">
        <is>
          <t>or are moving in that direction.</t>
        </is>
      </c>
      <c r="D4857">
        <f>HYPERLINK("https://www.youtube.com/watch?v=Nlcr1jd_Tok&amp;t=36s", "Go to time")</f>
        <v/>
      </c>
    </row>
    <row r="4858">
      <c r="A4858">
        <f>HYPERLINK("https://www.youtube.com/watch?v=Nlcr1jd_Tok", "Video")</f>
        <v/>
      </c>
      <c r="B4858" t="inlineStr">
        <is>
          <t>1:19</t>
        </is>
      </c>
      <c r="C4858" t="inlineStr">
        <is>
          <t>But endocannabinoids 
travel in the opposite direction.</t>
        </is>
      </c>
      <c r="D4858">
        <f>HYPERLINK("https://www.youtube.com/watch?v=Nlcr1jd_Tok&amp;t=79s", "Go to time")</f>
        <v/>
      </c>
    </row>
    <row r="4859">
      <c r="A4859">
        <f>HYPERLINK("https://www.youtube.com/watch?v=Nlcr1jd_Tok", "Video")</f>
        <v/>
      </c>
      <c r="B4859" t="inlineStr">
        <is>
          <t>2:58</t>
        </is>
      </c>
      <c r="C4859" t="inlineStr">
        <is>
          <t>that the cannabinoid system
indirectly affects many other systems,</t>
        </is>
      </c>
      <c r="D4859">
        <f>HYPERLINK("https://www.youtube.com/watch?v=Nlcr1jd_Tok&amp;t=178s", "Go to time")</f>
        <v/>
      </c>
    </row>
    <row r="4860">
      <c r="A4860">
        <f>HYPERLINK("https://www.youtube.com/watch?v=3s2QPQnuaGk", "Video")</f>
        <v/>
      </c>
      <c r="B4860" t="inlineStr">
        <is>
          <t>4:19</t>
        </is>
      </c>
      <c r="C4860" t="inlineStr">
        <is>
          <t>powerless to change his son's dire fate.</t>
        </is>
      </c>
      <c r="D4860">
        <f>HYPERLINK("https://www.youtube.com/watch?v=3s2QPQnuaGk&amp;t=259s", "Go to time")</f>
        <v/>
      </c>
    </row>
    <row r="4861">
      <c r="A4861">
        <f>HYPERLINK("https://www.youtube.com/watch?v=5pBGutEhZes", "Video")</f>
        <v/>
      </c>
      <c r="B4861" t="inlineStr">
        <is>
          <t>2:18</t>
        </is>
      </c>
      <c r="C4861" t="inlineStr">
        <is>
          <t>Sherlock asked him nothing more
than walking directions to the Strand</t>
        </is>
      </c>
      <c r="D4861">
        <f>HYPERLINK("https://www.youtube.com/watch?v=5pBGutEhZes&amp;t=138s", "Go to time")</f>
        <v/>
      </c>
    </row>
    <row r="4862">
      <c r="A4862">
        <f>HYPERLINK("https://www.youtube.com/watch?v=5pBGutEhZes", "Video")</f>
        <v/>
      </c>
      <c r="B4862" t="inlineStr">
        <is>
          <t>2:51</t>
        </is>
      </c>
      <c r="C4862" t="inlineStr">
        <is>
          <t>Inside, Sherlock and two other men:
a bank director and a police officer.</t>
        </is>
      </c>
      <c r="D4862">
        <f>HYPERLINK("https://www.youtube.com/watch?v=5pBGutEhZes&amp;t=171s", "Go to time")</f>
        <v/>
      </c>
    </row>
    <row r="4863">
      <c r="A4863">
        <f>HYPERLINK("https://www.youtube.com/watch?v=6sBB-gRhfjE", "Video")</f>
        <v/>
      </c>
      <c r="B4863" t="inlineStr">
        <is>
          <t>1:47</t>
        </is>
      </c>
      <c r="C4863" t="inlineStr">
        <is>
          <t>or walking the same block twice 
in any direction?</t>
        </is>
      </c>
      <c r="D4863">
        <f>HYPERLINK("https://www.youtube.com/watch?v=6sBB-gRhfjE&amp;t=107s", "Go to time")</f>
        <v/>
      </c>
    </row>
    <row r="4864">
      <c r="A4864">
        <f>HYPERLINK("https://www.youtube.com/watch?v=6sBB-gRhfjE", "Video")</f>
        <v/>
      </c>
      <c r="B4864" t="inlineStr">
        <is>
          <t>3:03</t>
        </is>
      </c>
      <c r="C4864" t="inlineStr">
        <is>
          <t>The key here is that while the different 
taxes for opposite directions</t>
        </is>
      </c>
      <c r="D4864">
        <f>HYPERLINK("https://www.youtube.com/watch?v=6sBB-gRhfjE&amp;t=183s", "Go to time")</f>
        <v/>
      </c>
    </row>
    <row r="4865">
      <c r="A4865">
        <f>HYPERLINK("https://www.youtube.com/watch?v=6sBB-gRhfjE", "Video")</f>
        <v/>
      </c>
      <c r="B4865" t="inlineStr">
        <is>
          <t>4:22</t>
        </is>
      </c>
      <c r="C4865" t="inlineStr">
        <is>
          <t>sometimes an indirect route 
is the best way to reach your destination.</t>
        </is>
      </c>
      <c r="D4865">
        <f>HYPERLINK("https://www.youtube.com/watch?v=6sBB-gRhfjE&amp;t=262s", "Go to time")</f>
        <v/>
      </c>
    </row>
    <row r="4866">
      <c r="A4866">
        <f>HYPERLINK("https://www.youtube.com/watch?v=wkPR4Rcf4ww", "Video")</f>
        <v/>
      </c>
      <c r="B4866" t="inlineStr">
        <is>
          <t>3:32</t>
        </is>
      </c>
      <c r="C4866" t="inlineStr">
        <is>
          <t>which seems to focus 
directly on bureaucracy,</t>
        </is>
      </c>
      <c r="D4866">
        <f>HYPERLINK("https://www.youtube.com/watch?v=wkPR4Rcf4ww&amp;t=212s", "Go to time")</f>
        <v/>
      </c>
    </row>
    <row r="4867">
      <c r="A4867">
        <f>HYPERLINK("https://www.youtube.com/watch?v=yxonJTWhBJQ", "Video")</f>
        <v/>
      </c>
      <c r="B4867" t="inlineStr">
        <is>
          <t>4:19</t>
        </is>
      </c>
      <c r="C4867" t="inlineStr">
        <is>
          <t>has suggested that we can
actually direct their evolution</t>
        </is>
      </c>
      <c r="D4867">
        <f>HYPERLINK("https://www.youtube.com/watch?v=yxonJTWhBJQ&amp;t=259s", "Go to time")</f>
        <v/>
      </c>
    </row>
    <row r="4868">
      <c r="A4868">
        <f>HYPERLINK("https://www.youtube.com/watch?v=eakyDiXX6Uc", "Video")</f>
        <v/>
      </c>
      <c r="B4868" t="inlineStr">
        <is>
          <t>0:37</t>
        </is>
      </c>
      <c r="C4868" t="inlineStr">
        <is>
          <t>scientists thought that pain was 
a direct response to damage.</t>
        </is>
      </c>
      <c r="D4868">
        <f>HYPERLINK("https://www.youtube.com/watch?v=eakyDiXX6Uc&amp;t=37s", "Go to time")</f>
        <v/>
      </c>
    </row>
    <row r="4869">
      <c r="A4869">
        <f>HYPERLINK("https://www.youtube.com/watch?v=eakyDiXX6Uc", "Video")</f>
        <v/>
      </c>
      <c r="B4869" t="inlineStr">
        <is>
          <t>3:06</t>
        </is>
      </c>
      <c r="C4869" t="inlineStr">
        <is>
          <t>potentially by influencing nociception and
by influencing the brain directly.</t>
        </is>
      </c>
      <c r="D4869">
        <f>HYPERLINK("https://www.youtube.com/watch?v=eakyDiXX6Uc&amp;t=186s", "Go to time")</f>
        <v/>
      </c>
    </row>
    <row r="4870">
      <c r="A4870">
        <f>HYPERLINK("https://www.youtube.com/watch?v=bObfR_uJ4oQ", "Video")</f>
        <v/>
      </c>
      <c r="B4870" t="inlineStr">
        <is>
          <t>2:12</t>
        </is>
      </c>
      <c r="C4870" t="inlineStr">
        <is>
          <t>These revolutionaries were attacked
from every direction.</t>
        </is>
      </c>
      <c r="D4870">
        <f>HYPERLINK("https://www.youtube.com/watch?v=bObfR_uJ4oQ&amp;t=132s", "Go to time")</f>
        <v/>
      </c>
    </row>
    <row r="4871">
      <c r="A4871">
        <f>HYPERLINK("https://www.youtube.com/watch?v=cjbgZwgdY7Q", "Video")</f>
        <v/>
      </c>
      <c r="B4871" t="inlineStr">
        <is>
          <t>1:58</t>
        </is>
      </c>
      <c r="C4871" t="inlineStr">
        <is>
          <t>to directly access her blood stream.</t>
        </is>
      </c>
      <c r="D4871">
        <f>HYPERLINK("https://www.youtube.com/watch?v=cjbgZwgdY7Q&amp;t=118s", "Go to time")</f>
        <v/>
      </c>
    </row>
    <row r="4872">
      <c r="A4872">
        <f>HYPERLINK("https://www.youtube.com/watch?v=j2ZdF9qo7IA", "Video")</f>
        <v/>
      </c>
      <c r="B4872" t="inlineStr">
        <is>
          <t>3:44</t>
        </is>
      </c>
      <c r="C4872" t="inlineStr">
        <is>
          <t>bouncing around everywhere
in all directions, all the time.</t>
        </is>
      </c>
      <c r="D4872">
        <f>HYPERLINK("https://www.youtube.com/watch?v=j2ZdF9qo7IA&amp;t=224s", "Go to time")</f>
        <v/>
      </c>
    </row>
    <row r="4873">
      <c r="A4873">
        <f>HYPERLINK("https://www.youtube.com/watch?v=j2ZdF9qo7IA", "Video")</f>
        <v/>
      </c>
      <c r="B4873" t="inlineStr">
        <is>
          <t>3:51</t>
        </is>
      </c>
      <c r="C4873" t="inlineStr">
        <is>
          <t>at the same speed from every direction.</t>
        </is>
      </c>
      <c r="D4873">
        <f>HYPERLINK("https://www.youtube.com/watch?v=j2ZdF9qo7IA&amp;t=231s", "Go to time")</f>
        <v/>
      </c>
    </row>
    <row r="4874">
      <c r="A4874">
        <f>HYPERLINK("https://www.youtube.com/watch?v=j2ZdF9qo7IA", "Video")</f>
        <v/>
      </c>
      <c r="B4874" t="inlineStr">
        <is>
          <t>4:05</t>
        </is>
      </c>
      <c r="C4874" t="inlineStr">
        <is>
          <t>any direction we travel, the CMB appears
more energetic or blue-shifted,</t>
        </is>
      </c>
      <c r="D4874">
        <f>HYPERLINK("https://www.youtube.com/watch?v=j2ZdF9qo7IA&amp;t=245s", "Go to time")</f>
        <v/>
      </c>
    </row>
    <row r="4875">
      <c r="A4875">
        <f>HYPERLINK("https://www.youtube.com/watch?v=j2ZdF9qo7IA", "Video")</f>
        <v/>
      </c>
      <c r="B4875" t="inlineStr">
        <is>
          <t>4:13</t>
        </is>
      </c>
      <c r="C4875" t="inlineStr">
        <is>
          <t>By measuring the degree
and direction of that shift,</t>
        </is>
      </c>
      <c r="D4875">
        <f>HYPERLINK("https://www.youtube.com/watch?v=j2ZdF9qo7IA&amp;t=253s", "Go to time")</f>
        <v/>
      </c>
    </row>
    <row r="4876">
      <c r="A4876">
        <f>HYPERLINK("https://www.youtube.com/watch?v=qrKZBh8BL_U", "Video")</f>
        <v/>
      </c>
      <c r="B4876" t="inlineStr">
        <is>
          <t>0:12</t>
        </is>
      </c>
      <c r="C4876" t="inlineStr">
        <is>
          <t>able to detect anywhere 
from a few photons to direct sunlight,</t>
        </is>
      </c>
      <c r="D4876">
        <f>HYPERLINK("https://www.youtube.com/watch?v=qrKZBh8BL_U&amp;t=12s", "Go to time")</f>
        <v/>
      </c>
    </row>
    <row r="4877">
      <c r="A4877">
        <f>HYPERLINK("https://www.youtube.com/watch?v=qrKZBh8BL_U", "Video")</f>
        <v/>
      </c>
      <c r="B4877" t="inlineStr">
        <is>
          <t>1:07</t>
        </is>
      </c>
      <c r="C4877" t="inlineStr">
        <is>
          <t>enables it to better sense
the direction of the incoming light.</t>
        </is>
      </c>
      <c r="D4877">
        <f>HYPERLINK("https://www.youtube.com/watch?v=qrKZBh8BL_U&amp;t=67s", "Go to time")</f>
        <v/>
      </c>
    </row>
    <row r="4878">
      <c r="A4878">
        <f>HYPERLINK("https://www.youtube.com/watch?v=qrKZBh8BL_U", "Video")</f>
        <v/>
      </c>
      <c r="B4878" t="inlineStr">
        <is>
          <t>1:39</t>
        </is>
      </c>
      <c r="C4878" t="inlineStr">
        <is>
          <t>uses this pinhole eye for improved 
resolution and directional sensing.</t>
        </is>
      </c>
      <c r="D4878">
        <f>HYPERLINK("https://www.youtube.com/watch?v=qrKZBh8BL_U&amp;t=99s", "Go to time")</f>
        <v/>
      </c>
    </row>
    <row r="4879">
      <c r="A4879">
        <f>HYPERLINK("https://www.youtube.com/watch?v=NVd8kuufBhM", "Video")</f>
        <v/>
      </c>
      <c r="B4879" t="inlineStr">
        <is>
          <t>0:43</t>
        </is>
      </c>
      <c r="C4879" t="inlineStr">
        <is>
          <t>misdirected religious fervor—</t>
        </is>
      </c>
      <c r="D4879">
        <f>HYPERLINK("https://www.youtube.com/watch?v=NVd8kuufBhM&amp;t=43s", "Go to time")</f>
        <v/>
      </c>
    </row>
    <row r="4880">
      <c r="A4880">
        <f>HYPERLINK("https://www.youtube.com/watch?v=IwYut9qF-jM", "Video")</f>
        <v/>
      </c>
      <c r="B4880" t="inlineStr">
        <is>
          <t>2:39</t>
        </is>
      </c>
      <c r="C4880" t="inlineStr">
        <is>
          <t>the nerve's fibers are
stimulated directly.</t>
        </is>
      </c>
      <c r="D4880">
        <f>HYPERLINK("https://www.youtube.com/watch?v=IwYut9qF-jM&amp;t=159s", "Go to time")</f>
        <v/>
      </c>
    </row>
    <row r="4881">
      <c r="A4881">
        <f>HYPERLINK("https://www.youtube.com/watch?v=Tudal_4x4F0", "Video")</f>
        <v/>
      </c>
      <c r="B4881" t="inlineStr">
        <is>
          <t>3:38</t>
        </is>
      </c>
      <c r="C4881" t="inlineStr">
        <is>
          <t>Fracturing directly 
into underground water</t>
        </is>
      </c>
      <c r="D4881">
        <f>HYPERLINK("https://www.youtube.com/watch?v=Tudal_4x4F0&amp;t=218s", "Go to time")</f>
        <v/>
      </c>
    </row>
    <row r="4882">
      <c r="A4882">
        <f>HYPERLINK("https://www.youtube.com/watch?v=y6u1GPpJuR4", "Video")</f>
        <v/>
      </c>
      <c r="B4882" t="inlineStr">
        <is>
          <t>1:15</t>
        </is>
      </c>
      <c r="C4882" t="inlineStr">
        <is>
          <t>or through indirect cues.</t>
        </is>
      </c>
      <c r="D4882">
        <f>HYPERLINK("https://www.youtube.com/watch?v=y6u1GPpJuR4&amp;t=75s", "Go to time")</f>
        <v/>
      </c>
    </row>
    <row r="4883">
      <c r="A4883">
        <f>HYPERLINK("https://www.youtube.com/watch?v=y6u1GPpJuR4", "Video")</f>
        <v/>
      </c>
      <c r="B4883" t="inlineStr">
        <is>
          <t>1:20</t>
        </is>
      </c>
      <c r="C4883" t="inlineStr">
        <is>
          <t>Travel in the same direction 
as those around you,</t>
        </is>
      </c>
      <c r="D4883">
        <f>HYPERLINK("https://www.youtube.com/watch?v=y6u1GPpJuR4&amp;t=80s", "Go to time")</f>
        <v/>
      </c>
    </row>
    <row r="4884">
      <c r="A4884">
        <f>HYPERLINK("https://www.youtube.com/watch?v=y6u1GPpJuR4", "Video")</f>
        <v/>
      </c>
      <c r="B4884" t="inlineStr">
        <is>
          <t>1:42</t>
        </is>
      </c>
      <c r="C4884" t="inlineStr">
        <is>
          <t>Moving in the same direction
as your neighbors</t>
        </is>
      </c>
      <c r="D4884">
        <f>HYPERLINK("https://www.youtube.com/watch?v=y6u1GPpJuR4&amp;t=102s", "Go to time")</f>
        <v/>
      </c>
    </row>
    <row r="4885">
      <c r="A4885">
        <f>HYPERLINK("https://www.youtube.com/watch?v=oiAQlDBJ88U", "Video")</f>
        <v/>
      </c>
      <c r="B4885" t="inlineStr">
        <is>
          <t>2:32</t>
        </is>
      </c>
      <c r="C4885" t="inlineStr">
        <is>
          <t>that you aren’t consciously directing.</t>
        </is>
      </c>
      <c r="D4885">
        <f>HYPERLINK("https://www.youtube.com/watch?v=oiAQlDBJ88U&amp;t=152s", "Go to time")</f>
        <v/>
      </c>
    </row>
    <row r="4886">
      <c r="A4886">
        <f>HYPERLINK("https://www.youtube.com/watch?v=aJKqtoAcutA", "Video")</f>
        <v/>
      </c>
      <c r="B4886" t="inlineStr">
        <is>
          <t>0:44</t>
        </is>
      </c>
      <c r="C4886" t="inlineStr">
        <is>
          <t>inspire intercontinental diplomacy, 
and indirectly begin a civil war.</t>
        </is>
      </c>
      <c r="D4886">
        <f>HYPERLINK("https://www.youtube.com/watch?v=aJKqtoAcutA&amp;t=44s", "Go to time")</f>
        <v/>
      </c>
    </row>
    <row r="4887">
      <c r="A4887">
        <f>HYPERLINK("https://www.youtube.com/watch?v=jhRuUoTnA6g", "Video")</f>
        <v/>
      </c>
      <c r="B4887" t="inlineStr">
        <is>
          <t>0:21</t>
        </is>
      </c>
      <c r="C4887" t="inlineStr">
        <is>
          <t>including the direction 
they should send aid.</t>
        </is>
      </c>
      <c r="D4887">
        <f>HYPERLINK("https://www.youtube.com/watch?v=jhRuUoTnA6g&amp;t=21s", "Go to time")</f>
        <v/>
      </c>
    </row>
    <row r="4888">
      <c r="A4888">
        <f>HYPERLINK("https://www.youtube.com/watch?v=jhRuUoTnA6g", "Video")</f>
        <v/>
      </c>
      <c r="B4888" t="inlineStr">
        <is>
          <t>4:35</t>
        </is>
      </c>
      <c r="C4888" t="inlineStr">
        <is>
          <t>without waiting for directions 
from a vase.</t>
        </is>
      </c>
      <c r="D4888">
        <f>HYPERLINK("https://www.youtube.com/watch?v=jhRuUoTnA6g&amp;t=275s", "Go to time")</f>
        <v/>
      </c>
    </row>
    <row r="4889">
      <c r="A4889">
        <f>HYPERLINK("https://www.youtube.com/watch?v=dcZ0BXJYlUA", "Video")</f>
        <v/>
      </c>
      <c r="B4889" t="inlineStr">
        <is>
          <t>0:51</t>
        </is>
      </c>
      <c r="C4889" t="inlineStr">
        <is>
          <t>which redirects a river’s natural flow
through a large pipe called a penstock.</t>
        </is>
      </c>
      <c r="D4889">
        <f>HYPERLINK("https://www.youtube.com/watch?v=dcZ0BXJYlUA&amp;t=51s", "Go to time")</f>
        <v/>
      </c>
    </row>
    <row r="4890">
      <c r="A4890">
        <f>HYPERLINK("https://www.youtube.com/watch?v=pMdJxVjZMRI", "Video")</f>
        <v/>
      </c>
      <c r="B4890" t="inlineStr">
        <is>
          <t>2:37</t>
        </is>
      </c>
      <c r="C4890" t="inlineStr">
        <is>
          <t>Pandora clawed desperately at the air 
to direct them back into their prison.</t>
        </is>
      </c>
      <c r="D4890">
        <f>HYPERLINK("https://www.youtube.com/watch?v=pMdJxVjZMRI&amp;t=157s", "Go to time")</f>
        <v/>
      </c>
    </row>
    <row r="4891">
      <c r="A4891">
        <f>HYPERLINK("https://www.youtube.com/watch?v=uSTNyHkde08", "Video")</f>
        <v/>
      </c>
      <c r="B4891" t="inlineStr">
        <is>
          <t>2:21</t>
        </is>
      </c>
      <c r="C4891" t="inlineStr">
        <is>
          <t>laying their eggs
directly into a dung pat.</t>
        </is>
      </c>
      <c r="D4891">
        <f>HYPERLINK("https://www.youtube.com/watch?v=uSTNyHkde08&amp;t=141s", "Go to time")</f>
        <v/>
      </c>
    </row>
    <row r="4892">
      <c r="A4892">
        <f>HYPERLINK("https://www.youtube.com/watch?v=j7heZpuvu4U", "Video")</f>
        <v/>
      </c>
      <c r="B4892" t="inlineStr">
        <is>
          <t>2:41</t>
        </is>
      </c>
      <c r="C4892" t="inlineStr">
        <is>
          <t>to redirect, reshape, even 
temporarily trap it.</t>
        </is>
      </c>
      <c r="D4892">
        <f>HYPERLINK("https://www.youtube.com/watch?v=j7heZpuvu4U&amp;t=161s", "Go to time")</f>
        <v/>
      </c>
    </row>
    <row r="4893">
      <c r="A4893">
        <f>HYPERLINK("https://www.youtube.com/watch?v=odP3akRWJlY", "Video")</f>
        <v/>
      </c>
      <c r="B4893" t="inlineStr">
        <is>
          <t>3:57</t>
        </is>
      </c>
      <c r="C4893" t="inlineStr">
        <is>
          <t>This would make it difficult to directly 
observe from a great distance,</t>
        </is>
      </c>
      <c r="D4893">
        <f>HYPERLINK("https://www.youtube.com/watch?v=odP3akRWJlY&amp;t=237s", "Go to time")</f>
        <v/>
      </c>
    </row>
    <row r="4894">
      <c r="A4894">
        <f>HYPERLINK("https://www.youtube.com/watch?v=OiKQjezOKXc", "Video")</f>
        <v/>
      </c>
      <c r="B4894" t="inlineStr">
        <is>
          <t>0:28</t>
        </is>
      </c>
      <c r="C4894" t="inlineStr">
        <is>
          <t>In fact, he approached
the US government directly—</t>
        </is>
      </c>
      <c r="D4894">
        <f>HYPERLINK("https://www.youtube.com/watch?v=OiKQjezOKXc&amp;t=28s", "Go to time")</f>
        <v/>
      </c>
    </row>
    <row r="4895">
      <c r="A4895">
        <f>HYPERLINK("https://www.youtube.com/watch?v=OiKQjezOKXc", "Video")</f>
        <v/>
      </c>
      <c r="B4895" t="inlineStr">
        <is>
          <t>1:53</t>
        </is>
      </c>
      <c r="C4895" t="inlineStr">
        <is>
          <t>While von Braun approached
the US directly,</t>
        </is>
      </c>
      <c r="D4895">
        <f>HYPERLINK("https://www.youtube.com/watch?v=OiKQjezOKXc&amp;t=113s", "Go to time")</f>
        <v/>
      </c>
    </row>
    <row r="4896">
      <c r="A4896">
        <f>HYPERLINK("https://www.youtube.com/watch?v=NAXHHBUY9_E", "Video")</f>
        <v/>
      </c>
      <c r="B4896" t="inlineStr">
        <is>
          <t>2:32</t>
        </is>
      </c>
      <c r="C4896" t="inlineStr">
        <is>
          <t>In the meantime, indirect evidence,</t>
        </is>
      </c>
      <c r="D4896">
        <f>HYPERLINK("https://www.youtube.com/watch?v=NAXHHBUY9_E&amp;t=152s", "Go to time")</f>
        <v/>
      </c>
    </row>
    <row r="4897">
      <c r="A4897">
        <f>HYPERLINK("https://www.youtube.com/watch?v=4wuL8ZSaDvw", "Video")</f>
        <v/>
      </c>
      <c r="B4897" t="inlineStr">
        <is>
          <t>4:50</t>
        </is>
      </c>
      <c r="C4897" t="inlineStr">
        <is>
          <t>the most dire symptoms often don’t appear
until days after consumption.</t>
        </is>
      </c>
      <c r="D4897">
        <f>HYPERLINK("https://www.youtube.com/watch?v=4wuL8ZSaDvw&amp;t=290s", "Go to time")</f>
        <v/>
      </c>
    </row>
    <row r="4898">
      <c r="A4898">
        <f>HYPERLINK("https://www.youtube.com/watch?v=FN3MFhYPWWo", "Video")</f>
        <v/>
      </c>
      <c r="B4898" t="inlineStr">
        <is>
          <t>2:12</t>
        </is>
      </c>
      <c r="C4898" t="inlineStr">
        <is>
          <t>and redirects them as urine 
out of the kidneys</t>
        </is>
      </c>
      <c r="D4898">
        <f>HYPERLINK("https://www.youtube.com/watch?v=FN3MFhYPWWo&amp;t=132s", "Go to time")</f>
        <v/>
      </c>
    </row>
    <row r="4899">
      <c r="A4899">
        <f>HYPERLINK("https://www.youtube.com/watch?v=cpJlQo_65Ko", "Video")</f>
        <v/>
      </c>
      <c r="B4899" t="inlineStr">
        <is>
          <t>2:08</t>
        </is>
      </c>
      <c r="C4899" t="inlineStr">
        <is>
          <t>which helps it determine 
the direction of the water’s flow.</t>
        </is>
      </c>
      <c r="D4899">
        <f>HYPERLINK("https://www.youtube.com/watch?v=cpJlQo_65Ko&amp;t=128s", "Go to time")</f>
        <v/>
      </c>
    </row>
    <row r="4900">
      <c r="A4900">
        <f>HYPERLINK("https://www.youtube.com/watch?v=zs-zATBh_Ho", "Video")</f>
        <v/>
      </c>
      <c r="B4900" t="inlineStr">
        <is>
          <t>1:53</t>
        </is>
      </c>
      <c r="C4900" t="inlineStr">
        <is>
          <t>but under the surface they carved
their designs directly into the rock.</t>
        </is>
      </c>
      <c r="D4900">
        <f>HYPERLINK("https://www.youtube.com/watch?v=zs-zATBh_Ho&amp;t=113s", "Go to time")</f>
        <v/>
      </c>
    </row>
    <row r="4901">
      <c r="A4901">
        <f>HYPERLINK("https://www.youtube.com/watch?v=zs-zATBh_Ho", "Video")</f>
        <v/>
      </c>
      <c r="B4901" t="inlineStr">
        <is>
          <t>3:11</t>
        </is>
      </c>
      <c r="C4901" t="inlineStr">
        <is>
          <t>Building directly into the region’s
rocky cliffsides,</t>
        </is>
      </c>
      <c r="D4901">
        <f>HYPERLINK("https://www.youtube.com/watch?v=zs-zATBh_Ho&amp;t=191s", "Go to time")</f>
        <v/>
      </c>
    </row>
    <row r="4902">
      <c r="A4902">
        <f>HYPERLINK("https://www.youtube.com/watch?v=vzvVNAwJKMc", "Video")</f>
        <v/>
      </c>
      <c r="B4902" t="inlineStr">
        <is>
          <t>0:45</t>
        </is>
      </c>
      <c r="C4902" t="inlineStr">
        <is>
          <t>in three directions you'll notice that</t>
        </is>
      </c>
      <c r="D4902">
        <f>HYPERLINK("https://www.youtube.com/watch?v=vzvVNAwJKMc&amp;t=45s", "Go to time")</f>
        <v/>
      </c>
    </row>
    <row r="4903">
      <c r="A4903">
        <f>HYPERLINK("https://www.youtube.com/watch?v=DcIYMCC0M1w", "Video")</f>
        <v/>
      </c>
      <c r="B4903" t="inlineStr">
        <is>
          <t>0:55</t>
        </is>
      </c>
      <c r="C4903" t="inlineStr">
        <is>
          <t>Loisforeribari: A direction, as in:
are you going</t>
        </is>
      </c>
      <c r="D4903">
        <f>HYPERLINK("https://www.youtube.com/watch?v=DcIYMCC0M1w&amp;t=55s", "Go to time")</f>
        <v/>
      </c>
    </row>
    <row r="4904">
      <c r="A4904">
        <f>HYPERLINK("https://www.youtube.com/watch?v=oqGuJhOeMek", "Video")</f>
        <v/>
      </c>
      <c r="B4904" t="inlineStr">
        <is>
          <t>2:35</t>
        </is>
      </c>
      <c r="C4904" t="inlineStr">
        <is>
          <t>the golgi apparatus also gives the antibody directions,</t>
        </is>
      </c>
      <c r="D4904">
        <f>HYPERLINK("https://www.youtube.com/watch?v=oqGuJhOeMek&amp;t=155s", "Go to time")</f>
        <v/>
      </c>
    </row>
    <row r="4905">
      <c r="A4905">
        <f>HYPERLINK("https://www.youtube.com/watch?v=IYHfiQ4R7Bs", "Video")</f>
        <v/>
      </c>
      <c r="B4905" t="inlineStr">
        <is>
          <t>0:51</t>
        </is>
      </c>
      <c r="C4905" t="inlineStr">
        <is>
          <t>the vibration come directly 
from the musician's mouth.</t>
        </is>
      </c>
      <c r="D4905">
        <f>HYPERLINK("https://www.youtube.com/watch?v=IYHfiQ4R7Bs&amp;t=51s", "Go to time")</f>
        <v/>
      </c>
    </row>
    <row r="4906">
      <c r="A4906">
        <f>HYPERLINK("https://www.youtube.com/watch?v=YEJ2qryXcIQ", "Video")</f>
        <v/>
      </c>
      <c r="B4906" t="inlineStr">
        <is>
          <t>2:46</t>
        </is>
      </c>
      <c r="C4906" t="inlineStr">
        <is>
          <t>But if a quartz crystal is squeezed
along a certain direction,</t>
        </is>
      </c>
      <c r="D4906">
        <f>HYPERLINK("https://www.youtube.com/watch?v=YEJ2qryXcIQ&amp;t=166s", "Go to time")</f>
        <v/>
      </c>
    </row>
    <row r="4907">
      <c r="A4907">
        <f>HYPERLINK("https://www.youtube.com/watch?v=sz3Yv3On4lE", "Video")</f>
        <v/>
      </c>
      <c r="B4907" t="inlineStr">
        <is>
          <t>1:07</t>
        </is>
      </c>
      <c r="C4907" t="inlineStr">
        <is>
          <t>Directly connected to 
the mother's blood supply,</t>
        </is>
      </c>
      <c r="D4907">
        <f>HYPERLINK("https://www.youtube.com/watch?v=sz3Yv3On4lE&amp;t=67s", "Go to time")</f>
        <v/>
      </c>
    </row>
    <row r="4908">
      <c r="A4908">
        <f>HYPERLINK("https://www.youtube.com/watch?v=wCLP3djiKvM", "Video")</f>
        <v/>
      </c>
      <c r="B4908" t="inlineStr">
        <is>
          <t>4:11</t>
        </is>
      </c>
      <c r="C4908" t="inlineStr">
        <is>
          <t>directly improves the financial 
circumstances of the less wealthy.</t>
        </is>
      </c>
      <c r="D4908">
        <f>HYPERLINK("https://www.youtube.com/watch?v=wCLP3djiKvM&amp;t=251s", "Go to time")</f>
        <v/>
      </c>
    </row>
    <row r="4909">
      <c r="A4909">
        <f>HYPERLINK("https://www.youtube.com/watch?v=1rDVz_Fb6HQ", "Video")</f>
        <v/>
      </c>
      <c r="B4909" t="inlineStr">
        <is>
          <t>2:12</t>
        </is>
      </c>
      <c r="C4909" t="inlineStr">
        <is>
          <t>the green-walled house must be directly
to the left of the white-walled one,</t>
        </is>
      </c>
      <c r="D4909">
        <f>HYPERLINK("https://www.youtube.com/watch?v=1rDVz_Fb6HQ&amp;t=132s", "Go to time")</f>
        <v/>
      </c>
    </row>
    <row r="4910">
      <c r="A4910">
        <f>HYPERLINK("https://www.youtube.com/watch?v=JwhouCNq-Fc", "Video")</f>
        <v/>
      </c>
      <c r="B4910" t="inlineStr">
        <is>
          <t>3:42</t>
        </is>
      </c>
      <c r="C4910" t="inlineStr">
        <is>
          <t>Smith uses language in a way
that is powerful, direct,</t>
        </is>
      </c>
      <c r="D4910">
        <f>HYPERLINK("https://www.youtube.com/watch?v=JwhouCNq-Fc&amp;t=222s", "Go to time")</f>
        <v/>
      </c>
    </row>
    <row r="4911">
      <c r="A4911">
        <f>HYPERLINK("https://www.youtube.com/watch?v=OEekFTj5PvU", "Video")</f>
        <v/>
      </c>
      <c r="B4911" t="inlineStr">
        <is>
          <t>3:04</t>
        </is>
      </c>
      <c r="C4911" t="inlineStr">
        <is>
          <t>As director,</t>
        </is>
      </c>
      <c r="D4911">
        <f>HYPERLINK("https://www.youtube.com/watch?v=OEekFTj5PvU&amp;t=184s", "Go to time")</f>
        <v/>
      </c>
    </row>
    <row r="4912">
      <c r="A4912">
        <f>HYPERLINK("https://www.youtube.com/watch?v=OEekFTj5PvU", "Video")</f>
        <v/>
      </c>
      <c r="B4912" t="inlineStr">
        <is>
          <t>3:20</t>
        </is>
      </c>
      <c r="C4912" t="inlineStr">
        <is>
          <t>the director of the Royal Music Academy,</t>
        </is>
      </c>
      <c r="D4912">
        <f>HYPERLINK("https://www.youtube.com/watch?v=OEekFTj5PvU&amp;t=200s", "Go to time")</f>
        <v/>
      </c>
    </row>
    <row r="4913">
      <c r="A4913">
        <f>HYPERLINK("https://www.youtube.com/watch?v=P27waC05Hdk", "Video")</f>
        <v/>
      </c>
      <c r="B4913" t="inlineStr">
        <is>
          <t>1:44</t>
        </is>
      </c>
      <c r="C4913" t="inlineStr">
        <is>
          <t>it is directed into the Fallopian tube
by the finger-like fimbriae.</t>
        </is>
      </c>
      <c r="D4913">
        <f>HYPERLINK("https://www.youtube.com/watch?v=P27waC05Hdk&amp;t=104s", "Go to time")</f>
        <v/>
      </c>
    </row>
    <row r="4914">
      <c r="A4914">
        <f>HYPERLINK("https://www.youtube.com/watch?v=o9Kum_Jijdk", "Video")</f>
        <v/>
      </c>
      <c r="B4914" t="inlineStr">
        <is>
          <t>2:00</t>
        </is>
      </c>
      <c r="C4914" t="inlineStr">
        <is>
          <t>now a look of stern warning, focused directly towards Rome,</t>
        </is>
      </c>
      <c r="D4914">
        <f>HYPERLINK("https://www.youtube.com/watch?v=o9Kum_Jijdk&amp;t=120s", "Go to time")</f>
        <v/>
      </c>
    </row>
    <row r="4915">
      <c r="A4915">
        <f>HYPERLINK("https://www.youtube.com/watch?v=YlxKh4oCKhw", "Video")</f>
        <v/>
      </c>
      <c r="B4915" t="inlineStr">
        <is>
          <t>0:57</t>
        </is>
      </c>
      <c r="C4915" t="inlineStr">
        <is>
          <t>So why don’t we feel pulled in billions 
of different directions?</t>
        </is>
      </c>
      <c r="D4915">
        <f>HYPERLINK("https://www.youtube.com/watch?v=YlxKh4oCKhw&amp;t=57s", "Go to time")</f>
        <v/>
      </c>
    </row>
    <row r="4916">
      <c r="A4916">
        <f>HYPERLINK("https://www.youtube.com/watch?v=_r4c2NT4naQ", "Video")</f>
        <v/>
      </c>
      <c r="B4916" t="inlineStr">
        <is>
          <t>3:04</t>
        </is>
      </c>
      <c r="C4916" t="inlineStr">
        <is>
          <t>The further north they traveled,
the less direct sunshine they saw.</t>
        </is>
      </c>
      <c r="D4916">
        <f>HYPERLINK("https://www.youtube.com/watch?v=_r4c2NT4naQ&amp;t=184s", "Go to time")</f>
        <v/>
      </c>
    </row>
    <row r="4917">
      <c r="A4917">
        <f>HYPERLINK("https://www.youtube.com/watch?v=MzzOKh6gbGg", "Video")</f>
        <v/>
      </c>
      <c r="B4917" t="inlineStr">
        <is>
          <t>1:06</t>
        </is>
      </c>
      <c r="C4917" t="inlineStr">
        <is>
          <t>but the condition's connection to rust
is actually much less direct.</t>
        </is>
      </c>
      <c r="D4917">
        <f>HYPERLINK("https://www.youtube.com/watch?v=MzzOKh6gbGg&amp;t=66s", "Go to time")</f>
        <v/>
      </c>
    </row>
    <row r="4918">
      <c r="A4918">
        <f>HYPERLINK("https://www.youtube.com/watch?v=o78pDcZAxF8", "Video")</f>
        <v/>
      </c>
      <c r="B4918" t="inlineStr">
        <is>
          <t>6:30</t>
        </is>
      </c>
      <c r="C4918" t="inlineStr">
        <is>
          <t>director wanted to do a Cherry Orchard</t>
        </is>
      </c>
      <c r="D4918">
        <f>HYPERLINK("https://www.youtube.com/watch?v=o78pDcZAxF8&amp;t=390s", "Go to time")</f>
        <v/>
      </c>
    </row>
    <row r="4919">
      <c r="A4919">
        <f>HYPERLINK("https://www.youtube.com/watch?v=o78pDcZAxF8", "Video")</f>
        <v/>
      </c>
      <c r="B4919" t="inlineStr">
        <is>
          <t>6:40</t>
        </is>
      </c>
      <c r="C4919" t="inlineStr">
        <is>
          <t>best artistic directors Scenic designers</t>
        </is>
      </c>
      <c r="D4919">
        <f>HYPERLINK("https://www.youtube.com/watch?v=o78pDcZAxF8&amp;t=400s", "Go to time")</f>
        <v/>
      </c>
    </row>
    <row r="4920">
      <c r="A4920">
        <f>HYPERLINK("https://www.youtube.com/watch?v=o78pDcZAxF8", "Video")</f>
        <v/>
      </c>
      <c r="B4920" t="inlineStr">
        <is>
          <t>8:11</t>
        </is>
      </c>
      <c r="C4920" t="inlineStr">
        <is>
          <t>suddenly the artistic director can move</t>
        </is>
      </c>
      <c r="D4920">
        <f>HYPERLINK("https://www.youtube.com/watch?v=o78pDcZAxF8&amp;t=491s", "Go to time")</f>
        <v/>
      </c>
    </row>
    <row r="4921">
      <c r="A4921">
        <f>HYPERLINK("https://www.youtube.com/watch?v=o78pDcZAxF8", "Video")</f>
        <v/>
      </c>
      <c r="B4921" t="inlineStr">
        <is>
          <t>8:41</t>
        </is>
      </c>
      <c r="C4921" t="inlineStr">
        <is>
          <t>director suddenly the ability to Define</t>
        </is>
      </c>
      <c r="D4921">
        <f>HYPERLINK("https://www.youtube.com/watch?v=o78pDcZAxF8&amp;t=521s", "Go to time")</f>
        <v/>
      </c>
    </row>
    <row r="4922">
      <c r="A4922">
        <f>HYPERLINK("https://www.youtube.com/watch?v=o78pDcZAxF8", "Video")</f>
        <v/>
      </c>
      <c r="B4922" t="inlineStr">
        <is>
          <t>8:47</t>
        </is>
      </c>
      <c r="C4922" t="inlineStr">
        <is>
          <t>artistic directors the freedom to</t>
        </is>
      </c>
      <c r="D4922">
        <f>HYPERLINK("https://www.youtube.com/watch?v=o78pDcZAxF8&amp;t=527s", "Go to time")</f>
        <v/>
      </c>
    </row>
    <row r="4923">
      <c r="A4923">
        <f>HYPERLINK("https://www.youtube.com/watch?v=o78pDcZAxF8", "Video")</f>
        <v/>
      </c>
      <c r="B4923" t="inlineStr">
        <is>
          <t>9:56</t>
        </is>
      </c>
      <c r="C4923" t="inlineStr">
        <is>
          <t>meaning the artistic director doesn't</t>
        </is>
      </c>
      <c r="D4923">
        <f>HYPERLINK("https://www.youtube.com/watch?v=o78pDcZAxF8&amp;t=596s", "Go to time")</f>
        <v/>
      </c>
    </row>
    <row r="4924">
      <c r="A4924">
        <f>HYPERLINK("https://www.youtube.com/watch?v=o78pDcZAxF8", "Video")</f>
        <v/>
      </c>
      <c r="B4924" t="inlineStr">
        <is>
          <t>10:16</t>
        </is>
      </c>
      <c r="C4924" t="inlineStr">
        <is>
          <t>director to actually move into the</t>
        </is>
      </c>
      <c r="D4924">
        <f>HYPERLINK("https://www.youtube.com/watch?v=o78pDcZAxF8&amp;t=616s", "Go to time")</f>
        <v/>
      </c>
    </row>
    <row r="4925">
      <c r="A4925">
        <f>HYPERLINK("https://www.youtube.com/watch?v=o78pDcZAxF8", "Video")</f>
        <v/>
      </c>
      <c r="B4925" t="inlineStr">
        <is>
          <t>10:35</t>
        </is>
      </c>
      <c r="C4925" t="inlineStr">
        <is>
          <t>people to move directly from the outside</t>
        </is>
      </c>
      <c r="D4925">
        <f>HYPERLINK("https://www.youtube.com/watch?v=o78pDcZAxF8&amp;t=635s", "Go to time")</f>
        <v/>
      </c>
    </row>
    <row r="4926">
      <c r="A4926">
        <f>HYPERLINK("https://www.youtube.com/watch?v=o78pDcZAxF8", "Video")</f>
        <v/>
      </c>
      <c r="B4926" t="inlineStr">
        <is>
          <t>10:47</t>
        </is>
      </c>
      <c r="C4926" t="inlineStr">
        <is>
          <t>to move directly from the outside in or</t>
        </is>
      </c>
      <c r="D4926">
        <f>HYPERLINK("https://www.youtube.com/watch?v=o78pDcZAxF8&amp;t=647s", "Go to time")</f>
        <v/>
      </c>
    </row>
    <row r="4927">
      <c r="A4927">
        <f>HYPERLINK("https://www.youtube.com/watch?v=o78pDcZAxF8", "Video")</f>
        <v/>
      </c>
      <c r="B4927" t="inlineStr">
        <is>
          <t>11:23</t>
        </is>
      </c>
      <c r="C4927" t="inlineStr">
        <is>
          <t>director I'll go through the three basic</t>
        </is>
      </c>
      <c r="D4927">
        <f>HYPERLINK("https://www.youtube.com/watch?v=o78pDcZAxF8&amp;t=683s", "Go to time")</f>
        <v/>
      </c>
    </row>
    <row r="4928">
      <c r="A4928">
        <f>HYPERLINK("https://www.youtube.com/watch?v=o78pDcZAxF8", "Video")</f>
        <v/>
      </c>
      <c r="B4928" t="inlineStr">
        <is>
          <t>11:56</t>
        </is>
      </c>
      <c r="C4928" t="inlineStr">
        <is>
          <t>their direction and change the rake to</t>
        </is>
      </c>
      <c r="D4928">
        <f>HYPERLINK("https://www.youtube.com/watch?v=o78pDcZAxF8&amp;t=716s", "Go to time")</f>
        <v/>
      </c>
    </row>
    <row r="4929">
      <c r="A4929">
        <f>HYPERLINK("https://www.youtube.com/watch?v=bWWPs35lTjE", "Video")</f>
        <v/>
      </c>
      <c r="B4929" t="inlineStr">
        <is>
          <t>12:00</t>
        </is>
      </c>
      <c r="C4929" t="inlineStr">
        <is>
          <t>binary code directly into a</t>
        </is>
      </c>
      <c r="D4929">
        <f>HYPERLINK("https://www.youtube.com/watch?v=bWWPs35lTjE&amp;t=720s", "Go to time")</f>
        <v/>
      </c>
    </row>
    <row r="4930">
      <c r="A4930">
        <f>HYPERLINK("https://www.youtube.com/watch?v=bWWPs35lTjE", "Video")</f>
        <v/>
      </c>
      <c r="B4930" t="inlineStr">
        <is>
          <t>16:15</t>
        </is>
      </c>
      <c r="C4930" t="inlineStr">
        <is>
          <t>a homonid that's beginning to directly</t>
        </is>
      </c>
      <c r="D4930">
        <f>HYPERLINK("https://www.youtube.com/watch?v=bWWPs35lTjE&amp;t=975s", "Go to time")</f>
        <v/>
      </c>
    </row>
    <row r="4931">
      <c r="A4931">
        <f>HYPERLINK("https://www.youtube.com/watch?v=WP6T4MH0Dn4", "Video")</f>
        <v/>
      </c>
      <c r="B4931" t="inlineStr">
        <is>
          <t>3:05</t>
        </is>
      </c>
      <c r="C4931" t="inlineStr">
        <is>
          <t>it’s not clear whether warming would pose
a direct existential risk,</t>
        </is>
      </c>
      <c r="D4931">
        <f>HYPERLINK("https://www.youtube.com/watch?v=WP6T4MH0Dn4&amp;t=185s", "Go to time")</f>
        <v/>
      </c>
    </row>
    <row r="4932">
      <c r="A4932">
        <f>HYPERLINK("https://www.youtube.com/watch?v=hyg7lcU4g8E", "Video")</f>
        <v/>
      </c>
      <c r="B4932" t="inlineStr">
        <is>
          <t>2:02</t>
        </is>
      </c>
      <c r="C4932" t="inlineStr">
        <is>
          <t>Researchers have tested this by injecting
rats directly with stress hormones.</t>
        </is>
      </c>
      <c r="D4932">
        <f>HYPERLINK("https://www.youtube.com/watch?v=hyg7lcU4g8E&amp;t=122s", "Go to time")</f>
        <v/>
      </c>
    </row>
    <row r="4933">
      <c r="A4933">
        <f>HYPERLINK("https://www.youtube.com/watch?v=jRvxnpfCDSo", "Video")</f>
        <v/>
      </c>
      <c r="B4933" t="inlineStr">
        <is>
          <t>3:04</t>
        </is>
      </c>
      <c r="C4933" t="inlineStr">
        <is>
          <t>While the jury's still out on how higher 
temperatures directly affect pathogens,</t>
        </is>
      </c>
      <c r="D4933">
        <f>HYPERLINK("https://www.youtube.com/watch?v=jRvxnpfCDSo&amp;t=184s", "Go to time")</f>
        <v/>
      </c>
    </row>
    <row r="4934">
      <c r="A4934">
        <f>HYPERLINK("https://www.youtube.com/watch?v=puWumt39nak", "Video")</f>
        <v/>
      </c>
      <c r="B4934" t="inlineStr">
        <is>
          <t>2:36</t>
        </is>
      </c>
      <c r="C4934" t="inlineStr">
        <is>
          <t>Black rats don’t directly spread
the plague to humans;</t>
        </is>
      </c>
      <c r="D4934">
        <f>HYPERLINK("https://www.youtube.com/watch?v=puWumt39nak&amp;t=156s", "Go to time")</f>
        <v/>
      </c>
    </row>
    <row r="4935">
      <c r="A4935">
        <f>HYPERLINK("https://www.youtube.com/watch?v=-CBlVUPd25M", "Video")</f>
        <v/>
      </c>
      <c r="B4935" t="inlineStr">
        <is>
          <t>2:25</t>
        </is>
      </c>
      <c r="C4935" t="inlineStr">
        <is>
          <t>Direct air capture technologies, 
meanwhile,</t>
        </is>
      </c>
      <c r="D4935">
        <f>HYPERLINK("https://www.youtube.com/watch?v=-CBlVUPd25M&amp;t=145s", "Go to time")</f>
        <v/>
      </c>
    </row>
    <row r="4936">
      <c r="A4936">
        <f>HYPERLINK("https://www.youtube.com/watch?v=-CBlVUPd25M", "Video")</f>
        <v/>
      </c>
      <c r="B4936" t="inlineStr">
        <is>
          <t>2:28</t>
        </is>
      </c>
      <c r="C4936" t="inlineStr">
        <is>
          <t>remove CO2 directly from the atmosphere.</t>
        </is>
      </c>
      <c r="D4936">
        <f>HYPERLINK("https://www.youtube.com/watch?v=-CBlVUPd25M&amp;t=148s", "Go to time")</f>
        <v/>
      </c>
    </row>
    <row r="4937">
      <c r="A4937">
        <f>HYPERLINK("https://www.youtube.com/watch?v=VixAX2IzaE4", "Video")</f>
        <v/>
      </c>
      <c r="B4937" t="inlineStr">
        <is>
          <t>3:23</t>
        </is>
      </c>
      <c r="C4937" t="inlineStr">
        <is>
          <t>all gathering around a medium 
who communicated directly with the kami.</t>
        </is>
      </c>
      <c r="D4937">
        <f>HYPERLINK("https://www.youtube.com/watch?v=VixAX2IzaE4&amp;t=203s", "Go to time")</f>
        <v/>
      </c>
    </row>
    <row r="4938">
      <c r="A4938">
        <f>HYPERLINK("https://www.youtube.com/watch?v=s-EEp5xiF6Q", "Video")</f>
        <v/>
      </c>
      <c r="B4938" t="inlineStr">
        <is>
          <t>2:19</t>
        </is>
      </c>
      <c r="C4938" t="inlineStr">
        <is>
          <t>most cases spread through direct
head-to-head contact.</t>
        </is>
      </c>
      <c r="D4938">
        <f>HYPERLINK("https://www.youtube.com/watch?v=s-EEp5xiF6Q&amp;t=139s", "Go to time")</f>
        <v/>
      </c>
    </row>
    <row r="4939">
      <c r="A4939">
        <f>HYPERLINK("https://www.youtube.com/watch?v=poE_nNW9-yk", "Video")</f>
        <v/>
      </c>
      <c r="B4939" t="inlineStr">
        <is>
          <t>1:24</t>
        </is>
      </c>
      <c r="C4939" t="inlineStr">
        <is>
          <t>were often all that indicated the direction.</t>
        </is>
      </c>
      <c r="D4939">
        <f>HYPERLINK("https://www.youtube.com/watch?v=poE_nNW9-yk&amp;t=84s", "Go to time")</f>
        <v/>
      </c>
    </row>
    <row r="4940">
      <c r="A4940">
        <f>HYPERLINK("https://www.youtube.com/watch?v=cpwSGsb-rTs", "Video")</f>
        <v/>
      </c>
      <c r="B4940" t="inlineStr">
        <is>
          <t>0:46</t>
        </is>
      </c>
      <c r="C4940" t="inlineStr">
        <is>
          <t>coming from a clearing 
in the opposite direction.</t>
        </is>
      </c>
      <c r="D4940">
        <f>HYPERLINK("https://www.youtube.com/watch?v=cpwSGsb-rTs&amp;t=46s", "Go to time")</f>
        <v/>
      </c>
    </row>
    <row r="4941">
      <c r="A4941">
        <f>HYPERLINK("https://www.youtube.com/watch?v=cpwSGsb-rTs", "Video")</f>
        <v/>
      </c>
      <c r="B4941" t="inlineStr">
        <is>
          <t>0:57</t>
        </is>
      </c>
      <c r="C4941" t="inlineStr">
        <is>
          <t>and realize you only have time to go
in one direction before you collapse.</t>
        </is>
      </c>
      <c r="D4941">
        <f>HYPERLINK("https://www.youtube.com/watch?v=cpwSGsb-rTs&amp;t=57s", "Go to time")</f>
        <v/>
      </c>
    </row>
    <row r="4942">
      <c r="A4942">
        <f>HYPERLINK("https://www.youtube.com/watch?v=-hr58Yu0yDs", "Video")</f>
        <v/>
      </c>
      <c r="B4942" t="inlineStr">
        <is>
          <t>3:58</t>
        </is>
      </c>
      <c r="C4942" t="inlineStr">
        <is>
          <t>might be even more directly linked 
to our physiology.</t>
        </is>
      </c>
      <c r="D4942">
        <f>HYPERLINK("https://www.youtube.com/watch?v=-hr58Yu0yDs&amp;t=238s", "Go to time")</f>
        <v/>
      </c>
    </row>
    <row r="4943">
      <c r="A4943">
        <f>HYPERLINK("https://www.youtube.com/watch?v=-hr58Yu0yDs", "Video")</f>
        <v/>
      </c>
      <c r="B4943" t="inlineStr">
        <is>
          <t>4:03</t>
        </is>
      </c>
      <c r="C4943" t="inlineStr">
        <is>
          <t>could directly improve survival 
in potentially dangerous situations</t>
        </is>
      </c>
      <c r="D4943">
        <f>HYPERLINK("https://www.youtube.com/watch?v=-hr58Yu0yDs&amp;t=243s", "Go to time")</f>
        <v/>
      </c>
    </row>
    <row r="4944">
      <c r="A4944">
        <f>HYPERLINK("https://www.youtube.com/watch?v=vcPJkz-D5II", "Video")</f>
        <v/>
      </c>
      <c r="B4944" t="inlineStr">
        <is>
          <t>4:09</t>
        </is>
      </c>
      <c r="C4944" t="inlineStr">
        <is>
          <t>using a syringe-like penis to inject
sperm cells directly into her belly.</t>
        </is>
      </c>
      <c r="D4944">
        <f>HYPERLINK("https://www.youtube.com/watch?v=vcPJkz-D5II&amp;t=249s", "Go to time")</f>
        <v/>
      </c>
    </row>
    <row r="4945">
      <c r="A4945">
        <f>HYPERLINK("https://www.youtube.com/watch?v=wr3kUfW2fM0", "Video")</f>
        <v/>
      </c>
      <c r="B4945" t="inlineStr">
        <is>
          <t>2:42</t>
        </is>
      </c>
      <c r="C4945" t="inlineStr">
        <is>
          <t>But not everyone was happy 
with this direction.</t>
        </is>
      </c>
      <c r="D4945">
        <f>HYPERLINK("https://www.youtube.com/watch?v=wr3kUfW2fM0&amp;t=162s", "Go to time")</f>
        <v/>
      </c>
    </row>
    <row r="4946">
      <c r="A4946">
        <f>HYPERLINK("https://www.youtube.com/watch?v=jVzbs81bDy0", "Video")</f>
        <v/>
      </c>
      <c r="B4946" t="inlineStr">
        <is>
          <t>1:33</t>
        </is>
      </c>
      <c r="C4946" t="inlineStr">
        <is>
          <t>so police and good Samaritans 
step in to direct the remaining cars</t>
        </is>
      </c>
      <c r="D4946">
        <f>HYPERLINK("https://www.youtube.com/watch?v=jVzbs81bDy0&amp;t=93s", "Go to time")</f>
        <v/>
      </c>
    </row>
    <row r="4947">
      <c r="A4947">
        <f>HYPERLINK("https://www.youtube.com/watch?v=jDg8DQl7ZeQ", "Video")</f>
        <v/>
      </c>
      <c r="B4947" t="inlineStr">
        <is>
          <t>0:57</t>
        </is>
      </c>
      <c r="C4947" t="inlineStr">
        <is>
          <t>was much more direct,</t>
        </is>
      </c>
      <c r="D4947">
        <f>HYPERLINK("https://www.youtube.com/watch?v=jDg8DQl7ZeQ&amp;t=57s", "Go to time")</f>
        <v/>
      </c>
    </row>
    <row r="4948">
      <c r="A4948">
        <f>HYPERLINK("https://www.youtube.com/watch?v=dhiWSsKUWEg", "Video")</f>
        <v/>
      </c>
      <c r="B4948" t="inlineStr">
        <is>
          <t>3:02</t>
        </is>
      </c>
      <c r="C4948" t="inlineStr">
        <is>
          <t>based on the amount of direct sunlight 
your panel receives,</t>
        </is>
      </c>
      <c r="D4948">
        <f>HYPERLINK("https://www.youtube.com/watch?v=dhiWSsKUWEg&amp;t=182s", "Go to time")</f>
        <v/>
      </c>
    </row>
    <row r="4949">
      <c r="A4949">
        <f>HYPERLINK("https://www.youtube.com/watch?v=IfPYcfEM1Ck", "Video")</f>
        <v/>
      </c>
      <c r="B4949" t="inlineStr">
        <is>
          <t>3:52</t>
        </is>
      </c>
      <c r="C4949" t="inlineStr">
        <is>
          <t>but in Chandigarh every room
had direct access</t>
        </is>
      </c>
      <c r="D4949">
        <f>HYPERLINK("https://www.youtube.com/watch?v=IfPYcfEM1Ck&amp;t=232s", "Go to time")</f>
        <v/>
      </c>
    </row>
    <row r="4950">
      <c r="A4950">
        <f>HYPERLINK("https://www.youtube.com/watch?v=XU5L4Sr93-g", "Video")</f>
        <v/>
      </c>
      <c r="B4950" t="inlineStr">
        <is>
          <t>0:51</t>
        </is>
      </c>
      <c r="C4950" t="inlineStr">
        <is>
          <t>directly below the 
two cells of its parents,</t>
        </is>
      </c>
      <c r="D4950">
        <f>HYPERLINK("https://www.youtube.com/watch?v=XU5L4Sr93-g&amp;t=51s", "Go to time")</f>
        <v/>
      </c>
    </row>
    <row r="4951">
      <c r="A4951">
        <f>HYPERLINK("https://www.youtube.com/watch?v=NB6rMkiNKtM", "Video")</f>
        <v/>
      </c>
      <c r="B4951" t="inlineStr">
        <is>
          <t>18:15</t>
        </is>
      </c>
      <c r="C4951" t="inlineStr">
        <is>
          <t>feelings right directly appeal to</t>
        </is>
      </c>
      <c r="D4951">
        <f>HYPERLINK("https://www.youtube.com/watch?v=NB6rMkiNKtM&amp;t=1095s", "Go to time")</f>
        <v/>
      </c>
    </row>
    <row r="4952">
      <c r="A4952">
        <f>HYPERLINK("https://www.youtube.com/watch?v=_kR93WRw31Y", "Video")</f>
        <v/>
      </c>
      <c r="B4952" t="inlineStr">
        <is>
          <t>1:56</t>
        </is>
      </c>
      <c r="C4952" t="inlineStr">
        <is>
          <t>the one that’s directly under the 
crane at the start.</t>
        </is>
      </c>
      <c r="D4952">
        <f>HYPERLINK("https://www.youtube.com/watch?v=_kR93WRw31Y&amp;t=116s", "Go to time")</f>
        <v/>
      </c>
    </row>
    <row r="4953">
      <c r="A4953">
        <f>HYPERLINK("https://www.youtube.com/watch?v=0yL102ubTiw", "Video")</f>
        <v/>
      </c>
      <c r="B4953" t="inlineStr">
        <is>
          <t>2:03</t>
        </is>
      </c>
      <c r="C4953" t="inlineStr">
        <is>
          <t>Timur was not a direct descendant 
of Genghis Khan,</t>
        </is>
      </c>
      <c r="D4953">
        <f>HYPERLINK("https://www.youtube.com/watch?v=0yL102ubTiw&amp;t=123s", "Go to time")</f>
        <v/>
      </c>
    </row>
    <row r="4954">
      <c r="A4954">
        <f>HYPERLINK("https://www.youtube.com/watch?v=c_Eutci7ack", "Video")</f>
        <v/>
      </c>
      <c r="B4954" t="inlineStr">
        <is>
          <t>3:36</t>
        </is>
      </c>
      <c r="C4954" t="inlineStr">
        <is>
          <t>Politics is the work of harnessing 
that flow in a direction you prefer.</t>
        </is>
      </c>
      <c r="D4954">
        <f>HYPERLINK("https://www.youtube.com/watch?v=c_Eutci7ack&amp;t=216s", "Go to time")</f>
        <v/>
      </c>
    </row>
    <row r="4955">
      <c r="A4955">
        <f>HYPERLINK("https://www.youtube.com/watch?v=c_Eutci7ack", "Video")</f>
        <v/>
      </c>
      <c r="B4955" t="inlineStr">
        <is>
          <t>5:23</t>
        </is>
      </c>
      <c r="C4955" t="inlineStr">
        <is>
          <t>frontal attack or indirection,</t>
        </is>
      </c>
      <c r="D4955">
        <f>HYPERLINK("https://www.youtube.com/watch?v=c_Eutci7ack&amp;t=323s", "Go to time")</f>
        <v/>
      </c>
    </row>
    <row r="4956">
      <c r="A4956">
        <f>HYPERLINK("https://www.youtube.com/watch?v=74WQgNa3OsQ", "Video")</f>
        <v/>
      </c>
      <c r="B4956" t="inlineStr">
        <is>
          <t>1:47</t>
        </is>
      </c>
      <c r="C4956" t="inlineStr">
        <is>
          <t>directly applying heat, acid, or radiation
to weaken the pathogen.</t>
        </is>
      </c>
      <c r="D4956">
        <f>HYPERLINK("https://www.youtube.com/watch?v=74WQgNa3OsQ&amp;t=107s", "Go to time")</f>
        <v/>
      </c>
    </row>
    <row r="4957">
      <c r="A4957">
        <f>HYPERLINK("https://www.youtube.com/watch?v=VLkKiVIBxXU", "Video")</f>
        <v/>
      </c>
      <c r="B4957" t="inlineStr">
        <is>
          <t>1:43</t>
        </is>
      </c>
      <c r="C4957" t="inlineStr">
        <is>
          <t>allowing them to bend their limbs
at any point and in any direction.</t>
        </is>
      </c>
      <c r="D4957">
        <f>HYPERLINK("https://www.youtube.com/watch?v=VLkKiVIBxXU&amp;t=103s", "Go to time")</f>
        <v/>
      </c>
    </row>
    <row r="4958">
      <c r="A4958">
        <f>HYPERLINK("https://www.youtube.com/watch?v=vPtzpjC7TF4", "Video")</f>
        <v/>
      </c>
      <c r="B4958" t="inlineStr">
        <is>
          <t>5:03</t>
        </is>
      </c>
      <c r="C4958" t="inlineStr">
        <is>
          <t>The novel was intended to be the first
piece in a hopeful new direction:</t>
        </is>
      </c>
      <c r="D4958">
        <f>HYPERLINK("https://www.youtube.com/watch?v=vPtzpjC7TF4&amp;t=303s", "Go to time")</f>
        <v/>
      </c>
    </row>
    <row r="4959">
      <c r="A4959">
        <f>HYPERLINK("https://www.youtube.com/watch?v=00Ar2_irvJk", "Video")</f>
        <v/>
      </c>
      <c r="B4959" t="inlineStr">
        <is>
          <t>2:39</t>
        </is>
      </c>
      <c r="C4959" t="inlineStr">
        <is>
          <t>which amplifies and directs the sound.</t>
        </is>
      </c>
      <c r="D4959">
        <f>HYPERLINK("https://www.youtube.com/watch?v=00Ar2_irvJk&amp;t=159s", "Go to time")</f>
        <v/>
      </c>
    </row>
    <row r="4960">
      <c r="A4960">
        <f>HYPERLINK("https://www.youtube.com/watch?v=00Ar2_irvJk", "Video")</f>
        <v/>
      </c>
      <c r="B4960" t="inlineStr">
        <is>
          <t>2:50</t>
        </is>
      </c>
      <c r="C4960" t="inlineStr">
        <is>
          <t>are received by the whale’s lower jaw
and directed into the ears.</t>
        </is>
      </c>
      <c r="D4960">
        <f>HYPERLINK("https://www.youtube.com/watch?v=00Ar2_irvJk&amp;t=170s", "Go to time")</f>
        <v/>
      </c>
    </row>
    <row r="4961">
      <c r="A4961">
        <f>HYPERLINK("https://www.youtube.com/watch?v=QrcmojhFmzY", "Video")</f>
        <v/>
      </c>
      <c r="B4961" t="inlineStr">
        <is>
          <t>4:07</t>
        </is>
      </c>
      <c r="C4961" t="inlineStr">
        <is>
          <t>a professional army that expanded 
Rome’s frontiers in all directions,</t>
        </is>
      </c>
      <c r="D4961">
        <f>HYPERLINK("https://www.youtube.com/watch?v=QrcmojhFmzY&amp;t=247s", "Go to time")</f>
        <v/>
      </c>
    </row>
    <row r="4962">
      <c r="A4962">
        <f>HYPERLINK("https://www.youtube.com/watch?v=7uiyz3139tE", "Video")</f>
        <v/>
      </c>
      <c r="B4962" t="inlineStr">
        <is>
          <t>3:21</t>
        </is>
      </c>
      <c r="C4962" t="inlineStr">
        <is>
          <t>Other elements and characters 
were inspired directly and indirectly</t>
        </is>
      </c>
      <c r="D4962">
        <f>HYPERLINK("https://www.youtube.com/watch?v=7uiyz3139tE&amp;t=201s", "Go to time")</f>
        <v/>
      </c>
    </row>
    <row r="4963">
      <c r="A4963">
        <f>HYPERLINK("https://www.youtube.com/watch?v=upp9-w6GPhU", "Video")</f>
        <v/>
      </c>
      <c r="B4963" t="inlineStr">
        <is>
          <t>1:55</t>
        </is>
      </c>
      <c r="C4963" t="inlineStr">
        <is>
          <t>allows scientists to directly change
the human genome</t>
        </is>
      </c>
      <c r="D4963">
        <f>HYPERLINK("https://www.youtube.com/watch?v=upp9-w6GPhU&amp;t=115s", "Go to time")</f>
        <v/>
      </c>
    </row>
    <row r="4964">
      <c r="A4964">
        <f>HYPERLINK("https://www.youtube.com/watch?v=Z-UO-RZBQ3U", "Video")</f>
        <v/>
      </c>
      <c r="B4964" t="inlineStr">
        <is>
          <t>0:49</t>
        </is>
      </c>
      <c r="C4964" t="inlineStr">
        <is>
          <t>However, that journey
is neither simple nor direct.</t>
        </is>
      </c>
      <c r="D4964">
        <f>HYPERLINK("https://www.youtube.com/watch?v=Z-UO-RZBQ3U&amp;t=49s", "Go to time")</f>
        <v/>
      </c>
    </row>
    <row r="4965">
      <c r="A4965">
        <f>HYPERLINK("https://www.youtube.com/watch?v=Z-UO-RZBQ3U", "Video")</f>
        <v/>
      </c>
      <c r="B4965" t="inlineStr">
        <is>
          <t>1:01</t>
        </is>
      </c>
      <c r="C4965" t="inlineStr">
        <is>
          <t>until it collides with a proton
and is diverted in another direction,</t>
        </is>
      </c>
      <c r="D4965">
        <f>HYPERLINK("https://www.youtube.com/watch?v=Z-UO-RZBQ3U&amp;t=61s", "Go to time")</f>
        <v/>
      </c>
    </row>
    <row r="4966">
      <c r="A4966">
        <f>HYPERLINK("https://www.youtube.com/watch?v=m57cimnJ7fc", "Video")</f>
        <v/>
      </c>
      <c r="B4966" t="inlineStr">
        <is>
          <t>0:17</t>
        </is>
      </c>
      <c r="C4966" t="inlineStr">
        <is>
          <t>With no direct line to the goal,</t>
        </is>
      </c>
      <c r="D4966">
        <f>HYPERLINK("https://www.youtube.com/watch?v=m57cimnJ7fc&amp;t=17s", "Go to time")</f>
        <v/>
      </c>
    </row>
    <row r="4967">
      <c r="A4967">
        <f>HYPERLINK("https://www.youtube.com/watch?v=m57cimnJ7fc", "Video")</f>
        <v/>
      </c>
      <c r="B4967" t="inlineStr">
        <is>
          <t>0:35</t>
        </is>
      </c>
      <c r="C4967" t="inlineStr">
        <is>
          <t>an object will move 
in the same direction and velocity</t>
        </is>
      </c>
      <c r="D4967">
        <f>HYPERLINK("https://www.youtube.com/watch?v=m57cimnJ7fc&amp;t=35s", "Go to time")</f>
        <v/>
      </c>
    </row>
    <row r="4968">
      <c r="A4968">
        <f>HYPERLINK("https://www.youtube.com/watch?v=m57cimnJ7fc", "Video")</f>
        <v/>
      </c>
      <c r="B4968" t="inlineStr">
        <is>
          <t>0:42</t>
        </is>
      </c>
      <c r="C4968" t="inlineStr">
        <is>
          <t>When Carlos kicked the ball,
he gave it direction and velocity,</t>
        </is>
      </c>
      <c r="D4968">
        <f>HYPERLINK("https://www.youtube.com/watch?v=m57cimnJ7fc&amp;t=42s", "Go to time")</f>
        <v/>
      </c>
    </row>
    <row r="4969">
      <c r="A4969">
        <f>HYPERLINK("https://www.youtube.com/watch?v=m57cimnJ7fc", "Video")</f>
        <v/>
      </c>
      <c r="B4969" t="inlineStr">
        <is>
          <t>1:05</t>
        </is>
      </c>
      <c r="C4969" t="inlineStr">
        <is>
          <t>The ball started its flight
in an apparently direct route,</t>
        </is>
      </c>
      <c r="D4969">
        <f>HYPERLINK("https://www.youtube.com/watch?v=m57cimnJ7fc&amp;t=65s", "Go to time")</f>
        <v/>
      </c>
    </row>
    <row r="4970">
      <c r="A4970">
        <f>HYPERLINK("https://www.youtube.com/watch?v=m57cimnJ7fc", "Video")</f>
        <v/>
      </c>
      <c r="B4970" t="inlineStr">
        <is>
          <t>1:12</t>
        </is>
      </c>
      <c r="C4970" t="inlineStr">
        <is>
          <t>On one side, the air moved in the opposite
direction to the ball's spin,</t>
        </is>
      </c>
      <c r="D4970">
        <f>HYPERLINK("https://www.youtube.com/watch?v=m57cimnJ7fc&amp;t=72s", "Go to time")</f>
        <v/>
      </c>
    </row>
    <row r="4971">
      <c r="A4971">
        <f>HYPERLINK("https://www.youtube.com/watch?v=m57cimnJ7fc", "Video")</f>
        <v/>
      </c>
      <c r="B4971" t="inlineStr">
        <is>
          <t>1:18</t>
        </is>
      </c>
      <c r="C4971" t="inlineStr">
        <is>
          <t>while on the other side, the air moved
in the same direction as the spin,</t>
        </is>
      </c>
      <c r="D4971">
        <f>HYPERLINK("https://www.youtube.com/watch?v=m57cimnJ7fc&amp;t=78s", "Go to time")</f>
        <v/>
      </c>
    </row>
    <row r="4972">
      <c r="A4972">
        <f>HYPERLINK("https://www.youtube.com/watch?v=m57cimnJ7fc", "Video")</f>
        <v/>
      </c>
      <c r="B4972" t="inlineStr">
        <is>
          <t>2:37</t>
        </is>
      </c>
      <c r="C4972" t="inlineStr">
        <is>
          <t>that curves it 
in the direction of the spin.</t>
        </is>
      </c>
      <c r="D4972">
        <f>HYPERLINK("https://www.youtube.com/watch?v=m57cimnJ7fc&amp;t=157s", "Go to time")</f>
        <v/>
      </c>
    </row>
    <row r="4973">
      <c r="A4973">
        <f>HYPERLINK("https://www.youtube.com/watch?v=ISZLTJH5lYg", "Video")</f>
        <v/>
      </c>
      <c r="B4973" t="inlineStr">
        <is>
          <t>1:37</t>
        </is>
      </c>
      <c r="C4973" t="inlineStr">
        <is>
          <t>and the vitamins within them are
taken up directly by the bloodstream.</t>
        </is>
      </c>
      <c r="D4973">
        <f>HYPERLINK("https://www.youtube.com/watch?v=ISZLTJH5lYg&amp;t=97s", "Go to time")</f>
        <v/>
      </c>
    </row>
    <row r="4974">
      <c r="A4974">
        <f>HYPERLINK("https://www.youtube.com/watch?v=FZc-Y9gqjHI", "Video")</f>
        <v/>
      </c>
      <c r="B4974" t="inlineStr">
        <is>
          <t>1:21</t>
        </is>
      </c>
      <c r="C4974" t="inlineStr">
        <is>
          <t>the brain rebounds from sedation 
and swings in the other direction,</t>
        </is>
      </c>
      <c r="D4974">
        <f>HYPERLINK("https://www.youtube.com/watch?v=FZc-Y9gqjHI&amp;t=81s", "Go to time")</f>
        <v/>
      </c>
    </row>
    <row r="4975">
      <c r="A4975">
        <f>HYPERLINK("https://www.youtube.com/watch?v=HFqf6aKdOC0", "Video")</f>
        <v/>
      </c>
      <c r="B4975" t="inlineStr">
        <is>
          <t>2:29</t>
        </is>
      </c>
      <c r="C4975" t="inlineStr">
        <is>
          <t>Under the direction of 
architect Giovanni di Simone,</t>
        </is>
      </c>
      <c r="D4975">
        <f>HYPERLINK("https://www.youtube.com/watch?v=HFqf6aKdOC0&amp;t=149s", "Go to time")</f>
        <v/>
      </c>
    </row>
    <row r="4976">
      <c r="A4976">
        <f>HYPERLINK("https://www.youtube.com/watch?v=wujEE3PRVUo", "Video")</f>
        <v/>
      </c>
      <c r="B4976" t="inlineStr">
        <is>
          <t>1:47</t>
        </is>
      </c>
      <c r="C4976" t="inlineStr">
        <is>
          <t>Now, imagine you could paint the image
you see directly onto the window</t>
        </is>
      </c>
      <c r="D4976">
        <f>HYPERLINK("https://www.youtube.com/watch?v=wujEE3PRVUo&amp;t=107s", "Go to time")</f>
        <v/>
      </c>
    </row>
    <row r="4977">
      <c r="A4977">
        <f>HYPERLINK("https://www.youtube.com/watch?v=wujEE3PRVUo", "Video")</f>
        <v/>
      </c>
      <c r="B4977" t="inlineStr">
        <is>
          <t>2:45</t>
        </is>
      </c>
      <c r="C4977" t="inlineStr">
        <is>
          <t>directly facing the canvas makes the image
look stretched and distorted,</t>
        </is>
      </c>
      <c r="D4977">
        <f>HYPERLINK("https://www.youtube.com/watch?v=wujEE3PRVUo&amp;t=165s", "Go to time")</f>
        <v/>
      </c>
    </row>
    <row r="4978">
      <c r="A4978">
        <f>HYPERLINK("https://www.youtube.com/watch?v=k_3hbrqLZ5U", "Video")</f>
        <v/>
      </c>
      <c r="B4978" t="inlineStr">
        <is>
          <t>0:56</t>
        </is>
      </c>
      <c r="C4978" t="inlineStr">
        <is>
          <t>What changed this dire situation</t>
        </is>
      </c>
      <c r="D4978">
        <f>HYPERLINK("https://www.youtube.com/watch?v=k_3hbrqLZ5U&amp;t=56s", "Go to time")</f>
        <v/>
      </c>
    </row>
    <row r="4979">
      <c r="A4979">
        <f>HYPERLINK("https://www.youtube.com/watch?v=dbXFXmSaoD4", "Video")</f>
        <v/>
      </c>
      <c r="B4979" t="inlineStr">
        <is>
          <t>8:25</t>
        </is>
      </c>
      <c r="C4979" t="inlineStr">
        <is>
          <t>Oh, you can go directly through one
of the registries that pairs people.</t>
        </is>
      </c>
      <c r="D4979">
        <f>HYPERLINK("https://www.youtube.com/watch?v=dbXFXmSaoD4&amp;t=505s", "Go to time")</f>
        <v/>
      </c>
    </row>
    <row r="4980">
      <c r="A4980">
        <f>HYPERLINK("https://www.youtube.com/watch?v=JAeIeYLlvTU", "Video")</f>
        <v/>
      </c>
      <c r="B4980" t="inlineStr">
        <is>
          <t>1:06</t>
        </is>
      </c>
      <c r="C4980" t="inlineStr">
        <is>
          <t>fly directly to you in the cockpit but</t>
        </is>
      </c>
      <c r="D4980">
        <f>HYPERLINK("https://www.youtube.com/watch?v=JAeIeYLlvTU&amp;t=66s", "Go to time")</f>
        <v/>
      </c>
    </row>
    <row r="4981">
      <c r="A4981">
        <f>HYPERLINK("https://www.youtube.com/watch?v=C6kn6nXMWF0", "Video")</f>
        <v/>
      </c>
      <c r="B4981" t="inlineStr">
        <is>
          <t>0:41</t>
        </is>
      </c>
      <c r="C4981" t="inlineStr">
        <is>
          <t>For our purposes,
a dimension is a direction,</t>
        </is>
      </c>
      <c r="D4981">
        <f>HYPERLINK("https://www.youtube.com/watch?v=C6kn6nXMWF0&amp;t=41s", "Go to time")</f>
        <v/>
      </c>
    </row>
    <row r="4982">
      <c r="A4982">
        <f>HYPERLINK("https://www.youtube.com/watch?v=C6kn6nXMWF0", "Video")</f>
        <v/>
      </c>
      <c r="B4982" t="inlineStr">
        <is>
          <t>0:47</t>
        </is>
      </c>
      <c r="C4982" t="inlineStr">
        <is>
          <t>For our direction to be a dimension,</t>
        </is>
      </c>
      <c r="D4982">
        <f>HYPERLINK("https://www.youtube.com/watch?v=C6kn6nXMWF0&amp;t=47s", "Go to time")</f>
        <v/>
      </c>
    </row>
    <row r="4983">
      <c r="A4983">
        <f>HYPERLINK("https://www.youtube.com/watch?v=C6kn6nXMWF0", "Video")</f>
        <v/>
      </c>
      <c r="B4983" t="inlineStr">
        <is>
          <t>2:25</t>
        </is>
      </c>
      <c r="C4983" t="inlineStr">
        <is>
          <t>the height direction where no
Flatlander has gone before</t>
        </is>
      </c>
      <c r="D4983">
        <f>HYPERLINK("https://www.youtube.com/watch?v=C6kn6nXMWF0&amp;t=145s", "Go to time")</f>
        <v/>
      </c>
    </row>
    <row r="4984">
      <c r="A4984">
        <f>HYPERLINK("https://www.youtube.com/watch?v=C6kn6nXMWF0", "Video")</f>
        <v/>
      </c>
      <c r="B4984" t="inlineStr">
        <is>
          <t>4:05</t>
        </is>
      </c>
      <c r="C4984" t="inlineStr">
        <is>
          <t>this time perpendicular
to all three existing directions,</t>
        </is>
      </c>
      <c r="D4984">
        <f>HYPERLINK("https://www.youtube.com/watch?v=C6kn6nXMWF0&amp;t=245s", "Go to time")</f>
        <v/>
      </c>
    </row>
    <row r="4985">
      <c r="A4985">
        <f>HYPERLINK("https://www.youtube.com/watch?v=CBWgOe8HsV0", "Video")</f>
        <v/>
      </c>
      <c r="B4985" t="inlineStr">
        <is>
          <t>2:19</t>
        </is>
      </c>
      <c r="C4985" t="inlineStr">
        <is>
          <t>Dakuwaqa was jetting through the water
in the direction of Kadavu.</t>
        </is>
      </c>
      <c r="D4985">
        <f>HYPERLINK("https://www.youtube.com/watch?v=CBWgOe8HsV0&amp;t=139s", "Go to time")</f>
        <v/>
      </c>
    </row>
    <row r="4986">
      <c r="A4986">
        <f>HYPERLINK("https://www.youtube.com/watch?v=eTYsIePy5zg", "Video")</f>
        <v/>
      </c>
      <c r="B4986" t="inlineStr">
        <is>
          <t>1:44</t>
        </is>
      </c>
      <c r="C4986" t="inlineStr">
        <is>
          <t>the direction you're traveling.</t>
        </is>
      </c>
      <c r="D4986">
        <f>HYPERLINK("https://www.youtube.com/watch?v=eTYsIePy5zg&amp;t=104s", "Go to time")</f>
        <v/>
      </c>
    </row>
    <row r="4987">
      <c r="A4987">
        <f>HYPERLINK("https://www.youtube.com/watch?v=eTYsIePy5zg", "Video")</f>
        <v/>
      </c>
      <c r="B4987" t="inlineStr">
        <is>
          <t>2:08</t>
        </is>
      </c>
      <c r="C4987" t="inlineStr">
        <is>
          <t>in other words, travel in one direction—
for a whole journey.</t>
        </is>
      </c>
      <c r="D4987">
        <f>HYPERLINK("https://www.youtube.com/watch?v=eTYsIePy5zg&amp;t=128s", "Go to time")</f>
        <v/>
      </c>
    </row>
    <row r="4988">
      <c r="A4988">
        <f>HYPERLINK("https://www.youtube.com/watch?v=lmP0l5udNCE", "Video")</f>
        <v/>
      </c>
      <c r="B4988" t="inlineStr">
        <is>
          <t>2:46</t>
        </is>
      </c>
      <c r="C4988" t="inlineStr">
        <is>
          <t>and when airborne, 
the powerful thrust in a single direction</t>
        </is>
      </c>
      <c r="D4988">
        <f>HYPERLINK("https://www.youtube.com/watch?v=lmP0l5udNCE&amp;t=166s", "Go to time")</f>
        <v/>
      </c>
    </row>
    <row r="4989">
      <c r="A4989">
        <f>HYPERLINK("https://www.youtube.com/watch?v=lmP0l5udNCE", "Video")</f>
        <v/>
      </c>
      <c r="B4989" t="inlineStr">
        <is>
          <t>4:12</t>
        </is>
      </c>
      <c r="C4989" t="inlineStr">
        <is>
          <t>helping pilots smoothly
direct their flights.</t>
        </is>
      </c>
      <c r="D4989">
        <f>HYPERLINK("https://www.youtube.com/watch?v=lmP0l5udNCE&amp;t=252s", "Go to time")</f>
        <v/>
      </c>
    </row>
    <row r="4990">
      <c r="A4990">
        <f>HYPERLINK("https://www.youtube.com/watch?v=KpHP8VmxnBo", "Video")</f>
        <v/>
      </c>
      <c r="B4990" t="inlineStr">
        <is>
          <t>0:28</t>
        </is>
      </c>
      <c r="C4990" t="inlineStr">
        <is>
          <t>This dire technique, called trepanation,</t>
        </is>
      </c>
      <c r="D4990">
        <f>HYPERLINK("https://www.youtube.com/watch?v=KpHP8VmxnBo&amp;t=28s", "Go to time")</f>
        <v/>
      </c>
    </row>
    <row r="4991">
      <c r="A4991">
        <f>HYPERLINK("https://www.youtube.com/watch?v=lrEM3LHvjI0", "Video")</f>
        <v/>
      </c>
      <c r="B4991" t="inlineStr">
        <is>
          <t>1:50</t>
        </is>
      </c>
      <c r="C4991" t="inlineStr">
        <is>
          <t>but because the initial change 
is amplified in the same direction.</t>
        </is>
      </c>
      <c r="D4991">
        <f>HYPERLINK("https://www.youtube.com/watch?v=lrEM3LHvjI0&amp;t=110s", "Go to time")</f>
        <v/>
      </c>
    </row>
    <row r="4992">
      <c r="A4992">
        <f>HYPERLINK("https://www.youtube.com/watch?v=lrEM3LHvjI0", "Video")</f>
        <v/>
      </c>
      <c r="B4992" t="inlineStr">
        <is>
          <t>1:59</t>
        </is>
      </c>
      <c r="C4992" t="inlineStr">
        <is>
          <t>that work in the opposite direction.</t>
        </is>
      </c>
      <c r="D4992">
        <f>HYPERLINK("https://www.youtube.com/watch?v=lrEM3LHvjI0&amp;t=119s", "Go to time")</f>
        <v/>
      </c>
    </row>
    <row r="4993">
      <c r="A4993">
        <f>HYPERLINK("https://www.youtube.com/watch?v=lrEM3LHvjI0", "Video")</f>
        <v/>
      </c>
      <c r="B4993" t="inlineStr">
        <is>
          <t>3:28</t>
        </is>
      </c>
      <c r="C4993" t="inlineStr">
        <is>
          <t>Its feedback loops can affect us
in much more direct and immediate ways.</t>
        </is>
      </c>
      <c r="D4993">
        <f>HYPERLINK("https://www.youtube.com/watch?v=lrEM3LHvjI0&amp;t=208s", "Go to time")</f>
        <v/>
      </c>
    </row>
    <row r="4994">
      <c r="A4994">
        <f>HYPERLINK("https://www.youtube.com/watch?v=dyckL6HuLRU", "Video")</f>
        <v/>
      </c>
      <c r="B4994" t="inlineStr">
        <is>
          <t>1:12</t>
        </is>
      </c>
      <c r="C4994" t="inlineStr">
        <is>
          <t>that ran directly to support towers.</t>
        </is>
      </c>
      <c r="D4994">
        <f>HYPERLINK("https://www.youtube.com/watch?v=dyckL6HuLRU&amp;t=72s", "Go to time")</f>
        <v/>
      </c>
    </row>
    <row r="4995">
      <c r="A4995">
        <f>HYPERLINK("https://www.youtube.com/watch?v=aa2Fmr7sKIA", "Video")</f>
        <v/>
      </c>
      <c r="B4995" t="inlineStr">
        <is>
          <t>5:31</t>
        </is>
      </c>
      <c r="C4995" t="inlineStr">
        <is>
          <t>Thankfully, the ensuing bad press
is directed at your employers,</t>
        </is>
      </c>
      <c r="D4995">
        <f>HYPERLINK("https://www.youtube.com/watch?v=aa2Fmr7sKIA&amp;t=331s", "Go to time")</f>
        <v/>
      </c>
    </row>
    <row r="4996">
      <c r="A4996">
        <f>HYPERLINK("https://www.youtube.com/watch?v=FsMWbVrjucg", "Video")</f>
        <v/>
      </c>
      <c r="B4996" t="inlineStr">
        <is>
          <t>2:58</t>
        </is>
      </c>
      <c r="C4996" t="inlineStr">
        <is>
          <t>Discourse markers direct 
the flow of conversation,</t>
        </is>
      </c>
      <c r="D4996">
        <f>HYPERLINK("https://www.youtube.com/watch?v=FsMWbVrjucg&amp;t=178s", "Go to time")</f>
        <v/>
      </c>
    </row>
    <row r="4997">
      <c r="A4997">
        <f>HYPERLINK("https://www.youtube.com/watch?v=1Lt3nd4QKy4", "Video")</f>
        <v/>
      </c>
      <c r="B4997" t="inlineStr">
        <is>
          <t>1:40</t>
        </is>
      </c>
      <c r="C4997" t="inlineStr">
        <is>
          <t>Then, they can take off in any direction,</t>
        </is>
      </c>
      <c r="D4997">
        <f>HYPERLINK("https://www.youtube.com/watch?v=1Lt3nd4QKy4&amp;t=100s", "Go to time")</f>
        <v/>
      </c>
    </row>
    <row r="4998">
      <c r="A4998">
        <f>HYPERLINK("https://www.youtube.com/watch?v=TfVmW6sNux8", "Video")</f>
        <v/>
      </c>
      <c r="B4998" t="inlineStr">
        <is>
          <t>1:32</t>
        </is>
      </c>
      <c r="C4998" t="inlineStr">
        <is>
          <t>When he turned the stone back in the
opposite direction, he reappeared.</t>
        </is>
      </c>
      <c r="D4998">
        <f>HYPERLINK("https://www.youtube.com/watch?v=TfVmW6sNux8&amp;t=92s", "Go to time")</f>
        <v/>
      </c>
    </row>
    <row r="4999">
      <c r="A4999">
        <f>HYPERLINK("https://www.youtube.com/watch?v=BJpPkOZKROc", "Video")</f>
        <v/>
      </c>
      <c r="B4999" t="inlineStr">
        <is>
          <t>2:46</t>
        </is>
      </c>
      <c r="C4999" t="inlineStr">
        <is>
          <t>Competing directly with this rival 
would be a demanding ordeal,</t>
        </is>
      </c>
      <c r="D4999">
        <f>HYPERLINK("https://www.youtube.com/watch?v=BJpPkOZKROc&amp;t=166s", "Go to time")</f>
        <v/>
      </c>
    </row>
    <row r="5000">
      <c r="A5000">
        <f>HYPERLINK("https://www.youtube.com/watch?v=sOBshvAknpQ", "Video")</f>
        <v/>
      </c>
      <c r="B5000" t="inlineStr">
        <is>
          <t>4:45</t>
        </is>
      </c>
      <c r="C5000" t="inlineStr">
        <is>
          <t>Trilobites have no direct descendants,</t>
        </is>
      </c>
      <c r="D5000">
        <f>HYPERLINK("https://www.youtube.com/watch?v=sOBshvAknpQ&amp;t=285s", "Go to time")</f>
        <v/>
      </c>
    </row>
    <row r="5001">
      <c r="A5001">
        <f>HYPERLINK("https://www.youtube.com/watch?v=2_CNihv5PCs", "Video")</f>
        <v/>
      </c>
      <c r="B5001" t="inlineStr">
        <is>
          <t>4:05</t>
        </is>
      </c>
      <c r="C5001" t="inlineStr">
        <is>
          <t>What directions can she give them so
they can quickly navigate the maze,</t>
        </is>
      </c>
      <c r="D5001">
        <f>HYPERLINK("https://www.youtube.com/watch?v=2_CNihv5PCs&amp;t=245s", "Go to time")</f>
        <v/>
      </c>
    </row>
    <row r="5002">
      <c r="A5002">
        <f>HYPERLINK("https://www.youtube.com/watch?v=2_CNihv5PCs", "Video")</f>
        <v/>
      </c>
      <c r="B5002" t="inlineStr">
        <is>
          <t>6:58</t>
        </is>
      </c>
      <c r="C5002" t="inlineStr">
        <is>
          <t>So if there’s no wire down a direction, 
go that way.</t>
        </is>
      </c>
      <c r="D5002">
        <f>HYPERLINK("https://www.youtube.com/watch?v=2_CNihv5PCs&amp;t=418s", "Go to time")</f>
        <v/>
      </c>
    </row>
    <row r="5003">
      <c r="A5003">
        <f>HYPERLINK("https://www.youtube.com/watch?v=2_CNihv5PCs", "Video")</f>
        <v/>
      </c>
      <c r="B5003" t="inlineStr">
        <is>
          <t>7:33</t>
        </is>
      </c>
      <c r="C5003" t="inlineStr">
        <is>
          <t>in case it’s the right
direction for the exit.</t>
        </is>
      </c>
      <c r="D5003">
        <f>HYPERLINK("https://www.youtube.com/watch?v=2_CNihv5PCs&amp;t=453s", "Go to time")</f>
        <v/>
      </c>
    </row>
    <row r="5004">
      <c r="A5004">
        <f>HYPERLINK("https://www.youtube.com/watch?v=4DlipN61jGA", "Video")</f>
        <v/>
      </c>
      <c r="B5004" t="inlineStr">
        <is>
          <t>4:00</t>
        </is>
      </c>
      <c r="C5004" t="inlineStr">
        <is>
          <t>binding directly to one type of
serotonin receptor in particular.</t>
        </is>
      </c>
      <c r="D5004">
        <f>HYPERLINK("https://www.youtube.com/watch?v=4DlipN61jGA&amp;t=240s", "Go to time")</f>
        <v/>
      </c>
    </row>
    <row r="5005">
      <c r="A5005">
        <f>HYPERLINK("https://www.youtube.com/watch?v=4M6lrhuiPv0", "Video")</f>
        <v/>
      </c>
      <c r="B5005" t="inlineStr">
        <is>
          <t>0:58</t>
        </is>
      </c>
      <c r="C5005" t="inlineStr">
        <is>
          <t>By buying in bulk directly from suppliers,
they could negotiate prices,</t>
        </is>
      </c>
      <c r="D5005">
        <f>HYPERLINK("https://www.youtube.com/watch?v=4M6lrhuiPv0&amp;t=58s", "Go to time")</f>
        <v/>
      </c>
    </row>
    <row r="5006">
      <c r="A5006">
        <f>HYPERLINK("https://www.youtube.com/watch?v=4M6lrhuiPv0", "Video")</f>
        <v/>
      </c>
      <c r="B5006" t="inlineStr">
        <is>
          <t>3:49</t>
        </is>
      </c>
      <c r="C5006" t="inlineStr">
        <is>
          <t>and therefore the direction 
of the company.</t>
        </is>
      </c>
      <c r="D5006">
        <f>HYPERLINK("https://www.youtube.com/watch?v=4M6lrhuiPv0&amp;t=229s", "Go to time")</f>
        <v/>
      </c>
    </row>
    <row r="5007">
      <c r="A5007">
        <f>HYPERLINK("https://www.youtube.com/watch?v=4M6lrhuiPv0", "Video")</f>
        <v/>
      </c>
      <c r="B5007" t="inlineStr">
        <is>
          <t>4:22</t>
        </is>
      </c>
      <c r="C5007" t="inlineStr">
        <is>
          <t>It then gets taken up by
the Board of directors,</t>
        </is>
      </c>
      <c r="D5007">
        <f>HYPERLINK("https://www.youtube.com/watch?v=4M6lrhuiPv0&amp;t=262s", "Go to time")</f>
        <v/>
      </c>
    </row>
    <row r="5008">
      <c r="A5008">
        <f>HYPERLINK("https://www.youtube.com/watch?v=CVo225pUaSA", "Video")</f>
        <v/>
      </c>
      <c r="B5008" t="inlineStr">
        <is>
          <t>3:38</t>
        </is>
      </c>
      <c r="C5008" t="inlineStr">
        <is>
          <t>Although there is not much direct
evidence that people in Homer's day</t>
        </is>
      </c>
      <c r="D5008">
        <f>HYPERLINK("https://www.youtube.com/watch?v=CVo225pUaSA&amp;t=218s", "Go to time")</f>
        <v/>
      </c>
    </row>
    <row r="5009">
      <c r="A5009">
        <f>HYPERLINK("https://www.youtube.com/watch?v=mEsXDN1zj3I", "Video")</f>
        <v/>
      </c>
      <c r="B5009" t="inlineStr">
        <is>
          <t>5:25</t>
        </is>
      </c>
      <c r="C5009" t="inlineStr">
        <is>
          <t>helps direct your attention
beyond the self.</t>
        </is>
      </c>
      <c r="D5009">
        <f>HYPERLINK("https://www.youtube.com/watch?v=mEsXDN1zj3I&amp;t=325s", "Go to time")</f>
        <v/>
      </c>
    </row>
    <row r="5010">
      <c r="A5010">
        <f>HYPERLINK("https://www.youtube.com/watch?v=iRGrY9F1cCE", "Video")</f>
        <v/>
      </c>
      <c r="B5010" t="inlineStr">
        <is>
          <t>1:49</t>
        </is>
      </c>
      <c r="C5010" t="inlineStr">
        <is>
          <t>Refraction describes how light
changes direction</t>
        </is>
      </c>
      <c r="D5010">
        <f>HYPERLINK("https://www.youtube.com/watch?v=iRGrY9F1cCE&amp;t=109s", "Go to time")</f>
        <v/>
      </c>
    </row>
    <row r="5011">
      <c r="A5011">
        <f>HYPERLINK("https://www.youtube.com/watch?v=ySClB6-OH-Q", "Video")</f>
        <v/>
      </c>
      <c r="B5011" t="inlineStr">
        <is>
          <t>1:30</t>
        </is>
      </c>
      <c r="C5011" t="inlineStr">
        <is>
          <t>was most likely communicated directly
from one person to another.</t>
        </is>
      </c>
      <c r="D5011">
        <f>HYPERLINK("https://www.youtube.com/watch?v=ySClB6-OH-Q&amp;t=90s", "Go to time")</f>
        <v/>
      </c>
    </row>
    <row r="5012">
      <c r="A5012">
        <f>HYPERLINK("https://www.youtube.com/watch?v=hLgh1pJP5ng", "Video")</f>
        <v/>
      </c>
      <c r="B5012" t="inlineStr">
        <is>
          <t>0:25</t>
        </is>
      </c>
      <c r="C5012" t="inlineStr">
        <is>
          <t>to snail species whose shells'
always coil in the same direction.</t>
        </is>
      </c>
      <c r="D5012">
        <f>HYPERLINK("https://www.youtube.com/watch?v=hLgh1pJP5ng&amp;t=25s", "Go to time")</f>
        <v/>
      </c>
    </row>
    <row r="5013">
      <c r="A5013">
        <f>HYPERLINK("https://www.youtube.com/watch?v=hLgh1pJP5ng", "Video")</f>
        <v/>
      </c>
      <c r="B5013" t="inlineStr">
        <is>
          <t>1:40</t>
        </is>
      </c>
      <c r="C5013" t="inlineStr">
        <is>
          <t>all in the same direction.</t>
        </is>
      </c>
      <c r="D5013">
        <f>HYPERLINK("https://www.youtube.com/watch?v=hLgh1pJP5ng&amp;t=100s", "Go to time")</f>
        <v/>
      </c>
    </row>
    <row r="5014">
      <c r="A5014">
        <f>HYPERLINK("https://www.youtube.com/watch?v=hLgh1pJP5ng", "Video")</f>
        <v/>
      </c>
      <c r="B5014" t="inlineStr">
        <is>
          <t>1:56</t>
        </is>
      </c>
      <c r="C5014" t="inlineStr">
        <is>
          <t>These genes direct the cells
to make certain proteins,</t>
        </is>
      </c>
      <c r="D5014">
        <f>HYPERLINK("https://www.youtube.com/watch?v=hLgh1pJP5ng&amp;t=116s", "Go to time")</f>
        <v/>
      </c>
    </row>
    <row r="5015">
      <c r="A5015">
        <f>HYPERLINK("https://www.youtube.com/watch?v=hLgh1pJP5ng", "Video")</f>
        <v/>
      </c>
      <c r="B5015" t="inlineStr">
        <is>
          <t>2:55</t>
        </is>
      </c>
      <c r="C5015" t="inlineStr">
        <is>
          <t>Bacterial colonies grow lacy branches
that all curl in the same direction,</t>
        </is>
      </c>
      <c r="D5015">
        <f>HYPERLINK("https://www.youtube.com/watch?v=hLgh1pJP5ng&amp;t=175s", "Go to time")</f>
        <v/>
      </c>
    </row>
    <row r="5016">
      <c r="A5016">
        <f>HYPERLINK("https://www.youtube.com/watch?v=ZNMwhaSHK9Q", "Video")</f>
        <v/>
      </c>
      <c r="B5016" t="inlineStr">
        <is>
          <t>0:19</t>
        </is>
      </c>
      <c r="C5016" t="inlineStr">
        <is>
          <t>and the occasional chair tossed in his or her direction.</t>
        </is>
      </c>
      <c r="D5016">
        <f>HYPERLINK("https://www.youtube.com/watch?v=ZNMwhaSHK9Q&amp;t=19s", "Go to time")</f>
        <v/>
      </c>
    </row>
    <row r="5017">
      <c r="A5017">
        <f>HYPERLINK("https://www.youtube.com/watch?v=CMQLdJa64Wk", "Video")</f>
        <v/>
      </c>
      <c r="B5017" t="inlineStr">
        <is>
          <t>2:30</t>
        </is>
      </c>
      <c r="C5017" t="inlineStr">
        <is>
          <t>The S&amp;P doesn’t directly represent 
the market as a whole—</t>
        </is>
      </c>
      <c r="D5017">
        <f>HYPERLINK("https://www.youtube.com/watch?v=CMQLdJa64Wk&amp;t=150s", "Go to time")</f>
        <v/>
      </c>
    </row>
    <row r="5018">
      <c r="A5018">
        <f>HYPERLINK("https://www.youtube.com/watch?v=4TQETLZZmcM", "Video")</f>
        <v/>
      </c>
      <c r="B5018" t="inlineStr">
        <is>
          <t>8:25</t>
        </is>
      </c>
      <c r="C5018" t="inlineStr">
        <is>
          <t>and shooting this is looking directly</t>
        </is>
      </c>
      <c r="D5018">
        <f>HYPERLINK("https://www.youtube.com/watch?v=4TQETLZZmcM&amp;t=505s", "Go to time")</f>
        <v/>
      </c>
    </row>
    <row r="5019">
      <c r="A5019">
        <f>HYPERLINK("https://www.youtube.com/watch?v=4TQETLZZmcM", "Video")</f>
        <v/>
      </c>
      <c r="B5019" t="inlineStr">
        <is>
          <t>8:45</t>
        </is>
      </c>
      <c r="C5019" t="inlineStr">
        <is>
          <t>off and this is the lighting directly</t>
        </is>
      </c>
      <c r="D5019">
        <f>HYPERLINK("https://www.youtube.com/watch?v=4TQETLZZmcM&amp;t=525s", "Go to time")</f>
        <v/>
      </c>
    </row>
    <row r="5020">
      <c r="A5020">
        <f>HYPERLINK("https://www.youtube.com/watch?v=JQDgE_eJGTM", "Video")</f>
        <v/>
      </c>
      <c r="B5020" t="inlineStr">
        <is>
          <t>0:23</t>
        </is>
      </c>
      <c r="C5020" t="inlineStr">
        <is>
          <t>that directly affects
every person viewing this video.</t>
        </is>
      </c>
      <c r="D5020">
        <f>HYPERLINK("https://www.youtube.com/watch?v=JQDgE_eJGTM&amp;t=23s", "Go to time")</f>
        <v/>
      </c>
    </row>
    <row r="5021">
      <c r="A5021">
        <f>HYPERLINK("https://www.youtube.com/watch?v=b0IbXG0hnOk", "Video")</f>
        <v/>
      </c>
      <c r="B5021" t="inlineStr">
        <is>
          <t>1:18</t>
        </is>
      </c>
      <c r="C5021" t="inlineStr">
        <is>
          <t>Translation allows the molecule to move
in the direction of any of them.</t>
        </is>
      </c>
      <c r="D5021">
        <f>HYPERLINK("https://www.youtube.com/watch?v=b0IbXG0hnOk&amp;t=78s", "Go to time")</f>
        <v/>
      </c>
    </row>
    <row r="5022">
      <c r="A5022">
        <f>HYPERLINK("https://www.youtube.com/watch?v=b0IbXG0hnOk", "Video")</f>
        <v/>
      </c>
      <c r="B5022" t="inlineStr">
        <is>
          <t>2:35</t>
        </is>
      </c>
      <c r="C5022" t="inlineStr">
        <is>
          <t>That's because each atom can move
in three different directions.</t>
        </is>
      </c>
      <c r="D5022">
        <f>HYPERLINK("https://www.youtube.com/watch?v=b0IbXG0hnOk&amp;t=155s", "Go to time")</f>
        <v/>
      </c>
    </row>
    <row r="5023">
      <c r="A5023">
        <f>HYPERLINK("https://www.youtube.com/watch?v=b0IbXG0hnOk", "Video")</f>
        <v/>
      </c>
      <c r="B5023" t="inlineStr">
        <is>
          <t>2:41</t>
        </is>
      </c>
      <c r="C5023" t="inlineStr">
        <is>
          <t>when all the atoms 
are going in the same direction.</t>
        </is>
      </c>
      <c r="D5023">
        <f>HYPERLINK("https://www.youtube.com/watch?v=b0IbXG0hnOk&amp;t=161s", "Go to time")</f>
        <v/>
      </c>
    </row>
    <row r="5024">
      <c r="A5024">
        <f>HYPERLINK("https://www.youtube.com/watch?v=b0IbXG0hnOk", "Video")</f>
        <v/>
      </c>
      <c r="B5024" t="inlineStr">
        <is>
          <t>3:52</t>
        </is>
      </c>
      <c r="C5024" t="inlineStr">
        <is>
          <t>These hotter, faster-moving molecules
emit infrared radiation in all directions,</t>
        </is>
      </c>
      <c r="D5024">
        <f>HYPERLINK("https://www.youtube.com/watch?v=b0IbXG0hnOk&amp;t=232s", "Go to time")</f>
        <v/>
      </c>
    </row>
    <row r="5025">
      <c r="A5025">
        <f>HYPERLINK("https://www.youtube.com/watch?v=AhsIF-cmoQQ", "Video")</f>
        <v/>
      </c>
      <c r="B5025" t="inlineStr">
        <is>
          <t>0:14</t>
        </is>
      </c>
      <c r="C5025" t="inlineStr">
        <is>
          <t>Deciphering these directions
would be a monumental task</t>
        </is>
      </c>
      <c r="D5025">
        <f>HYPERLINK("https://www.youtube.com/watch?v=AhsIF-cmoQQ&amp;t=14s", "Go to time")</f>
        <v/>
      </c>
    </row>
    <row r="5026">
      <c r="A5026">
        <f>HYPERLINK("https://www.youtube.com/watch?v=AhsIF-cmoQQ", "Video")</f>
        <v/>
      </c>
      <c r="B5026" t="inlineStr">
        <is>
          <t>2:46</t>
        </is>
      </c>
      <c r="C5026" t="inlineStr">
        <is>
          <t>The entire genome was directly chopped up</t>
        </is>
      </c>
      <c r="D5026">
        <f>HYPERLINK("https://www.youtube.com/watch?v=AhsIF-cmoQQ&amp;t=166s", "Go to time")</f>
        <v/>
      </c>
    </row>
    <row r="5027">
      <c r="A5027">
        <f>HYPERLINK("https://www.youtube.com/watch?v=me6NciKf3Bk", "Video")</f>
        <v/>
      </c>
      <c r="B5027" t="inlineStr">
        <is>
          <t>3:00</t>
        </is>
      </c>
      <c r="C5027" t="inlineStr">
        <is>
          <t>directly to and the gray dots are sites</t>
        </is>
      </c>
      <c r="D5027">
        <f>HYPERLINK("https://www.youtube.com/watch?v=me6NciKf3Bk&amp;t=180s", "Go to time")</f>
        <v/>
      </c>
    </row>
    <row r="5028">
      <c r="A5028">
        <f>HYPERLINK("https://www.youtube.com/watch?v=2YuFNymq_M0", "Video")</f>
        <v/>
      </c>
      <c r="B5028" t="inlineStr">
        <is>
          <t>3:00</t>
        </is>
      </c>
      <c r="C5028" t="inlineStr">
        <is>
          <t>or directly produce it via photosynthesis.</t>
        </is>
      </c>
      <c r="D5028">
        <f>HYPERLINK("https://www.youtube.com/watch?v=2YuFNymq_M0&amp;t=180s", "Go to time")</f>
        <v/>
      </c>
    </row>
    <row r="5029">
      <c r="A5029">
        <f>HYPERLINK("https://www.youtube.com/watch?v=PgSRAsgrKmg", "Video")</f>
        <v/>
      </c>
      <c r="B5029" t="inlineStr">
        <is>
          <t>3:05</t>
        </is>
      </c>
      <c r="C5029" t="inlineStr">
        <is>
          <t>While we can’t directly observe growth 
conditions in the mantle,</t>
        </is>
      </c>
      <c r="D5029">
        <f>HYPERLINK("https://www.youtube.com/watch?v=PgSRAsgrKmg&amp;t=185s", "Go to time")</f>
        <v/>
      </c>
    </row>
    <row r="5030">
      <c r="A5030">
        <f>HYPERLINK("https://www.youtube.com/watch?v=h8GqaAp3cGs", "Video")</f>
        <v/>
      </c>
      <c r="B5030" t="inlineStr">
        <is>
          <t>5:29</t>
        </is>
      </c>
      <c r="C5030" t="inlineStr">
        <is>
          <t>To be an inertial observer, one has to 
maintain a constant speed and direction</t>
        </is>
      </c>
      <c r="D5030">
        <f>HYPERLINK("https://www.youtube.com/watch?v=h8GqaAp3cGs&amp;t=329s", "Go to time")</f>
        <v/>
      </c>
    </row>
    <row r="5031">
      <c r="A5031">
        <f>HYPERLINK("https://www.youtube.com/watch?v=h8GqaAp3cGs", "Video")</f>
        <v/>
      </c>
      <c r="B5031" t="inlineStr">
        <is>
          <t>5:41</t>
        </is>
      </c>
      <c r="C5031" t="inlineStr">
        <is>
          <t>But when Stella changed her direction 
for the return journey,</t>
        </is>
      </c>
      <c r="D5031">
        <f>HYPERLINK("https://www.youtube.com/watch?v=h8GqaAp3cGs&amp;t=341s", "Go to time")</f>
        <v/>
      </c>
    </row>
    <row r="5032">
      <c r="A5032">
        <f>HYPERLINK("https://www.youtube.com/watch?v=_EF4LXLxquM", "Video")</f>
        <v/>
      </c>
      <c r="B5032" t="inlineStr">
        <is>
          <t>4:10</t>
        </is>
      </c>
      <c r="C5032" t="inlineStr">
        <is>
          <t>Many manufacturers have taken steps
in the right direction,</t>
        </is>
      </c>
      <c r="D5032">
        <f>HYPERLINK("https://www.youtube.com/watch?v=_EF4LXLxquM&amp;t=250s", "Go to time")</f>
        <v/>
      </c>
    </row>
    <row r="5033">
      <c r="A5033">
        <f>HYPERLINK("https://www.youtube.com/watch?v=MASBIB7zPo4", "Video")</f>
        <v/>
      </c>
      <c r="B5033" t="inlineStr">
        <is>
          <t>3:08</t>
        </is>
      </c>
      <c r="C5033" t="inlineStr">
        <is>
          <t>Without the ability to direct our focus,</t>
        </is>
      </c>
      <c r="D5033">
        <f>HYPERLINK("https://www.youtube.com/watch?v=MASBIB7zPo4&amp;t=188s", "Go to time")</f>
        <v/>
      </c>
    </row>
    <row r="5034">
      <c r="A5034">
        <f>HYPERLINK("https://www.youtube.com/watch?v=aDsW8tx1KsY", "Video")</f>
        <v/>
      </c>
      <c r="B5034" t="inlineStr">
        <is>
          <t>0:57</t>
        </is>
      </c>
      <c r="C5034" t="inlineStr">
        <is>
          <t>Some take place when two substances’ 
effects influence each other directly.</t>
        </is>
      </c>
      <c r="D5034">
        <f>HYPERLINK("https://www.youtube.com/watch?v=aDsW8tx1KsY&amp;t=57s", "Go to time")</f>
        <v/>
      </c>
    </row>
    <row r="5035">
      <c r="A5035">
        <f>HYPERLINK("https://www.youtube.com/watch?v=PLmmb2f1fDk", "Video")</f>
        <v/>
      </c>
      <c r="B5035" t="inlineStr">
        <is>
          <t>1:02</t>
        </is>
      </c>
      <c r="C5035" t="inlineStr">
        <is>
          <t>Instead, they suck food directly
into their mouths</t>
        </is>
      </c>
      <c r="D5035">
        <f>HYPERLINK("https://www.youtube.com/watch?v=PLmmb2f1fDk&amp;t=62s", "Go to time")</f>
        <v/>
      </c>
    </row>
    <row r="5036">
      <c r="A5036">
        <f>HYPERLINK("https://www.youtube.com/watch?v=PLmmb2f1fDk", "Video")</f>
        <v/>
      </c>
      <c r="B5036" t="inlineStr">
        <is>
          <t>3:33</t>
        </is>
      </c>
      <c r="C5036" t="inlineStr">
        <is>
          <t>that detected hCG directly.</t>
        </is>
      </c>
      <c r="D5036">
        <f>HYPERLINK("https://www.youtube.com/watch?v=PLmmb2f1fDk&amp;t=213s", "Go to time")</f>
        <v/>
      </c>
    </row>
    <row r="5037">
      <c r="A5037">
        <f>HYPERLINK("https://www.youtube.com/watch?v=yDtKBXOEsoM", "Video")</f>
        <v/>
      </c>
      <c r="B5037" t="inlineStr">
        <is>
          <t>4:05</t>
        </is>
      </c>
      <c r="C5037" t="inlineStr">
        <is>
          <t>to pump air directly into the lungs,</t>
        </is>
      </c>
      <c r="D5037">
        <f>HYPERLINK("https://www.youtube.com/watch?v=yDtKBXOEsoM&amp;t=245s", "Go to time")</f>
        <v/>
      </c>
    </row>
    <row r="5038">
      <c r="A5038">
        <f>HYPERLINK("https://www.youtube.com/watch?v=wz4k6d2reAI", "Video")</f>
        <v/>
      </c>
      <c r="B5038" t="inlineStr">
        <is>
          <t>1:17</t>
        </is>
      </c>
      <c r="C5038" t="inlineStr">
        <is>
          <t>and she’ll have to direct throngs of her
ladies, commanders, slaves and animals</t>
        </is>
      </c>
      <c r="D5038">
        <f>HYPERLINK("https://www.youtube.com/watch?v=wz4k6d2reAI&amp;t=77s", "Go to time")</f>
        <v/>
      </c>
    </row>
    <row r="5039">
      <c r="A5039">
        <f>HYPERLINK("https://www.youtube.com/watch?v=aRRE5TEnfsA", "Video")</f>
        <v/>
      </c>
      <c r="B5039" t="inlineStr">
        <is>
          <t>1:43</t>
        </is>
      </c>
      <c r="C5039" t="inlineStr">
        <is>
          <t>Director of the World Bank office in</t>
        </is>
      </c>
      <c r="D5039">
        <f>HYPERLINK("https://www.youtube.com/watch?v=aRRE5TEnfsA&amp;t=103s", "Go to time")</f>
        <v/>
      </c>
    </row>
    <row r="5040">
      <c r="A5040">
        <f>HYPERLINK("https://www.youtube.com/watch?v=rQ0EKiCt6H8", "Video")</f>
        <v/>
      </c>
      <c r="B5040" t="inlineStr">
        <is>
          <t>2:28</t>
        </is>
      </c>
      <c r="C5040" t="inlineStr">
        <is>
          <t>promoting themselves as more direct
descendants of the prophet,</t>
        </is>
      </c>
      <c r="D5040">
        <f>HYPERLINK("https://www.youtube.com/watch?v=rQ0EKiCt6H8&amp;t=148s", "Go to time")</f>
        <v/>
      </c>
    </row>
    <row r="5041">
      <c r="A5041">
        <f>HYPERLINK("https://www.youtube.com/watch?v=VElc-9Xa1f0", "Video")</f>
        <v/>
      </c>
      <c r="B5041" t="inlineStr">
        <is>
          <t>1:27</t>
        </is>
      </c>
      <c r="C5041" t="inlineStr">
        <is>
          <t>This slight delay helps their brains
determine the direction</t>
        </is>
      </c>
      <c r="D5041">
        <f>HYPERLINK("https://www.youtube.com/watch?v=VElc-9Xa1f0&amp;t=87s", "Go to time")</f>
        <v/>
      </c>
    </row>
    <row r="5042">
      <c r="A5042">
        <f>HYPERLINK("https://www.youtube.com/watch?v=VElc-9Xa1f0", "Video")</f>
        <v/>
      </c>
      <c r="B5042" t="inlineStr">
        <is>
          <t>4:39</t>
        </is>
      </c>
      <c r="C5042" t="inlineStr">
        <is>
          <t>which connect directly
to their middle ear bones.</t>
        </is>
      </c>
      <c r="D5042">
        <f>HYPERLINK("https://www.youtube.com/watch?v=VElc-9Xa1f0&amp;t=279s", "Go to time")</f>
        <v/>
      </c>
    </row>
    <row r="5043">
      <c r="A5043">
        <f>HYPERLINK("https://www.youtube.com/watch?v=1JXq9779zwU", "Video")</f>
        <v/>
      </c>
      <c r="B5043" t="inlineStr">
        <is>
          <t>1:49</t>
        </is>
      </c>
      <c r="C5043" t="inlineStr">
        <is>
          <t>So scientists have had to resort 
to indirect ways of studying the core,</t>
        </is>
      </c>
      <c r="D5043">
        <f>HYPERLINK("https://www.youtube.com/watch?v=1JXq9779zwU&amp;t=109s", "Go to time")</f>
        <v/>
      </c>
    </row>
    <row r="5044">
      <c r="A5044">
        <f>HYPERLINK("https://www.youtube.com/watch?v=rD5goS69LT4", "Video")</f>
        <v/>
      </c>
      <c r="B5044" t="inlineStr">
        <is>
          <t>1:04</t>
        </is>
      </c>
      <c r="C5044" t="inlineStr">
        <is>
          <t>that spoke directly to the politics
of Shakespeare's time</t>
        </is>
      </c>
      <c r="D5044">
        <f>HYPERLINK("https://www.youtube.com/watch?v=rD5goS69LT4&amp;t=64s", "Go to time")</f>
        <v/>
      </c>
    </row>
    <row r="5045">
      <c r="A5045">
        <f>HYPERLINK("https://www.youtube.com/watch?v=rD5goS69LT4", "Video")</f>
        <v/>
      </c>
      <c r="B5045" t="inlineStr">
        <is>
          <t>5:08</t>
        </is>
      </c>
      <c r="C5045" t="inlineStr">
        <is>
          <t>Directors often use the story
to shed light on abuses of power,</t>
        </is>
      </c>
      <c r="D5045">
        <f>HYPERLINK("https://www.youtube.com/watch?v=rD5goS69LT4&amp;t=308s", "Go to time")</f>
        <v/>
      </c>
    </row>
    <row r="5046">
      <c r="A5046">
        <f>HYPERLINK("https://www.youtube.com/watch?v=Iu4OdhjnN4I", "Video")</f>
        <v/>
      </c>
      <c r="B5046" t="inlineStr">
        <is>
          <t>2:42</t>
        </is>
      </c>
      <c r="C5046" t="inlineStr">
        <is>
          <t>First, you could direct people to vote 
via text, a webpage, or an app,</t>
        </is>
      </c>
      <c r="D5046">
        <f>HYPERLINK("https://www.youtube.com/watch?v=Iu4OdhjnN4I&amp;t=162s", "Go to time")</f>
        <v/>
      </c>
    </row>
    <row r="5047">
      <c r="A5047">
        <f>HYPERLINK("https://www.youtube.com/watch?v=kB-dJaCXAxA", "Video")</f>
        <v/>
      </c>
      <c r="B5047" t="inlineStr">
        <is>
          <t>3:07</t>
        </is>
      </c>
      <c r="C5047" t="inlineStr">
        <is>
          <t>a cult seeks to directly control them,</t>
        </is>
      </c>
      <c r="D5047">
        <f>HYPERLINK("https://www.youtube.com/watch?v=kB-dJaCXAxA&amp;t=187s", "Go to time")</f>
        <v/>
      </c>
    </row>
    <row r="5048">
      <c r="A5048">
        <f>HYPERLINK("https://www.youtube.com/watch?v=O18-FA83BaM", "Video")</f>
        <v/>
      </c>
      <c r="B5048" t="inlineStr">
        <is>
          <t>4:51</t>
        </is>
      </c>
      <c r="C5048" t="inlineStr">
        <is>
          <t>Medusa was almost always facing
directly outwards.</t>
        </is>
      </c>
      <c r="D5048">
        <f>HYPERLINK("https://www.youtube.com/watch?v=O18-FA83BaM&amp;t=291s", "Go to time")</f>
        <v/>
      </c>
    </row>
    <row r="5049">
      <c r="A5049">
        <f>HYPERLINK("https://www.youtube.com/watch?v=MgrwWuaRuso", "Video")</f>
        <v/>
      </c>
      <c r="B5049" t="inlineStr">
        <is>
          <t>2:39</t>
        </is>
      </c>
      <c r="C5049" t="inlineStr">
        <is>
          <t>Wheatley rarely wrote directly about her
experiences as an enslaved person.</t>
        </is>
      </c>
      <c r="D5049">
        <f>HYPERLINK("https://www.youtube.com/watch?v=MgrwWuaRuso&amp;t=159s", "Go to time")</f>
        <v/>
      </c>
    </row>
    <row r="5050">
      <c r="A5050">
        <f>HYPERLINK("https://www.youtube.com/watch?v=iQqSKfPop28", "Video")</f>
        <v/>
      </c>
      <c r="B5050" t="inlineStr">
        <is>
          <t>2:08</t>
        </is>
      </c>
      <c r="C5050" t="inlineStr">
        <is>
          <t>that shot off from the cell 
in different directions.</t>
        </is>
      </c>
      <c r="D5050">
        <f>HYPERLINK("https://www.youtube.com/watch?v=iQqSKfPop28&amp;t=128s", "Go to time")</f>
        <v/>
      </c>
    </row>
    <row r="5051">
      <c r="A5051">
        <f>HYPERLINK("https://www.youtube.com/watch?v=wteUW2sL7bc", "Video")</f>
        <v/>
      </c>
      <c r="B5051" t="inlineStr">
        <is>
          <t>1:14</t>
        </is>
      </c>
      <c r="C5051" t="inlineStr">
        <is>
          <t>This magnet generates a field
strong enough to change the direction</t>
        </is>
      </c>
      <c r="D5051">
        <f>HYPERLINK("https://www.youtube.com/watch?v=wteUW2sL7bc&amp;t=74s", "Go to time")</f>
        <v/>
      </c>
    </row>
    <row r="5052">
      <c r="A5052">
        <f>HYPERLINK("https://www.youtube.com/watch?v=wteUW2sL7bc", "Video")</f>
        <v/>
      </c>
      <c r="B5052" t="inlineStr">
        <is>
          <t>3:50</t>
        </is>
      </c>
      <c r="C5052" t="inlineStr">
        <is>
          <t>by changing the direction of recording
from longitudinal to perpendicular,</t>
        </is>
      </c>
      <c r="D5052">
        <f>HYPERLINK("https://www.youtube.com/watch?v=wteUW2sL7bc&amp;t=230s", "Go to time")</f>
        <v/>
      </c>
    </row>
    <row r="5053">
      <c r="A5053">
        <f>HYPERLINK("https://www.youtube.com/watch?v=i60wwZDA1CI", "Video")</f>
        <v/>
      </c>
      <c r="B5053" t="inlineStr">
        <is>
          <t>2:28</t>
        </is>
      </c>
      <c r="C5053" t="inlineStr">
        <is>
          <t>Well, because even though a p-value
doesn’t directly state the probability</t>
        </is>
      </c>
      <c r="D5053">
        <f>HYPERLINK("https://www.youtube.com/watch?v=i60wwZDA1CI&amp;t=148s", "Go to time")</f>
        <v/>
      </c>
    </row>
    <row r="5054">
      <c r="A5054">
        <f>HYPERLINK("https://www.youtube.com/watch?v=dzX8hvoGtT8", "Video")</f>
        <v/>
      </c>
      <c r="B5054" t="inlineStr">
        <is>
          <t>4:03</t>
        </is>
      </c>
      <c r="C5054" t="inlineStr">
        <is>
          <t>and direct it into their gullet.</t>
        </is>
      </c>
      <c r="D5054">
        <f>HYPERLINK("https://www.youtube.com/watch?v=dzX8hvoGtT8&amp;t=243s", "Go to time")</f>
        <v/>
      </c>
    </row>
    <row r="5055">
      <c r="A5055">
        <f>HYPERLINK("https://www.youtube.com/watch?v=bH3O69BscYg", "Video")</f>
        <v/>
      </c>
      <c r="B5055" t="inlineStr">
        <is>
          <t>2:35</t>
        </is>
      </c>
      <c r="C5055" t="inlineStr">
        <is>
          <t>Inside the lamellae, blood flows
in the opposite direction to the water,</t>
        </is>
      </c>
      <c r="D5055">
        <f>HYPERLINK("https://www.youtube.com/watch?v=bH3O69BscYg&amp;t=155s", "Go to time")</f>
        <v/>
      </c>
    </row>
    <row r="5056">
      <c r="A5056">
        <f>HYPERLINK("https://www.youtube.com/watch?v=3ywYXbGKstQ", "Video")</f>
        <v/>
      </c>
      <c r="B5056" t="inlineStr">
        <is>
          <t>8:58</t>
        </is>
      </c>
      <c r="C5056" t="inlineStr">
        <is>
          <t>pornography are really Direct irly</t>
        </is>
      </c>
      <c r="D5056">
        <f>HYPERLINK("https://www.youtube.com/watch?v=3ywYXbGKstQ&amp;t=538s", "Go to time")</f>
        <v/>
      </c>
    </row>
    <row r="5057">
      <c r="A5057">
        <f>HYPERLINK("https://www.youtube.com/watch?v=p4VHMsIuPmk", "Video")</f>
        <v/>
      </c>
      <c r="B5057" t="inlineStr">
        <is>
          <t>2:30</t>
        </is>
      </c>
      <c r="C5057" t="inlineStr">
        <is>
          <t>experiences less of a change
in direction and speed.</t>
        </is>
      </c>
      <c r="D5057">
        <f>HYPERLINK("https://www.youtube.com/watch?v=p4VHMsIuPmk&amp;t=150s", "Go to time")</f>
        <v/>
      </c>
    </row>
    <row r="5058">
      <c r="A5058">
        <f>HYPERLINK("https://www.youtube.com/watch?v=Ts3LIirgDbU", "Video")</f>
        <v/>
      </c>
      <c r="B5058" t="inlineStr">
        <is>
          <t>0:31</t>
        </is>
      </c>
      <c r="C5058" t="inlineStr">
        <is>
          <t>They were going to head in the
opposite direction.</t>
        </is>
      </c>
      <c r="D5058">
        <f>HYPERLINK("https://www.youtube.com/watch?v=Ts3LIirgDbU&amp;t=31s", "Go to time")</f>
        <v/>
      </c>
    </row>
    <row r="5059">
      <c r="A5059">
        <f>HYPERLINK("https://www.youtube.com/watch?v=YM-uykVfq_E", "Video")</f>
        <v/>
      </c>
      <c r="B5059" t="inlineStr">
        <is>
          <t>2:14</t>
        </is>
      </c>
      <c r="C5059" t="inlineStr">
        <is>
          <t>Entropy is a direct measure of each
energy configuration's probability.</t>
        </is>
      </c>
      <c r="D5059">
        <f>HYPERLINK("https://www.youtube.com/watch?v=YM-uykVfq_E&amp;t=134s", "Go to time")</f>
        <v/>
      </c>
    </row>
    <row r="5060">
      <c r="A5060">
        <f>HYPERLINK("https://www.youtube.com/watch?v=onZEkLpQ0FA", "Video")</f>
        <v/>
      </c>
      <c r="B5060" t="inlineStr">
        <is>
          <t>3:33</t>
        </is>
      </c>
      <c r="C5060" t="inlineStr">
        <is>
          <t>drawn directly on a Cintiq monitor.</t>
        </is>
      </c>
      <c r="D5060">
        <f>HYPERLINK("https://www.youtube.com/watch?v=onZEkLpQ0FA&amp;t=213s", "Go to time")</f>
        <v/>
      </c>
    </row>
    <row r="5061">
      <c r="A5061">
        <f>HYPERLINK("https://www.youtube.com/watch?v=onZEkLpQ0FA", "Video")</f>
        <v/>
      </c>
      <c r="B5061" t="inlineStr">
        <is>
          <t>4:59</t>
        </is>
      </c>
      <c r="C5061" t="inlineStr">
        <is>
          <t>allowing us to convey
in a direct, visual way</t>
        </is>
      </c>
      <c r="D5061">
        <f>HYPERLINK("https://www.youtube.com/watch?v=onZEkLpQ0FA&amp;t=299s", "Go to time")</f>
        <v/>
      </c>
    </row>
    <row r="5062">
      <c r="A5062">
        <f>HYPERLINK("https://www.youtube.com/watch?v=7H3ksmxwpWc", "Video")</f>
        <v/>
      </c>
      <c r="B5062" t="inlineStr">
        <is>
          <t>1:03</t>
        </is>
      </c>
      <c r="C5062" t="inlineStr">
        <is>
          <t>When a beam of light was moving
in the same direction as the Earth,</t>
        </is>
      </c>
      <c r="D5062">
        <f>HYPERLINK("https://www.youtube.com/watch?v=7H3ksmxwpWc&amp;t=63s", "Go to time")</f>
        <v/>
      </c>
    </row>
    <row r="5063">
      <c r="A5063">
        <f>HYPERLINK("https://www.youtube.com/watch?v=7H3ksmxwpWc", "Video")</f>
        <v/>
      </c>
      <c r="B5063" t="inlineStr">
        <is>
          <t>1:08</t>
        </is>
      </c>
      <c r="C5063" t="inlineStr">
        <is>
          <t>And when the Earth was moving
in the opposite direction,</t>
        </is>
      </c>
      <c r="D5063">
        <f>HYPERLINK("https://www.youtube.com/watch?v=7H3ksmxwpWc&amp;t=68s", "Go to time")</f>
        <v/>
      </c>
    </row>
    <row r="5064">
      <c r="A5064">
        <f>HYPERLINK("https://www.youtube.com/watch?v=YYpy0cM-GSE", "Video")</f>
        <v/>
      </c>
      <c r="B5064" t="inlineStr">
        <is>
          <t>4:54</t>
        </is>
      </c>
      <c r="C5064" t="inlineStr">
        <is>
          <t>marketed directly to teens and children.</t>
        </is>
      </c>
      <c r="D5064">
        <f>HYPERLINK("https://www.youtube.com/watch?v=YYpy0cM-GSE&amp;t=294s", "Go to time")</f>
        <v/>
      </c>
    </row>
    <row r="5065">
      <c r="A5065">
        <f>HYPERLINK("https://www.youtube.com/watch?v=BunU6CTmhFw", "Video")</f>
        <v/>
      </c>
      <c r="B5065" t="inlineStr">
        <is>
          <t>3:47</t>
        </is>
      </c>
      <c r="C5065" t="inlineStr">
        <is>
          <t>they avoid the extreme changes
in speed and direction</t>
        </is>
      </c>
      <c r="D5065">
        <f>HYPERLINK("https://www.youtube.com/watch?v=BunU6CTmhFw&amp;t=227s", "Go to time")</f>
        <v/>
      </c>
    </row>
    <row r="5066">
      <c r="A5066">
        <f>HYPERLINK("https://www.youtube.com/watch?v=may2s9j4RLk", "Video")</f>
        <v/>
      </c>
      <c r="B5066" t="inlineStr">
        <is>
          <t>1:22</t>
        </is>
      </c>
      <c r="C5066" t="inlineStr">
        <is>
          <t>Next came the dragon,
who could have flown directly across,</t>
        </is>
      </c>
      <c r="D5066">
        <f>HYPERLINK("https://www.youtube.com/watch?v=may2s9j4RLk&amp;t=82s", "Go to time")</f>
        <v/>
      </c>
    </row>
    <row r="5067">
      <c r="A5067">
        <f>HYPERLINK("https://www.youtube.com/watch?v=I7wfDenj6CQ", "Video")</f>
        <v/>
      </c>
      <c r="B5067" t="inlineStr">
        <is>
          <t>4:16</t>
        </is>
      </c>
      <c r="C5067" t="inlineStr">
        <is>
          <t>Now, new treatments that directly
stimulate or block</t>
        </is>
      </c>
      <c r="D5067">
        <f>HYPERLINK("https://www.youtube.com/watch?v=I7wfDenj6CQ&amp;t=256s", "Go to time")</f>
        <v/>
      </c>
    </row>
    <row r="5068">
      <c r="A5068">
        <f>HYPERLINK("https://www.youtube.com/watch?v=RSoRzTtwgP4", "Video")</f>
        <v/>
      </c>
      <c r="B5068" t="inlineStr">
        <is>
          <t>1:33</t>
        </is>
      </c>
      <c r="C5068" t="inlineStr">
        <is>
          <t>Stage and screen engage 
some of our senses directly.</t>
        </is>
      </c>
      <c r="D5068">
        <f>HYPERLINK("https://www.youtube.com/watch?v=RSoRzTtwgP4&amp;t=93s", "Go to time")</f>
        <v/>
      </c>
    </row>
    <row r="5069">
      <c r="A5069">
        <f>HYPERLINK("https://www.youtube.com/watch?v=3M3L4VIZv-U", "Video")</f>
        <v/>
      </c>
      <c r="B5069" t="inlineStr">
        <is>
          <t>1:43</t>
        </is>
      </c>
      <c r="C5069" t="inlineStr">
        <is>
          <t>the terror of “Lovecraftian” horror lies 
in what’s not directly portrayed–</t>
        </is>
      </c>
      <c r="D5069">
        <f>HYPERLINK("https://www.youtube.com/watch?v=3M3L4VIZv-U&amp;t=103s", "Go to time")</f>
        <v/>
      </c>
    </row>
    <row r="5070">
      <c r="A5070">
        <f>HYPERLINK("https://www.youtube.com/watch?v=3M3L4VIZv-U", "Video")</f>
        <v/>
      </c>
      <c r="B5070" t="inlineStr">
        <is>
          <t>2:52</t>
        </is>
      </c>
      <c r="C5070" t="inlineStr">
        <is>
          <t>But even these indirect glimpses are 
enough to drive them insane.</t>
        </is>
      </c>
      <c r="D5070">
        <f>HYPERLINK("https://www.youtube.com/watch?v=3M3L4VIZv-U&amp;t=172s", "Go to time")</f>
        <v/>
      </c>
    </row>
    <row r="5071">
      <c r="A5071">
        <f>HYPERLINK("https://www.youtube.com/watch?v=OGqAM2Mykng", "Video")</f>
        <v/>
      </c>
      <c r="B5071" t="inlineStr">
        <is>
          <t>2:27</t>
        </is>
      </c>
      <c r="C5071" t="inlineStr">
        <is>
          <t>This is why faint stars seem to disappear
when you look directly at them.</t>
        </is>
      </c>
      <c r="D5071">
        <f>HYPERLINK("https://www.youtube.com/watch?v=OGqAM2Mykng&amp;t=147s", "Go to time")</f>
        <v/>
      </c>
    </row>
    <row r="5072">
      <c r="A5072">
        <f>HYPERLINK("https://www.youtube.com/watch?v=0fivQUlC7-8", "Video")</f>
        <v/>
      </c>
      <c r="B5072" t="inlineStr">
        <is>
          <t>0:57</t>
        </is>
      </c>
      <c r="C5072" t="inlineStr">
        <is>
          <t>5th Century BC Athens was 
a direct democracy</t>
        </is>
      </c>
      <c r="D5072">
        <f>HYPERLINK("https://www.youtube.com/watch?v=0fivQUlC7-8&amp;t=57s", "Go to time")</f>
        <v/>
      </c>
    </row>
    <row r="5073">
      <c r="A5073">
        <f>HYPERLINK("https://www.youtube.com/watch?v=PxzNo58pE2c", "Video")</f>
        <v/>
      </c>
      <c r="B5073" t="inlineStr">
        <is>
          <t>1:02</t>
        </is>
      </c>
      <c r="C5073" t="inlineStr">
        <is>
          <t>so far we haven’t been able 
to detect it directly.</t>
        </is>
      </c>
      <c r="D5073">
        <f>HYPERLINK("https://www.youtube.com/watch?v=PxzNo58pE2c&amp;t=62s", "Go to time")</f>
        <v/>
      </c>
    </row>
    <row r="5074">
      <c r="A5074">
        <f>HYPERLINK("https://www.youtube.com/watch?v=PxzNo58pE2c", "Video")</f>
        <v/>
      </c>
      <c r="B5074" t="inlineStr">
        <is>
          <t>3:47</t>
        </is>
      </c>
      <c r="C5074" t="inlineStr">
        <is>
          <t>As of 2017, no dark matter particles 
have been directly detected.</t>
        </is>
      </c>
      <c r="D5074">
        <f>HYPERLINK("https://www.youtube.com/watch?v=PxzNo58pE2c&amp;t=227s", "Go to time")</f>
        <v/>
      </c>
    </row>
    <row r="5075">
      <c r="A5075">
        <f>HYPERLINK("https://www.youtube.com/watch?v=JO4_VHM69oI", "Video")</f>
        <v/>
      </c>
      <c r="B5075" t="inlineStr">
        <is>
          <t>1:55</t>
        </is>
      </c>
      <c r="C5075" t="inlineStr">
        <is>
          <t>at the same speed in every direction.</t>
        </is>
      </c>
      <c r="D5075">
        <f>HYPERLINK("https://www.youtube.com/watch?v=JO4_VHM69oI&amp;t=115s", "Go to time")</f>
        <v/>
      </c>
    </row>
    <row r="5076">
      <c r="A5076">
        <f>HYPERLINK("https://www.youtube.com/watch?v=JO4_VHM69oI", "Video")</f>
        <v/>
      </c>
      <c r="B5076" t="inlineStr">
        <is>
          <t>2:40</t>
        </is>
      </c>
      <c r="C5076" t="inlineStr">
        <is>
          <t>As the source keeps moving
in a certain direction,</t>
        </is>
      </c>
      <c r="D5076">
        <f>HYPERLINK("https://www.youtube.com/watch?v=JO4_VHM69oI&amp;t=160s", "Go to time")</f>
        <v/>
      </c>
    </row>
    <row r="5077">
      <c r="A5077">
        <f>HYPERLINK("https://www.youtube.com/watch?v=H0-WkpmTPrM", "Video")</f>
        <v/>
      </c>
      <c r="B5077" t="inlineStr">
        <is>
          <t>0:59</t>
        </is>
      </c>
      <c r="C5077" t="inlineStr">
        <is>
          <t>What if we took a more direct approach,</t>
        </is>
      </c>
      <c r="D5077">
        <f>HYPERLINK("https://www.youtube.com/watch?v=H0-WkpmTPrM&amp;t=59s", "Go to time")</f>
        <v/>
      </c>
    </row>
    <row r="5078">
      <c r="A5078">
        <f>HYPERLINK("https://www.youtube.com/watch?v=H0-WkpmTPrM", "Video")</f>
        <v/>
      </c>
      <c r="B5078" t="inlineStr">
        <is>
          <t>4:53</t>
        </is>
      </c>
      <c r="C5078" t="inlineStr">
        <is>
          <t>The statement is short and direct,</t>
        </is>
      </c>
      <c r="D5078">
        <f>HYPERLINK("https://www.youtube.com/watch?v=H0-WkpmTPrM&amp;t=293s", "Go to time")</f>
        <v/>
      </c>
    </row>
    <row r="5079">
      <c r="A5079">
        <f>HYPERLINK("https://www.youtube.com/watch?v=W0GpIMNTPYg", "Video")</f>
        <v/>
      </c>
      <c r="B5079" t="inlineStr">
        <is>
          <t>3:15</t>
        </is>
      </c>
      <c r="C5079" t="inlineStr">
        <is>
          <t>of focused ultrasonic energy
aimed directly at the stone.</t>
        </is>
      </c>
      <c r="D5079">
        <f>HYPERLINK("https://www.youtube.com/watch?v=W0GpIMNTPYg&amp;t=195s", "Go to time")</f>
        <v/>
      </c>
    </row>
    <row r="5080">
      <c r="A5080">
        <f>HYPERLINK("https://www.youtube.com/watch?v=g96z1P3z5yU", "Video")</f>
        <v/>
      </c>
      <c r="B5080" t="inlineStr">
        <is>
          <t>2:10</t>
        </is>
      </c>
      <c r="C5080" t="inlineStr">
        <is>
          <t>These molecules waft up from the armpit 
and can be sucked directly into our noses,</t>
        </is>
      </c>
      <c r="D5080">
        <f>HYPERLINK("https://www.youtube.com/watch?v=g96z1P3z5yU&amp;t=130s", "Go to time")</f>
        <v/>
      </c>
    </row>
    <row r="5081">
      <c r="A5081">
        <f>HYPERLINK("https://www.youtube.com/watch?v=6keLhobjwbU", "Video")</f>
        <v/>
      </c>
      <c r="B5081" t="inlineStr">
        <is>
          <t>2:52</t>
        </is>
      </c>
      <c r="C5081" t="inlineStr">
        <is>
          <t>or other people, directly or indirectly.</t>
        </is>
      </c>
      <c r="D5081">
        <f>HYPERLINK("https://www.youtube.com/watch?v=6keLhobjwbU&amp;t=172s", "Go to time")</f>
        <v/>
      </c>
    </row>
    <row r="5082">
      <c r="A5082">
        <f>HYPERLINK("https://www.youtube.com/watch?v=6keLhobjwbU", "Video")</f>
        <v/>
      </c>
      <c r="B5082" t="inlineStr">
        <is>
          <t>4:32</t>
        </is>
      </c>
      <c r="C5082" t="inlineStr">
        <is>
          <t>Some treatments work by stimulating
the immune system directly,</t>
        </is>
      </c>
      <c r="D5082">
        <f>HYPERLINK("https://www.youtube.com/watch?v=6keLhobjwbU&amp;t=272s", "Go to time")</f>
        <v/>
      </c>
    </row>
    <row r="5083">
      <c r="A5083">
        <f>HYPERLINK("https://www.youtube.com/watch?v=6keLhobjwbU", "Video")</f>
        <v/>
      </c>
      <c r="B5083" t="inlineStr">
        <is>
          <t>4:39</t>
        </is>
      </c>
      <c r="C5083" t="inlineStr">
        <is>
          <t>irritate the infected area,
indirectly activating an immune response.</t>
        </is>
      </c>
      <c r="D5083">
        <f>HYPERLINK("https://www.youtube.com/watch?v=6keLhobjwbU&amp;t=279s", "Go to time")</f>
        <v/>
      </c>
    </row>
    <row r="5084">
      <c r="A5084">
        <f>HYPERLINK("https://www.youtube.com/watch?v=sshUgVo8r3U", "Video")</f>
        <v/>
      </c>
      <c r="B5084" t="inlineStr">
        <is>
          <t>1:27</t>
        </is>
      </c>
      <c r="C5084" t="inlineStr">
        <is>
          <t>Within the cell, they can directly 
influence gene expression</t>
        </is>
      </c>
      <c r="D5084">
        <f>HYPERLINK("https://www.youtube.com/watch?v=sshUgVo8r3U&amp;t=87s", "Go to time")</f>
        <v/>
      </c>
    </row>
    <row r="5085">
      <c r="A5085">
        <f>HYPERLINK("https://www.youtube.com/watch?v=g09BQes-B7E", "Video")</f>
        <v/>
      </c>
      <c r="B5085" t="inlineStr">
        <is>
          <t>0:38</t>
        </is>
      </c>
      <c r="C5085" t="inlineStr">
        <is>
          <t>sometimes through direct brain hijacking.</t>
        </is>
      </c>
      <c r="D5085">
        <f>HYPERLINK("https://www.youtube.com/watch?v=g09BQes-B7E&amp;t=38s", "Go to time")</f>
        <v/>
      </c>
    </row>
    <row r="5086">
      <c r="A5086">
        <f>HYPERLINK("https://www.youtube.com/watch?v=g09BQes-B7E", "Video")</f>
        <v/>
      </c>
      <c r="B5086" t="inlineStr">
        <is>
          <t>4:17</t>
        </is>
      </c>
      <c r="C5086" t="inlineStr">
        <is>
          <t>Gordian worms seem to affect
crickets' brains directly.</t>
        </is>
      </c>
      <c r="D5086">
        <f>HYPERLINK("https://www.youtube.com/watch?v=g09BQes-B7E&amp;t=257s", "Go to time")</f>
        <v/>
      </c>
    </row>
    <row r="5087">
      <c r="A5087">
        <f>HYPERLINK("https://www.youtube.com/watch?v=hX4IvoP1HTk", "Video")</f>
        <v/>
      </c>
      <c r="B5087" t="inlineStr">
        <is>
          <t>0:51</t>
        </is>
      </c>
      <c r="C5087" t="inlineStr">
        <is>
          <t>the Six Grandfathers 
after their sacred directional spirits.</t>
        </is>
      </c>
      <c r="D5087">
        <f>HYPERLINK("https://www.youtube.com/watch?v=hX4IvoP1HTk&amp;t=51s", "Go to time")</f>
        <v/>
      </c>
    </row>
    <row r="5088">
      <c r="A5088">
        <f>HYPERLINK("https://www.youtube.com/watch?v=keMF8YzQoRM", "Video")</f>
        <v/>
      </c>
      <c r="B5088" t="inlineStr">
        <is>
          <t>3:26</t>
        </is>
      </c>
      <c r="C5088" t="inlineStr">
        <is>
          <t>In this case, emotional tears
are also directly calming Iris down,</t>
        </is>
      </c>
      <c r="D5088">
        <f>HYPERLINK("https://www.youtube.com/watch?v=keMF8YzQoRM&amp;t=206s", "Go to time")</f>
        <v/>
      </c>
    </row>
    <row r="5089">
      <c r="A5089">
        <f>HYPERLINK("https://www.youtube.com/watch?v=Vd4rgN6MYtg", "Video")</f>
        <v/>
      </c>
      <c r="B5089" t="inlineStr">
        <is>
          <t>1:01</t>
        </is>
      </c>
      <c r="C5089" t="inlineStr">
        <is>
          <t>while museum directors claimed</t>
        </is>
      </c>
      <c r="D5089">
        <f>HYPERLINK("https://www.youtube.com/watch?v=Vd4rgN6MYtg&amp;t=61s", "Go to time")</f>
        <v/>
      </c>
    </row>
    <row r="5090">
      <c r="A5090">
        <f>HYPERLINK("https://www.youtube.com/watch?v=Vd4rgN6MYtg", "Video")</f>
        <v/>
      </c>
      <c r="B5090" t="inlineStr">
        <is>
          <t>2:44</t>
        </is>
      </c>
      <c r="C5090" t="inlineStr">
        <is>
          <t>human directed selective breeding or genetic modification</t>
        </is>
      </c>
      <c r="D5090">
        <f>HYPERLINK("https://www.youtube.com/watch?v=Vd4rgN6MYtg&amp;t=164s", "Go to time")</f>
        <v/>
      </c>
    </row>
    <row r="5091">
      <c r="A5091">
        <f>HYPERLINK("https://www.youtube.com/watch?v=8dEdCea-UVU", "Video")</f>
        <v/>
      </c>
      <c r="B5091" t="inlineStr">
        <is>
          <t>7:31</t>
        </is>
      </c>
      <c r="C5091" t="inlineStr">
        <is>
          <t>Finally, Hedge’s radio crackles to life 
with a series of directions.</t>
        </is>
      </c>
      <c r="D5091">
        <f>HYPERLINK("https://www.youtube.com/watch?v=8dEdCea-UVU&amp;t=451s", "Go to time")</f>
        <v/>
      </c>
    </row>
    <row r="5092">
      <c r="A5092">
        <f>HYPERLINK("https://www.youtube.com/watch?v=Xm13Kq_E1ik", "Video")</f>
        <v/>
      </c>
      <c r="B5092" t="inlineStr">
        <is>
          <t>1:13</t>
        </is>
      </c>
      <c r="C5092" t="inlineStr">
        <is>
          <t>Because the axis remains tilted
in the same direction</t>
        </is>
      </c>
      <c r="D5092">
        <f>HYPERLINK("https://www.youtube.com/watch?v=Xm13Kq_E1ik&amp;t=73s", "Go to time")</f>
        <v/>
      </c>
    </row>
    <row r="5093">
      <c r="A5093">
        <f>HYPERLINK("https://www.youtube.com/watch?v=Xm13Kq_E1ik", "Video")</f>
        <v/>
      </c>
      <c r="B5093" t="inlineStr">
        <is>
          <t>1:42</t>
        </is>
      </c>
      <c r="C5093" t="inlineStr">
        <is>
          <t>and the position on the Earth
where the Sun appears directly overhead,</t>
        </is>
      </c>
      <c r="D5093">
        <f>HYPERLINK("https://www.youtube.com/watch?v=Xm13Kq_E1ik&amp;t=102s", "Go to time")</f>
        <v/>
      </c>
    </row>
    <row r="5094">
      <c r="A5094">
        <f>HYPERLINK("https://www.youtube.com/watch?v=8aq_gRfmjgY", "Video")</f>
        <v/>
      </c>
      <c r="B5094" t="inlineStr">
        <is>
          <t>1:38</t>
        </is>
      </c>
      <c r="C5094" t="inlineStr">
        <is>
          <t>And The Directory that replaced them
was an unstable and incompetent oligarchy.</t>
        </is>
      </c>
      <c r="D5094">
        <f>HYPERLINK("https://www.youtube.com/watch?v=8aq_gRfmjgY&amp;t=98s", "Go to time")</f>
        <v/>
      </c>
    </row>
    <row r="5095">
      <c r="A5095">
        <f>HYPERLINK("https://www.youtube.com/watch?v=3GWqM-IoAgM", "Video")</f>
        <v/>
      </c>
      <c r="B5095" t="inlineStr">
        <is>
          <t>3:27</t>
        </is>
      </c>
      <c r="C5095" t="inlineStr">
        <is>
          <t>directly to a brutal campaign
of institutionalized racism.</t>
        </is>
      </c>
      <c r="D5095">
        <f>HYPERLINK("https://www.youtube.com/watch?v=3GWqM-IoAgM&amp;t=207s", "Go to time")</f>
        <v/>
      </c>
    </row>
    <row r="5096">
      <c r="A5096">
        <f>HYPERLINK("https://www.youtube.com/watch?v=4nZ9gNGZwO0", "Video")</f>
        <v/>
      </c>
      <c r="B5096" t="inlineStr">
        <is>
          <t>2:20</t>
        </is>
      </c>
      <c r="C5096" t="inlineStr">
        <is>
          <t>They directed him further into town,</t>
        </is>
      </c>
      <c r="D5096">
        <f>HYPERLINK("https://www.youtube.com/watch?v=4nZ9gNGZwO0&amp;t=140s", "Go to time")</f>
        <v/>
      </c>
    </row>
    <row r="5097">
      <c r="A5097">
        <f>HYPERLINK("https://www.youtube.com/watch?v=PP8Zc778B8s", "Video")</f>
        <v/>
      </c>
      <c r="B5097" t="inlineStr">
        <is>
          <t>4:23</t>
        </is>
      </c>
      <c r="C5097" t="inlineStr">
        <is>
          <t>The ideas and inspiration here
go in both directions.</t>
        </is>
      </c>
      <c r="D5097">
        <f>HYPERLINK("https://www.youtube.com/watch?v=PP8Zc778B8s&amp;t=263s", "Go to time")</f>
        <v/>
      </c>
    </row>
    <row r="5098">
      <c r="A5098">
        <f>HYPERLINK("https://www.youtube.com/watch?v=QkZCPMVgR4g", "Video")</f>
        <v/>
      </c>
      <c r="B5098" t="inlineStr">
        <is>
          <t>1:25</t>
        </is>
      </c>
      <c r="C5098" t="inlineStr">
        <is>
          <t>This is a direct consequence 
of the Heisenberg Uncertainty Principle,</t>
        </is>
      </c>
      <c r="D5098">
        <f>HYPERLINK("https://www.youtube.com/watch?v=QkZCPMVgR4g&amp;t=85s", "Go to time")</f>
        <v/>
      </c>
    </row>
    <row r="5099">
      <c r="A5099">
        <f>HYPERLINK("https://www.youtube.com/watch?v=gCtlzT0HsZM", "Video")</f>
        <v/>
      </c>
      <c r="B5099" t="inlineStr">
        <is>
          <t>6:23</t>
        </is>
      </c>
      <c r="C5099" t="inlineStr">
        <is>
          <t>cable four going in each Direction and</t>
        </is>
      </c>
      <c r="D5099">
        <f>HYPERLINK("https://www.youtube.com/watch?v=gCtlzT0HsZM&amp;t=383s", "Go to time")</f>
        <v/>
      </c>
    </row>
    <row r="5100">
      <c r="A5100">
        <f>HYPERLINK("https://www.youtube.com/watch?v=gCtlzT0HsZM", "Video")</f>
        <v/>
      </c>
      <c r="B5100" t="inlineStr">
        <is>
          <t>8:10</t>
        </is>
      </c>
      <c r="C5100" t="inlineStr">
        <is>
          <t>around the other direction and then</t>
        </is>
      </c>
      <c r="D5100">
        <f>HYPERLINK("https://www.youtube.com/watch?v=gCtlzT0HsZM&amp;t=490s", "Go to time")</f>
        <v/>
      </c>
    </row>
    <row r="5101">
      <c r="A5101">
        <f>HYPERLINK("https://www.youtube.com/watch?v=IdWXT391FJE", "Video")</f>
        <v/>
      </c>
      <c r="B5101" t="inlineStr">
        <is>
          <t>3:17</t>
        </is>
      </c>
      <c r="C5101" t="inlineStr">
        <is>
          <t>because they interact directly with your
finger without the application of force.</t>
        </is>
      </c>
      <c r="D5101">
        <f>HYPERLINK("https://www.youtube.com/watch?v=IdWXT391FJE&amp;t=197s", "Go to time")</f>
        <v/>
      </c>
    </row>
    <row r="5102">
      <c r="A5102">
        <f>HYPERLINK("https://www.youtube.com/watch?v=DrcCTgwbsjc", "Video")</f>
        <v/>
      </c>
      <c r="B5102" t="inlineStr">
        <is>
          <t>0:58</t>
        </is>
      </c>
      <c r="C5102" t="inlineStr">
        <is>
          <t>The British ruled some provinces directly,
and ruled the princely states indirectly.</t>
        </is>
      </c>
      <c r="D5102">
        <f>HYPERLINK("https://www.youtube.com/watch?v=DrcCTgwbsjc&amp;t=58s", "Go to time")</f>
        <v/>
      </c>
    </row>
    <row r="5103">
      <c r="A5103">
        <f>HYPERLINK("https://www.youtube.com/watch?v=DrcCTgwbsjc", "Video")</f>
        <v/>
      </c>
      <c r="B5103" t="inlineStr">
        <is>
          <t>1:04</t>
        </is>
      </c>
      <c r="C5103" t="inlineStr">
        <is>
          <t>Under indirect rule, the princely states
remained sovereign</t>
        </is>
      </c>
      <c r="D5103">
        <f>HYPERLINK("https://www.youtube.com/watch?v=DrcCTgwbsjc&amp;t=64s", "Go to time")</f>
        <v/>
      </c>
    </row>
    <row r="5104">
      <c r="A5104">
        <f>HYPERLINK("https://www.youtube.com/watch?v=DrcCTgwbsjc", "Video")</f>
        <v/>
      </c>
      <c r="B5104" t="inlineStr">
        <is>
          <t>2:58</t>
        </is>
      </c>
      <c r="C5104" t="inlineStr">
        <is>
          <t>dividing three provinces 
under direct British rule:</t>
        </is>
      </c>
      <c r="D5104">
        <f>HYPERLINK("https://www.youtube.com/watch?v=DrcCTgwbsjc&amp;t=178s", "Go to time")</f>
        <v/>
      </c>
    </row>
    <row r="5105">
      <c r="A5105">
        <f>HYPERLINK("https://www.youtube.com/watch?v=EkDhlzA-lwI", "Video")</f>
        <v/>
      </c>
      <c r="B5105" t="inlineStr">
        <is>
          <t>2:00</t>
        </is>
      </c>
      <c r="C5105" t="inlineStr">
        <is>
          <t>Berti had succeeded in
directly creating a stable vacuum.</t>
        </is>
      </c>
      <c r="D5105">
        <f>HYPERLINK("https://www.youtube.com/watch?v=EkDhlzA-lwI&amp;t=120s", "Go to time")</f>
        <v/>
      </c>
    </row>
    <row r="5106">
      <c r="A5106">
        <f>HYPERLINK("https://www.youtube.com/watch?v=V0CdS128-q4", "Video")</f>
        <v/>
      </c>
      <c r="B5106" t="inlineStr">
        <is>
          <t>0:44</t>
        </is>
      </c>
      <c r="C5106" t="inlineStr">
        <is>
          <t>Morphine, codeine, and other substances 
made directly from the poppy</t>
        </is>
      </c>
      <c r="D5106">
        <f>HYPERLINK("https://www.youtube.com/watch?v=V0CdS128-q4&amp;t=44s", "Go to time")</f>
        <v/>
      </c>
    </row>
    <row r="5107">
      <c r="A5107">
        <f>HYPERLINK("https://www.youtube.com/watch?v=1RWOpQXTltA", "Video")</f>
        <v/>
      </c>
      <c r="B5107" t="inlineStr">
        <is>
          <t>1:47</t>
        </is>
      </c>
      <c r="C5107" t="inlineStr">
        <is>
          <t>at objects directly,</t>
        </is>
      </c>
      <c r="D5107">
        <f>HYPERLINK("https://www.youtube.com/watch?v=1RWOpQXTltA&amp;t=107s", "Go to time")</f>
        <v/>
      </c>
    </row>
    <row r="5108">
      <c r="A5108">
        <f>HYPERLINK("https://www.youtube.com/watch?v=m8bDCaPhOek", "Video")</f>
        <v/>
      </c>
      <c r="B5108" t="inlineStr">
        <is>
          <t>2:05</t>
        </is>
      </c>
      <c r="C5108" t="inlineStr">
        <is>
          <t>By day, navigators could 
identify direction</t>
        </is>
      </c>
      <c r="D5108">
        <f>HYPERLINK("https://www.youtube.com/watch?v=m8bDCaPhOek&amp;t=125s", "Go to time")</f>
        <v/>
      </c>
    </row>
    <row r="5109">
      <c r="A5109">
        <f>HYPERLINK("https://www.youtube.com/watch?v=m8bDCaPhOek", "Video")</f>
        <v/>
      </c>
      <c r="B5109" t="inlineStr">
        <is>
          <t>2:18</t>
        </is>
      </c>
      <c r="C5109" t="inlineStr">
        <is>
          <t>and created low light on the ocean that
made it possible to see swells directly.</t>
        </is>
      </c>
      <c r="D5109">
        <f>HYPERLINK("https://www.youtube.com/watch?v=m8bDCaPhOek&amp;t=138s", "Go to time")</f>
        <v/>
      </c>
    </row>
    <row r="5110">
      <c r="A5110">
        <f>HYPERLINK("https://www.youtube.com/watch?v=6PiyUjVxukI", "Video")</f>
        <v/>
      </c>
      <c r="B5110" t="inlineStr">
        <is>
          <t>5:09</t>
        </is>
      </c>
      <c r="C5110" t="inlineStr">
        <is>
          <t>there are very few objective experiments 
to directly test them, yet.</t>
        </is>
      </c>
      <c r="D5110">
        <f>HYPERLINK("https://www.youtube.com/watch?v=6PiyUjVxukI&amp;t=309s", "Go to time")</f>
        <v/>
      </c>
    </row>
    <row r="5111">
      <c r="A5111">
        <f>HYPERLINK("https://www.youtube.com/watch?v=f4pkzHP3qyA", "Video")</f>
        <v/>
      </c>
      <c r="B5111" t="inlineStr">
        <is>
          <t>3:41</t>
        </is>
      </c>
      <c r="C5111" t="inlineStr">
        <is>
          <t>is the direction we think he was looking.</t>
        </is>
      </c>
      <c r="D5111">
        <f>HYPERLINK("https://www.youtube.com/watch?v=f4pkzHP3qyA&amp;t=221s", "Go to time")</f>
        <v/>
      </c>
    </row>
    <row r="5112">
      <c r="A5112">
        <f>HYPERLINK("https://www.youtube.com/watch?v=iHqzHrEFFTU", "Video")</f>
        <v/>
      </c>
      <c r="B5112" t="inlineStr">
        <is>
          <t>2:36</t>
        </is>
      </c>
      <c r="C5112" t="inlineStr">
        <is>
          <t>or directly from some of the Turkic 
peoples the Mongols hired</t>
        </is>
      </c>
      <c r="D5112">
        <f>HYPERLINK("https://www.youtube.com/watch?v=iHqzHrEFFTU&amp;t=156s", "Go to time")</f>
        <v/>
      </c>
    </row>
    <row r="5113">
      <c r="A5113">
        <f>HYPERLINK("https://www.youtube.com/watch?v=N9LC-3ZKiok", "Video")</f>
        <v/>
      </c>
      <c r="B5113" t="inlineStr">
        <is>
          <t>3:44</t>
        </is>
      </c>
      <c r="C5113" t="inlineStr">
        <is>
          <t>directly cause disease.</t>
        </is>
      </c>
      <c r="D5113">
        <f>HYPERLINK("https://www.youtube.com/watch?v=N9LC-3ZKiok&amp;t=224s", "Go to time")</f>
        <v/>
      </c>
    </row>
    <row r="5114">
      <c r="A5114">
        <f>HYPERLINK("https://www.youtube.com/watch?v=1siE5_Q9vs0", "Video")</f>
        <v/>
      </c>
      <c r="B5114" t="inlineStr">
        <is>
          <t>2:25</t>
        </is>
      </c>
      <c r="C5114" t="inlineStr">
        <is>
          <t>and, directly or indirectly,</t>
        </is>
      </c>
      <c r="D5114">
        <f>HYPERLINK("https://www.youtube.com/watch?v=1siE5_Q9vs0&amp;t=145s", "Go to time")</f>
        <v/>
      </c>
    </row>
    <row r="5115">
      <c r="A5115">
        <f>HYPERLINK("https://www.youtube.com/watch?v=ZmaeljnPOu4", "Video")</f>
        <v/>
      </c>
      <c r="B5115" t="inlineStr">
        <is>
          <t>2:45</t>
        </is>
      </c>
      <c r="C5115" t="inlineStr">
        <is>
          <t>and give the following directions
to everyone else.</t>
        </is>
      </c>
      <c r="D5115">
        <f>HYPERLINK("https://www.youtube.com/watch?v=ZmaeljnPOu4&amp;t=165s", "Go to time")</f>
        <v/>
      </c>
    </row>
    <row r="5116">
      <c r="A5116">
        <f>HYPERLINK("https://www.youtube.com/watch?v=YlYEi0PgG1g", "Video")</f>
        <v/>
      </c>
      <c r="B5116" t="inlineStr">
        <is>
          <t>2:22</t>
        </is>
      </c>
      <c r="C5116" t="inlineStr">
        <is>
          <t>Rather than trying to lift 
an object directly,</t>
        </is>
      </c>
      <c r="D5116">
        <f>HYPERLINK("https://www.youtube.com/watch?v=YlYEi0PgG1g&amp;t=142s", "Go to time")</f>
        <v/>
      </c>
    </row>
    <row r="5117">
      <c r="A5117">
        <f>HYPERLINK("https://www.youtube.com/watch?v=UMMwgvLmN-M", "Video")</f>
        <v/>
      </c>
      <c r="B5117" t="inlineStr">
        <is>
          <t>2:11</t>
        </is>
      </c>
      <c r="C5117" t="inlineStr">
        <is>
          <t>increases directly along 
with the viral load,</t>
        </is>
      </c>
      <c r="D5117">
        <f>HYPERLINK("https://www.youtube.com/watch?v=UMMwgvLmN-M&amp;t=131s", "Go to time")</f>
        <v/>
      </c>
    </row>
    <row r="5118">
      <c r="A5118">
        <f>HYPERLINK("https://www.youtube.com/watch?v=UMMwgvLmN-M", "Video")</f>
        <v/>
      </c>
      <c r="B5118" t="inlineStr">
        <is>
          <t>2:27</t>
        </is>
      </c>
      <c r="C5118" t="inlineStr">
        <is>
          <t>virtually all known cases of contraction
have been through direct contact</t>
        </is>
      </c>
      <c r="D5118">
        <f>HYPERLINK("https://www.youtube.com/watch?v=UMMwgvLmN-M&amp;t=147s", "Go to time")</f>
        <v/>
      </c>
    </row>
    <row r="5119">
      <c r="A5119">
        <f>HYPERLINK("https://www.youtube.com/watch?v=I7EOTLpDSzs", "Video")</f>
        <v/>
      </c>
      <c r="B5119" t="inlineStr">
        <is>
          <t>3:47</t>
        </is>
      </c>
      <c r="C5119" t="inlineStr">
        <is>
          <t>The film’s director remarked that he never
envisioned his living dead as zombies.</t>
        </is>
      </c>
      <c r="D5119">
        <f>HYPERLINK("https://www.youtube.com/watch?v=I7EOTLpDSzs&amp;t=227s", "Go to time")</f>
        <v/>
      </c>
    </row>
    <row r="5120">
      <c r="A5120">
        <f>HYPERLINK("https://www.youtube.com/watch?v=ByCTeTI3SDg", "Video")</f>
        <v/>
      </c>
      <c r="B5120" t="inlineStr">
        <is>
          <t>2:22</t>
        </is>
      </c>
      <c r="C5120" t="inlineStr">
        <is>
          <t>Andvari directed Loki to his lair.</t>
        </is>
      </c>
      <c r="D5120">
        <f>HYPERLINK("https://www.youtube.com/watch?v=ByCTeTI3SDg&amp;t=142s", "Go to time")</f>
        <v/>
      </c>
    </row>
    <row r="5121">
      <c r="A5121">
        <f>HYPERLINK("https://www.youtube.com/watch?v=4h9nfYbov38", "Video")</f>
        <v/>
      </c>
      <c r="B5121" t="inlineStr">
        <is>
          <t>3:41</t>
        </is>
      </c>
      <c r="C5121" t="inlineStr">
        <is>
          <t>and in forms that directly mimic tissues,</t>
        </is>
      </c>
      <c r="D5121">
        <f>HYPERLINK("https://www.youtube.com/watch?v=4h9nfYbov38&amp;t=221s", "Go to time")</f>
        <v/>
      </c>
    </row>
    <row r="5122">
      <c r="A5122">
        <f>HYPERLINK("https://www.youtube.com/watch?v=6a6kbU88wu0", "Video")</f>
        <v/>
      </c>
      <c r="B5122" t="inlineStr">
        <is>
          <t>3:39</t>
        </is>
      </c>
      <c r="C5122" t="inlineStr">
        <is>
          <t>While his novel "Animal Farm" directly
mocked the Soviet regime,</t>
        </is>
      </c>
      <c r="D5122">
        <f>HYPERLINK("https://www.youtube.com/watch?v=6a6kbU88wu0&amp;t=219s", "Go to time")</f>
        <v/>
      </c>
    </row>
    <row r="5123">
      <c r="A5123">
        <f>HYPERLINK("https://www.youtube.com/watch?v=TlyIDlFNVOY", "Video")</f>
        <v/>
      </c>
      <c r="B5123" t="inlineStr">
        <is>
          <t>2:52</t>
        </is>
      </c>
      <c r="C5123" t="inlineStr">
        <is>
          <t>By the fall of 1932, the river had
been successfully redirected.</t>
        </is>
      </c>
      <c r="D5123">
        <f>HYPERLINK("https://www.youtube.com/watch?v=TlyIDlFNVOY&amp;t=172s", "Go to time")</f>
        <v/>
      </c>
    </row>
    <row r="5124">
      <c r="A5124">
        <f>HYPERLINK("https://www.youtube.com/watch?v=fHztd6k5ZXY", "Video")</f>
        <v/>
      </c>
      <c r="B5124" t="inlineStr">
        <is>
          <t>2:17</t>
        </is>
      </c>
      <c r="C5124" t="inlineStr">
        <is>
          <t>Since energy can only flow
in one direction in a food chain,</t>
        </is>
      </c>
      <c r="D5124">
        <f>HYPERLINK("https://www.youtube.com/watch?v=fHztd6k5ZXY&amp;t=137s", "Go to time")</f>
        <v/>
      </c>
    </row>
    <row r="5125">
      <c r="A5125">
        <f>HYPERLINK("https://www.youtube.com/watch?v=fHztd6k5ZXY", "Video")</f>
        <v/>
      </c>
      <c r="B5125" t="inlineStr">
        <is>
          <t>3:41</t>
        </is>
      </c>
      <c r="C5125" t="inlineStr">
        <is>
          <t>by direct interaction
with light particles,</t>
        </is>
      </c>
      <c r="D5125">
        <f>HYPERLINK("https://www.youtube.com/watch?v=fHztd6k5ZXY&amp;t=221s", "Go to time")</f>
        <v/>
      </c>
    </row>
    <row r="5126">
      <c r="A5126">
        <f>HYPERLINK("https://www.youtube.com/watch?v=vn3e37VWc0k", "Video")</f>
        <v/>
      </c>
      <c r="B5126" t="inlineStr">
        <is>
          <t>1:25</t>
        </is>
      </c>
      <c r="C5126" t="inlineStr">
        <is>
          <t>between cultures with no direct contact.</t>
        </is>
      </c>
      <c r="D5126">
        <f>HYPERLINK("https://www.youtube.com/watch?v=vn3e37VWc0k&amp;t=85s", "Go to time")</f>
        <v/>
      </c>
    </row>
    <row r="5127">
      <c r="A5127">
        <f>HYPERLINK("https://www.youtube.com/watch?v=3xHURCCswAY", "Video")</f>
        <v/>
      </c>
      <c r="B5127" t="inlineStr">
        <is>
          <t>3:06</t>
        </is>
      </c>
      <c r="C5127" t="inlineStr">
        <is>
          <t>direct connection with people because I</t>
        </is>
      </c>
      <c r="D5127">
        <f>HYPERLINK("https://www.youtube.com/watch?v=3xHURCCswAY&amp;t=186s", "Go to time")</f>
        <v/>
      </c>
    </row>
    <row r="5128">
      <c r="A5128">
        <f>HYPERLINK("https://www.youtube.com/watch?v=QJB0nmEjbDY", "Video")</f>
        <v/>
      </c>
      <c r="B5128" t="inlineStr">
        <is>
          <t>2:22</t>
        </is>
      </c>
      <c r="C5128" t="inlineStr">
        <is>
          <t>Some have theorized that the pattern helps
zebras stay cool in direct sunlight,</t>
        </is>
      </c>
      <c r="D5128">
        <f>HYPERLINK("https://www.youtube.com/watch?v=QJB0nmEjbDY&amp;t=142s", "Go to time")</f>
        <v/>
      </c>
    </row>
    <row r="5129">
      <c r="A5129">
        <f>HYPERLINK("https://www.youtube.com/watch?v=xYxyTZG7APQ", "Video")</f>
        <v/>
      </c>
      <c r="B5129" t="inlineStr">
        <is>
          <t>3:02</t>
        </is>
      </c>
      <c r="C5129" t="inlineStr">
        <is>
          <t>take a much more direct route.</t>
        </is>
      </c>
      <c r="D5129">
        <f>HYPERLINK("https://www.youtube.com/watch?v=xYxyTZG7APQ&amp;t=182s", "Go to time")</f>
        <v/>
      </c>
    </row>
    <row r="5130">
      <c r="A5130">
        <f>HYPERLINK("https://www.youtube.com/watch?v=xYxyTZG7APQ", "Video")</f>
        <v/>
      </c>
      <c r="B5130" t="inlineStr">
        <is>
          <t>3:37</t>
        </is>
      </c>
      <c r="C5130" t="inlineStr">
        <is>
          <t>Aided by some distance and direction
information from the neutrino detectors,</t>
        </is>
      </c>
      <c r="D5130">
        <f>HYPERLINK("https://www.youtube.com/watch?v=xYxyTZG7APQ&amp;t=217s", "Go to time")</f>
        <v/>
      </c>
    </row>
    <row r="5131">
      <c r="A5131">
        <f>HYPERLINK("https://www.youtube.com/watch?v=xYxyTZG7APQ", "Video")</f>
        <v/>
      </c>
      <c r="B5131" t="inlineStr">
        <is>
          <t>3:50</t>
        </is>
      </c>
      <c r="C5131" t="inlineStr">
        <is>
          <t>and turn the world's major 
telescopes in that direction.</t>
        </is>
      </c>
      <c r="D5131">
        <f>HYPERLINK("https://www.youtube.com/watch?v=xYxyTZG7APQ&amp;t=230s", "Go to time")</f>
        <v/>
      </c>
    </row>
    <row r="5132">
      <c r="A5132">
        <f>HYPERLINK("https://www.youtube.com/watch?v=KtT_cgMzHx8", "Video")</f>
        <v/>
      </c>
      <c r="B5132" t="inlineStr">
        <is>
          <t>1:16</t>
        </is>
      </c>
      <c r="C5132" t="inlineStr">
        <is>
          <t>Trying to calculate the odds 
of a match directly is challenging</t>
        </is>
      </c>
      <c r="D5132">
        <f>HYPERLINK("https://www.youtube.com/watch?v=KtT_cgMzHx8&amp;t=76s", "Go to time")</f>
        <v/>
      </c>
    </row>
    <row r="5133">
      <c r="A5133">
        <f>HYPERLINK("https://www.youtube.com/watch?v=zAxfrI8zHU4", "Video")</f>
        <v/>
      </c>
      <c r="B5133" t="inlineStr">
        <is>
          <t>1:35</t>
        </is>
      </c>
      <c r="C5133" t="inlineStr">
        <is>
          <t>So, Clymene sent him 
off to ask Helios directly.</t>
        </is>
      </c>
      <c r="D5133">
        <f>HYPERLINK("https://www.youtube.com/watch?v=zAxfrI8zHU4&amp;t=95s", "Go to time")</f>
        <v/>
      </c>
    </row>
    <row r="5134">
      <c r="A5134">
        <f>HYPERLINK("https://www.youtube.com/watch?v=DgzxhDHjzms", "Video")</f>
        <v/>
      </c>
      <c r="B5134" t="inlineStr">
        <is>
          <t>4:12</t>
        </is>
      </c>
      <c r="C5134" t="inlineStr">
        <is>
          <t>goes directly to moving the wheels.</t>
        </is>
      </c>
      <c r="D5134">
        <f>HYPERLINK("https://www.youtube.com/watch?v=DgzxhDHjzms&amp;t=252s", "Go to time")</f>
        <v/>
      </c>
    </row>
    <row r="5135">
      <c r="A5135">
        <f>HYPERLINK("https://www.youtube.com/watch?v=ptM7FzyjtRk", "Video")</f>
        <v/>
      </c>
      <c r="B5135" t="inlineStr">
        <is>
          <t>0:35</t>
        </is>
      </c>
      <c r="C5135" t="inlineStr">
        <is>
          <t>placed directly before the main conjunction,</t>
        </is>
      </c>
      <c r="D5135">
        <f>HYPERLINK("https://www.youtube.com/watch?v=ptM7FzyjtRk&amp;t=35s", "Go to time")</f>
        <v/>
      </c>
    </row>
    <row r="5136">
      <c r="A5136">
        <f>HYPERLINK("https://www.youtube.com/watch?v=XiBXhCr_Jpw", "Video")</f>
        <v/>
      </c>
      <c r="B5136" t="inlineStr">
        <is>
          <t>1:41</t>
        </is>
      </c>
      <c r="C5136" t="inlineStr">
        <is>
          <t>The deadly effects of these viruses
aren’t caused by the pathogens directly,</t>
        </is>
      </c>
      <c r="D5136">
        <f>HYPERLINK("https://www.youtube.com/watch?v=XiBXhCr_Jpw&amp;t=101s", "Go to time")</f>
        <v/>
      </c>
    </row>
    <row r="5137">
      <c r="A5137">
        <f>HYPERLINK("https://www.youtube.com/watch?v=KF6rClLH4n4", "Video")</f>
        <v/>
      </c>
      <c r="B5137" t="inlineStr">
        <is>
          <t>2:30</t>
        </is>
      </c>
      <c r="C5137" t="inlineStr">
        <is>
          <t>The first is to trickle down the granitic
mountain directly into the top layer.</t>
        </is>
      </c>
      <c r="D5137">
        <f>HYPERLINK("https://www.youtube.com/watch?v=KF6rClLH4n4&amp;t=150s", "Go to time")</f>
        <v/>
      </c>
    </row>
    <row r="5138">
      <c r="A5138">
        <f>HYPERLINK("https://www.youtube.com/watch?v=oG9jQBj1eqE", "Video")</f>
        <v/>
      </c>
      <c r="B5138" t="inlineStr">
        <is>
          <t>1:15</t>
        </is>
      </c>
      <c r="C5138" t="inlineStr">
        <is>
          <t>bouncing around in every direction
on the canvas.</t>
        </is>
      </c>
      <c r="D5138">
        <f>HYPERLINK("https://www.youtube.com/watch?v=oG9jQBj1eqE&amp;t=75s", "Go to time")</f>
        <v/>
      </c>
    </row>
    <row r="5139">
      <c r="A5139">
        <f>HYPERLINK("https://www.youtube.com/watch?v=oG9jQBj1eqE", "Video")</f>
        <v/>
      </c>
      <c r="B5139" t="inlineStr">
        <is>
          <t>1:50</t>
        </is>
      </c>
      <c r="C5139" t="inlineStr">
        <is>
          <t>These Surrealists supposedly drew
directly from the unconscious</t>
        </is>
      </c>
      <c r="D5139">
        <f>HYPERLINK("https://www.youtube.com/watch?v=oG9jQBj1eqE&amp;t=110s", "Go to time")</f>
        <v/>
      </c>
    </row>
    <row r="5140">
      <c r="A5140">
        <f>HYPERLINK("https://www.youtube.com/watch?v=oG9jQBj1eqE", "Video")</f>
        <v/>
      </c>
      <c r="B5140" t="inlineStr">
        <is>
          <t>2:39</t>
        </is>
      </c>
      <c r="C5140" t="inlineStr">
        <is>
          <t>changing speed and direction</t>
        </is>
      </c>
      <c r="D5140">
        <f>HYPERLINK("https://www.youtube.com/watch?v=oG9jQBj1eqE&amp;t=159s", "Go to time")</f>
        <v/>
      </c>
    </row>
    <row r="5141">
      <c r="A5141">
        <f>HYPERLINK("https://www.youtube.com/watch?v=er3v4PVNQqE", "Video")</f>
        <v/>
      </c>
      <c r="B5141" t="inlineStr">
        <is>
          <t>4:49</t>
        </is>
      </c>
      <c r="C5141" t="inlineStr">
        <is>
          <t>Now, we’ve saddled light with information
and redirected it</t>
        </is>
      </c>
      <c r="D5141">
        <f>HYPERLINK("https://www.youtube.com/watch?v=er3v4PVNQqE&amp;t=289s", "Go to time")</f>
        <v/>
      </c>
    </row>
    <row r="5142">
      <c r="A5142">
        <f>HYPERLINK("https://www.youtube.com/watch?v=SBGfHk91Vrk", "Video")</f>
        <v/>
      </c>
      <c r="B5142" t="inlineStr">
        <is>
          <t>4:13</t>
        </is>
      </c>
      <c r="C5142" t="inlineStr">
        <is>
          <t>be wary of directives to “act now or 
miss a once-in-a-lifetime opportunity.”</t>
        </is>
      </c>
      <c r="D5142">
        <f>HYPERLINK("https://www.youtube.com/watch?v=SBGfHk91Vrk&amp;t=253s", "Go to time")</f>
        <v/>
      </c>
    </row>
    <row r="5143">
      <c r="A5143">
        <f>HYPERLINK("https://www.youtube.com/watch?v=Al-30Z-aH8M", "Video")</f>
        <v/>
      </c>
      <c r="B5143" t="inlineStr">
        <is>
          <t>1:01</t>
        </is>
      </c>
      <c r="C5143" t="inlineStr">
        <is>
          <t>sought to change these dire conditions
and help reform the prisoners.</t>
        </is>
      </c>
      <c r="D5143">
        <f>HYPERLINK("https://www.youtube.com/watch?v=Al-30Z-aH8M&amp;t=61s", "Go to time")</f>
        <v/>
      </c>
    </row>
    <row r="5144">
      <c r="A5144">
        <f>HYPERLINK("https://www.youtube.com/watch?v=X4BmV2t83SM", "Video")</f>
        <v/>
      </c>
      <c r="B5144" t="inlineStr">
        <is>
          <t>1:34</t>
        </is>
      </c>
      <c r="C5144" t="inlineStr">
        <is>
          <t>and a direct object "the muffins."</t>
        </is>
      </c>
      <c r="D5144">
        <f>HYPERLINK("https://www.youtube.com/watch?v=X4BmV2t83SM&amp;t=94s", "Go to time")</f>
        <v/>
      </c>
    </row>
    <row r="5145">
      <c r="A5145">
        <f>HYPERLINK("https://www.youtube.com/watch?v=XNu5ppFZbHo", "Video")</f>
        <v/>
      </c>
      <c r="B5145" t="inlineStr">
        <is>
          <t>1:45</t>
        </is>
      </c>
      <c r="C5145" t="inlineStr">
        <is>
          <t>it is not under the direct control
of any branch of government.</t>
        </is>
      </c>
      <c r="D5145">
        <f>HYPERLINK("https://www.youtube.com/watch?v=XNu5ppFZbHo&amp;t=105s", "Go to time")</f>
        <v/>
      </c>
    </row>
    <row r="5146">
      <c r="A5146">
        <f>HYPERLINK("https://www.youtube.com/watch?v=BnOS90_cwQA", "Video")</f>
        <v/>
      </c>
      <c r="B5146" t="inlineStr">
        <is>
          <t>3:21</t>
        </is>
      </c>
      <c r="C5146" t="inlineStr">
        <is>
          <t>attacking the city 
from an unexpected direction.</t>
        </is>
      </c>
      <c r="D5146">
        <f>HYPERLINK("https://www.youtube.com/watch?v=BnOS90_cwQA&amp;t=201s", "Go to time")</f>
        <v/>
      </c>
    </row>
    <row r="5147">
      <c r="A5147">
        <f>HYPERLINK("https://www.youtube.com/watch?v=5y0pcLkD7-I", "Video")</f>
        <v/>
      </c>
      <c r="B5147" t="inlineStr">
        <is>
          <t>4:04</t>
        </is>
      </c>
      <c r="C5147" t="inlineStr">
        <is>
          <t>Diagrams like the one Lemma has drawn
are called directed acyclic graphs.</t>
        </is>
      </c>
      <c r="D5147">
        <f>HYPERLINK("https://www.youtube.com/watch?v=5y0pcLkD7-I&amp;t=244s", "Go to time")</f>
        <v/>
      </c>
    </row>
    <row r="5148">
      <c r="A5148">
        <f>HYPERLINK("https://www.youtube.com/watch?v=5y0pcLkD7-I", "Video")</f>
        <v/>
      </c>
      <c r="B5148" t="inlineStr">
        <is>
          <t>4:17</t>
        </is>
      </c>
      <c r="C5148" t="inlineStr">
        <is>
          <t>Directed means that direction matters—
as indicated by the arrows.</t>
        </is>
      </c>
      <c r="D5148">
        <f>HYPERLINK("https://www.youtube.com/watch?v=5y0pcLkD7-I&amp;t=257s", "Go to time")</f>
        <v/>
      </c>
    </row>
    <row r="5149">
      <c r="A5149">
        <f>HYPERLINK("https://www.youtube.com/watch?v=e9TLbZuvsko", "Video")</f>
        <v/>
      </c>
      <c r="B5149" t="inlineStr">
        <is>
          <t>2:40</t>
        </is>
      </c>
      <c r="C5149" t="inlineStr">
        <is>
          <t>making the chances 
of a direct hit with us miniscule.</t>
        </is>
      </c>
      <c r="D5149">
        <f>HYPERLINK("https://www.youtube.com/watch?v=e9TLbZuvsko&amp;t=160s", "Go to time")</f>
        <v/>
      </c>
    </row>
    <row r="5150">
      <c r="A5150">
        <f>HYPERLINK("https://www.youtube.com/watch?v=e9TLbZuvsko", "Video")</f>
        <v/>
      </c>
      <c r="B5150" t="inlineStr">
        <is>
          <t>2:48</t>
        </is>
      </c>
      <c r="C5150" t="inlineStr">
        <is>
          <t>they could be dangerous 
even without a direct collision.</t>
        </is>
      </c>
      <c r="D5150">
        <f>HYPERLINK("https://www.youtube.com/watch?v=e9TLbZuvsko&amp;t=168s", "Go to time")</f>
        <v/>
      </c>
    </row>
    <row r="5151">
      <c r="A5151">
        <f>HYPERLINK("https://www.youtube.com/watch?v=e9TLbZuvsko", "Video")</f>
        <v/>
      </c>
      <c r="B5151" t="inlineStr">
        <is>
          <t>3:01</t>
        </is>
      </c>
      <c r="C5151" t="inlineStr">
        <is>
          <t>with dire results.</t>
        </is>
      </c>
      <c r="D5151">
        <f>HYPERLINK("https://www.youtube.com/watch?v=e9TLbZuvsko&amp;t=181s", "Go to time")</f>
        <v/>
      </c>
    </row>
    <row r="5152">
      <c r="A5152">
        <f>HYPERLINK("https://www.youtube.com/watch?v=I4pQbo5MQOs", "Video")</f>
        <v/>
      </c>
      <c r="B5152" t="inlineStr">
        <is>
          <t>0:16</t>
        </is>
      </c>
      <c r="C5152" t="inlineStr">
        <is>
          <t>By referring to itself directly, this 
statement creates an unresolvable paradox.</t>
        </is>
      </c>
      <c r="D5152">
        <f>HYPERLINK("https://www.youtube.com/watch?v=I4pQbo5MQOs&amp;t=16s", "Go to time")</f>
        <v/>
      </c>
    </row>
    <row r="5153">
      <c r="A5153">
        <f>HYPERLINK("https://www.youtube.com/watch?v=sb2FI2EI4D8", "Video")</f>
        <v/>
      </c>
      <c r="B5153" t="inlineStr">
        <is>
          <t>6:15</t>
        </is>
      </c>
      <c r="C5153" t="inlineStr">
        <is>
          <t>what happened then is a direct</t>
        </is>
      </c>
      <c r="D5153">
        <f>HYPERLINK("https://www.youtube.com/watch?v=sb2FI2EI4D8&amp;t=375s", "Go to time")</f>
        <v/>
      </c>
    </row>
    <row r="5154">
      <c r="A5154">
        <f>HYPERLINK("https://www.youtube.com/watch?v=KI7u_pcfAQE", "Video")</f>
        <v/>
      </c>
      <c r="B5154" t="inlineStr">
        <is>
          <t>0:40</t>
        </is>
      </c>
      <c r="C5154" t="inlineStr">
        <is>
          <t>are directly or indirectly</t>
        </is>
      </c>
      <c r="D5154">
        <f>HYPERLINK("https://www.youtube.com/watch?v=KI7u_pcfAQE&amp;t=40s", "Go to time")</f>
        <v/>
      </c>
    </row>
    <row r="5155">
      <c r="A5155">
        <f>HYPERLINK("https://www.youtube.com/watch?v=KI7u_pcfAQE", "Video")</f>
        <v/>
      </c>
      <c r="B5155" t="inlineStr">
        <is>
          <t>3:01</t>
        </is>
      </c>
      <c r="C5155" t="inlineStr">
        <is>
          <t>poop, or pond scum directly,</t>
        </is>
      </c>
      <c r="D5155">
        <f>HYPERLINK("https://www.youtube.com/watch?v=KI7u_pcfAQE&amp;t=181s", "Go to time")</f>
        <v/>
      </c>
    </row>
    <row r="5156">
      <c r="A5156">
        <f>HYPERLINK("https://www.youtube.com/watch?v=KI7u_pcfAQE", "Video")</f>
        <v/>
      </c>
      <c r="B5156" t="inlineStr">
        <is>
          <t>3:07</t>
        </is>
      </c>
      <c r="C5156" t="inlineStr">
        <is>
          <t>either feed directly on detritus themselves,</t>
        </is>
      </c>
      <c r="D5156">
        <f>HYPERLINK("https://www.youtube.com/watch?v=KI7u_pcfAQE&amp;t=187s", "Go to time")</f>
        <v/>
      </c>
    </row>
    <row r="5157">
      <c r="A5157">
        <f>HYPERLINK("https://www.youtube.com/watch?v=v580zy82rcE", "Video")</f>
        <v/>
      </c>
      <c r="B5157" t="inlineStr">
        <is>
          <t>3:35</t>
        </is>
      </c>
      <c r="C5157" t="inlineStr">
        <is>
          <t>Directly across the river, Shah Jahan 
built another sprawling garden</t>
        </is>
      </c>
      <c r="D5157">
        <f>HYPERLINK("https://www.youtube.com/watch?v=v580zy82rcE&amp;t=215s", "Go to time")</f>
        <v/>
      </c>
    </row>
    <row r="5158">
      <c r="A5158">
        <f>HYPERLINK("https://www.youtube.com/watch?v=BR1enXROmgA", "Video")</f>
        <v/>
      </c>
      <c r="B5158" t="inlineStr">
        <is>
          <t>0:48</t>
        </is>
      </c>
      <c r="C5158" t="inlineStr">
        <is>
          <t>migrate in the opposite direction,</t>
        </is>
      </c>
      <c r="D5158">
        <f>HYPERLINK("https://www.youtube.com/watch?v=BR1enXROmgA&amp;t=48s", "Go to time")</f>
        <v/>
      </c>
    </row>
    <row r="5159">
      <c r="A5159">
        <f>HYPERLINK("https://www.youtube.com/watch?v=OXT8xdqcAoU", "Video")</f>
        <v/>
      </c>
      <c r="B5159" t="inlineStr">
        <is>
          <t>5:09</t>
        </is>
      </c>
      <c r="C5159" t="inlineStr">
        <is>
          <t>Are you organized and self-directed?</t>
        </is>
      </c>
      <c r="D5159">
        <f>HYPERLINK("https://www.youtube.com/watch?v=OXT8xdqcAoU&amp;t=309s", "Go to time")</f>
        <v/>
      </c>
    </row>
    <row r="5160">
      <c r="A5160">
        <f>HYPERLINK("https://www.youtube.com/watch?v=cSKGa_7XJkg", "Video")</f>
        <v/>
      </c>
      <c r="B5160" t="inlineStr">
        <is>
          <t>0:38</t>
        </is>
      </c>
      <c r="C5160" t="inlineStr">
        <is>
          <t>which had the resources
to gather information directly.</t>
        </is>
      </c>
      <c r="D5160">
        <f>HYPERLINK("https://www.youtube.com/watch?v=cSKGa_7XJkg&amp;t=38s", "Go to time")</f>
        <v/>
      </c>
    </row>
    <row r="5161">
      <c r="A5161">
        <f>HYPERLINK("https://www.youtube.com/watch?v=cSKGa_7XJkg", "Video")</f>
        <v/>
      </c>
      <c r="B5161" t="inlineStr">
        <is>
          <t>1:58</t>
        </is>
      </c>
      <c r="C5161" t="inlineStr">
        <is>
          <t>In a slightly less dire example,</t>
        </is>
      </c>
      <c r="D5161">
        <f>HYPERLINK("https://www.youtube.com/watch?v=cSKGa_7XJkg&amp;t=118s", "Go to time")</f>
        <v/>
      </c>
    </row>
    <row r="5162">
      <c r="A5162">
        <f>HYPERLINK("https://www.youtube.com/watch?v=6iAfUomyCjo", "Video")</f>
        <v/>
      </c>
      <c r="B5162" t="inlineStr">
        <is>
          <t>4:11</t>
        </is>
      </c>
      <c r="C5162" t="inlineStr">
        <is>
          <t>these insects directly endanger 
10% of humanity.</t>
        </is>
      </c>
      <c r="D5162">
        <f>HYPERLINK("https://www.youtube.com/watch?v=6iAfUomyCjo&amp;t=251s", "Go to time")</f>
        <v/>
      </c>
    </row>
    <row r="5163">
      <c r="A5163">
        <f>HYPERLINK("https://www.youtube.com/watch?v=uE_UuHRtXCY", "Video")</f>
        <v/>
      </c>
      <c r="B5163" t="inlineStr">
        <is>
          <t>1:12</t>
        </is>
      </c>
      <c r="C5163" t="inlineStr">
        <is>
          <t>even though it required boring 
directly through</t>
        </is>
      </c>
      <c r="D5163">
        <f>HYPERLINK("https://www.youtube.com/watch?v=uE_UuHRtXCY&amp;t=72s", "Go to time")</f>
        <v/>
      </c>
    </row>
    <row r="5164">
      <c r="A5164">
        <f>HYPERLINK("https://www.youtube.com/watch?v=N35IugBYH04", "Video")</f>
        <v/>
      </c>
      <c r="B5164" t="inlineStr">
        <is>
          <t>2:23</t>
        </is>
      </c>
      <c r="C5164" t="inlineStr">
        <is>
          <t>FBI Director J. Edgar Hoover</t>
        </is>
      </c>
      <c r="D5164">
        <f>HYPERLINK("https://www.youtube.com/watch?v=N35IugBYH04&amp;t=143s", "Go to time")</f>
        <v/>
      </c>
    </row>
    <row r="5165">
      <c r="A5165">
        <f>HYPERLINK("https://www.youtube.com/watch?v=N35IugBYH04", "Video")</f>
        <v/>
      </c>
      <c r="B5165" t="inlineStr">
        <is>
          <t>4:43</t>
        </is>
      </c>
      <c r="C5165" t="inlineStr">
        <is>
          <t>but feared that directly opposing them
would hurt their careers.</t>
        </is>
      </c>
      <c r="D5165">
        <f>HYPERLINK("https://www.youtube.com/watch?v=N35IugBYH04&amp;t=283s", "Go to time")</f>
        <v/>
      </c>
    </row>
    <row r="5166">
      <c r="A5166">
        <f>HYPERLINK("https://www.youtube.com/watch?v=0O_boW9YA7I", "Video")</f>
        <v/>
      </c>
      <c r="B5166" t="inlineStr">
        <is>
          <t>3:08</t>
        </is>
      </c>
      <c r="C5166" t="inlineStr">
        <is>
          <t>across the function’s domains 
in both directions.</t>
        </is>
      </c>
      <c r="D5166">
        <f>HYPERLINK("https://www.youtube.com/watch?v=0O_boW9YA7I&amp;t=188s", "Go to time")</f>
        <v/>
      </c>
    </row>
    <row r="5167">
      <c r="A5167">
        <f>HYPERLINK("https://www.youtube.com/watch?v=W6aL9YyRx1A", "Video")</f>
        <v/>
      </c>
      <c r="B5167" t="inlineStr">
        <is>
          <t>1:27</t>
        </is>
      </c>
      <c r="C5167" t="inlineStr">
        <is>
          <t>So instead, scientists figured out a way 
to slow the atoms down directly –</t>
        </is>
      </c>
      <c r="D5167">
        <f>HYPERLINK("https://www.youtube.com/watch?v=W6aL9YyRx1A&amp;t=87s", "Go to time")</f>
        <v/>
      </c>
    </row>
    <row r="5168">
      <c r="A5168">
        <f>HYPERLINK("https://www.youtube.com/watch?v=W6aL9YyRx1A", "Video")</f>
        <v/>
      </c>
      <c r="B5168" t="inlineStr">
        <is>
          <t>2:14</t>
        </is>
      </c>
      <c r="C5168" t="inlineStr">
        <is>
          <t>ensure that atoms traveling 
in all directions will be intercepted.</t>
        </is>
      </c>
      <c r="D5168">
        <f>HYPERLINK("https://www.youtube.com/watch?v=W6aL9YyRx1A&amp;t=134s", "Go to time")</f>
        <v/>
      </c>
    </row>
    <row r="5169">
      <c r="A5169">
        <f>HYPERLINK("https://www.youtube.com/watch?v=i9p-a8YJO-o", "Video")</f>
        <v/>
      </c>
      <c r="B5169" t="inlineStr">
        <is>
          <t>3:27</t>
        </is>
      </c>
      <c r="C5169" t="inlineStr">
        <is>
          <t>The construction site bypassed the Nile
and ran directly from Port Said to Suez.</t>
        </is>
      </c>
      <c r="D5169">
        <f>HYPERLINK("https://www.youtube.com/watch?v=i9p-a8YJO-o&amp;t=207s", "Go to time")</f>
        <v/>
      </c>
    </row>
    <row r="5170">
      <c r="A5170">
        <f>HYPERLINK("https://www.youtube.com/watch?v=sDo7saKaEys", "Video")</f>
        <v/>
      </c>
      <c r="B5170" t="inlineStr">
        <is>
          <t>3:08</t>
        </is>
      </c>
      <c r="C5170" t="inlineStr">
        <is>
          <t>But we have no way of directly measuring
how cloudy it was in 1750.</t>
        </is>
      </c>
      <c r="D5170">
        <f>HYPERLINK("https://www.youtube.com/watch?v=sDo7saKaEys&amp;t=188s", "Go to time")</f>
        <v/>
      </c>
    </row>
    <row r="5171">
      <c r="A5171">
        <f>HYPERLINK("https://www.youtube.com/watch?v=ehHoOYqAT_U", "Video")</f>
        <v/>
      </c>
      <c r="B5171" t="inlineStr">
        <is>
          <t>3:30</t>
        </is>
      </c>
      <c r="C5171" t="inlineStr">
        <is>
          <t>To observe the W and Z directly,</t>
        </is>
      </c>
      <c r="D5171">
        <f>HYPERLINK("https://www.youtube.com/watch?v=ehHoOYqAT_U&amp;t=210s", "Go to time")</f>
        <v/>
      </c>
    </row>
    <row r="5172">
      <c r="A5172">
        <f>HYPERLINK("https://www.youtube.com/watch?v=NCPTbfQyMt8", "Video")</f>
        <v/>
      </c>
      <c r="B5172" t="inlineStr">
        <is>
          <t>1:35</t>
        </is>
      </c>
      <c r="C5172" t="inlineStr">
        <is>
          <t>wind speed and wind direction 
that determine a region’s weather.</t>
        </is>
      </c>
      <c r="D5172">
        <f>HYPERLINK("https://www.youtube.com/watch?v=NCPTbfQyMt8&amp;t=95s", "Go to time")</f>
        <v/>
      </c>
    </row>
    <row r="5173">
      <c r="A5173">
        <f>HYPERLINK("https://www.youtube.com/watch?v=kYCZPXSVvOQ", "Video")</f>
        <v/>
      </c>
      <c r="B5173" t="inlineStr">
        <is>
          <t>3:04</t>
        </is>
      </c>
      <c r="C5173" t="inlineStr">
        <is>
          <t>This marked the first time flight software
communicated directly—</t>
        </is>
      </c>
      <c r="D5173">
        <f>HYPERLINK("https://www.youtube.com/watch?v=kYCZPXSVvOQ&amp;t=184s", "Go to time")</f>
        <v/>
      </c>
    </row>
    <row r="5174">
      <c r="A5174">
        <f>HYPERLINK("https://www.youtube.com/watch?v=K-p1z2uKJBg", "Video")</f>
        <v/>
      </c>
      <c r="B5174" t="inlineStr">
        <is>
          <t>1:51</t>
        </is>
      </c>
      <c r="C5174" t="inlineStr">
        <is>
          <t>Maybe I should work directly on AI.</t>
        </is>
      </c>
      <c r="D5174">
        <f>HYPERLINK("https://www.youtube.com/watch?v=K-p1z2uKJBg&amp;t=111s", "Go to time")</f>
        <v/>
      </c>
    </row>
    <row r="5175">
      <c r="A5175">
        <f>HYPERLINK("https://www.youtube.com/watch?v=1Qfmkd6C8u8", "Video")</f>
        <v/>
      </c>
      <c r="B5175" t="inlineStr">
        <is>
          <t>1:44</t>
        </is>
      </c>
      <c r="C5175" t="inlineStr">
        <is>
          <t>In other cases, 
the marrow is extracted directly</t>
        </is>
      </c>
      <c r="D5175">
        <f>HYPERLINK("https://www.youtube.com/watch?v=1Qfmkd6C8u8&amp;t=104s", "Go to time")</f>
        <v/>
      </c>
    </row>
    <row r="5176">
      <c r="A5176">
        <f>HYPERLINK("https://www.youtube.com/watch?v=gLUzgWAEGjY", "Video")</f>
        <v/>
      </c>
      <c r="B5176" t="inlineStr">
        <is>
          <t>9:54</t>
        </is>
      </c>
      <c r="C5176" t="inlineStr">
        <is>
          <t>went in the other direction very low</t>
        </is>
      </c>
      <c r="D5176">
        <f>HYPERLINK("https://www.youtube.com/watch?v=gLUzgWAEGjY&amp;t=594s", "Go to time")</f>
        <v/>
      </c>
    </row>
    <row r="5177">
      <c r="A5177">
        <f>HYPERLINK("https://www.youtube.com/watch?v=GJHhnr9R_ZM", "Video")</f>
        <v/>
      </c>
      <c r="B5177" t="inlineStr">
        <is>
          <t>2:38</t>
        </is>
      </c>
      <c r="C5177" t="inlineStr">
        <is>
          <t>the orbits become open, connected,
and they all point in the same direction.</t>
        </is>
      </c>
      <c r="D5177">
        <f>HYPERLINK("https://www.youtube.com/watch?v=GJHhnr9R_ZM&amp;t=158s", "Go to time")</f>
        <v/>
      </c>
    </row>
    <row r="5178">
      <c r="A5178">
        <f>HYPERLINK("https://www.youtube.com/watch?v=SEczpdxl6e4", "Video")</f>
        <v/>
      </c>
      <c r="B5178" t="inlineStr">
        <is>
          <t>4:16</t>
        </is>
      </c>
      <c r="C5178" t="inlineStr">
        <is>
          <t>Directly after the attack, 
Governor Rockefeller thought prisoners</t>
        </is>
      </c>
      <c r="D5178">
        <f>HYPERLINK("https://www.youtube.com/watch?v=SEczpdxl6e4&amp;t=256s", "Go to time")</f>
        <v/>
      </c>
    </row>
    <row r="5179">
      <c r="A5179">
        <f>HYPERLINK("https://www.youtube.com/watch?v=3jpy8UZUEOw", "Video")</f>
        <v/>
      </c>
      <c r="B5179" t="inlineStr">
        <is>
          <t>3:21</t>
        </is>
      </c>
      <c r="C5179" t="inlineStr">
        <is>
          <t>In contrast, chlorophyll fluorescence 
is a direct measure</t>
        </is>
      </c>
      <c r="D5179">
        <f>HYPERLINK("https://www.youtube.com/watch?v=3jpy8UZUEOw&amp;t=201s", "Go to time")</f>
        <v/>
      </c>
    </row>
    <row r="5180">
      <c r="A5180">
        <f>HYPERLINK("https://www.youtube.com/watch?v=T24hdchCVIg", "Video")</f>
        <v/>
      </c>
      <c r="B5180" t="inlineStr">
        <is>
          <t>2:13</t>
        </is>
      </c>
      <c r="C5180" t="inlineStr">
        <is>
          <t>we can draw direct inferences regarding 
the diet and location of historic people.</t>
        </is>
      </c>
      <c r="D5180">
        <f>HYPERLINK("https://www.youtube.com/watch?v=T24hdchCVIg&amp;t=133s", "Go to time")</f>
        <v/>
      </c>
    </row>
    <row r="5181">
      <c r="A5181">
        <f>HYPERLINK("https://www.youtube.com/watch?v=GTvnjaUU6Xk", "Video")</f>
        <v/>
      </c>
      <c r="B5181" t="inlineStr">
        <is>
          <t>3:34</t>
        </is>
      </c>
      <c r="C5181" t="inlineStr">
        <is>
          <t>allowing them to flourish by either
directly consuming undigested food,</t>
        </is>
      </c>
      <c r="D5181">
        <f>HYPERLINK("https://www.youtube.com/watch?v=GTvnjaUU6Xk&amp;t=214s", "Go to time")</f>
        <v/>
      </c>
    </row>
    <row r="5182">
      <c r="A5182">
        <f>HYPERLINK("https://www.youtube.com/watch?v=KXzONBPcPIk", "Video")</f>
        <v/>
      </c>
      <c r="B5182" t="inlineStr">
        <is>
          <t>3:06</t>
        </is>
      </c>
      <c r="C5182" t="inlineStr">
        <is>
          <t>that shoot out in opposite directions.</t>
        </is>
      </c>
      <c r="D5182">
        <f>HYPERLINK("https://www.youtube.com/watch?v=KXzONBPcPIk&amp;t=186s", "Go to time")</f>
        <v/>
      </c>
    </row>
    <row r="5183">
      <c r="A5183">
        <f>HYPERLINK("https://www.youtube.com/watch?v=b_n9qegR7C4", "Video")</f>
        <v/>
      </c>
      <c r="B5183" t="inlineStr">
        <is>
          <t>4:07</t>
        </is>
      </c>
      <c r="C5183" t="inlineStr">
        <is>
          <t>who can direct you towards 
the many resources available.</t>
        </is>
      </c>
      <c r="D5183">
        <f>HYPERLINK("https://www.youtube.com/watch?v=b_n9qegR7C4&amp;t=247s", "Go to time")</f>
        <v/>
      </c>
    </row>
    <row r="5184">
      <c r="A5184">
        <f>HYPERLINK("https://www.youtube.com/watch?v=FVmPPVNlvxE", "Video")</f>
        <v/>
      </c>
      <c r="B5184" t="inlineStr">
        <is>
          <t>9:57</t>
        </is>
      </c>
      <c r="C5184" t="inlineStr">
        <is>
          <t>was coming the opposite direction came</t>
        </is>
      </c>
      <c r="D5184">
        <f>HYPERLINK("https://www.youtube.com/watch?v=FVmPPVNlvxE&amp;t=597s", "Go to time")</f>
        <v/>
      </c>
    </row>
    <row r="5185">
      <c r="A5185">
        <f>HYPERLINK("https://www.youtube.com/watch?v=xy9nj94xvKA", "Video")</f>
        <v/>
      </c>
      <c r="B5185" t="inlineStr">
        <is>
          <t>1:24</t>
        </is>
      </c>
      <c r="C5185" t="inlineStr">
        <is>
          <t>Vertical blades can pick up wind 
coming from any direction,</t>
        </is>
      </c>
      <c r="D5185">
        <f>HYPERLINK("https://www.youtube.com/watch?v=xy9nj94xvKA&amp;t=84s", "Go to time")</f>
        <v/>
      </c>
    </row>
    <row r="5186">
      <c r="A5186">
        <f>HYPERLINK("https://www.youtube.com/watch?v=xy9nj94xvKA", "Video")</f>
        <v/>
      </c>
      <c r="B5186" t="inlineStr">
        <is>
          <t>1:36</t>
        </is>
      </c>
      <c r="C5186" t="inlineStr">
        <is>
          <t>by tracking the wind’s direction 
and turning to face it.</t>
        </is>
      </c>
      <c r="D5186">
        <f>HYPERLINK("https://www.youtube.com/watch?v=xy9nj94xvKA&amp;t=96s", "Go to time")</f>
        <v/>
      </c>
    </row>
    <row r="5187">
      <c r="A5187">
        <f>HYPERLINK("https://www.youtube.com/watch?v=t3I9gDocYdk", "Video")</f>
        <v/>
      </c>
      <c r="B5187" t="inlineStr">
        <is>
          <t>5:05</t>
        </is>
      </c>
      <c r="C5187" t="inlineStr">
        <is>
          <t>need not always proceed in the same direction.</t>
        </is>
      </c>
      <c r="D5187">
        <f>HYPERLINK("https://www.youtube.com/watch?v=t3I9gDocYdk&amp;t=305s", "Go to time")</f>
        <v/>
      </c>
    </row>
    <row r="5188">
      <c r="A5188">
        <f>HYPERLINK("https://www.youtube.com/watch?v=iCM6CawGBRk", "Video")</f>
        <v/>
      </c>
      <c r="B5188" t="inlineStr">
        <is>
          <t>1:16</t>
        </is>
      </c>
      <c r="C5188" t="inlineStr">
        <is>
          <t>directly from the water
through their tissue-thin skin.</t>
        </is>
      </c>
      <c r="D5188">
        <f>HYPERLINK("https://www.youtube.com/watch?v=iCM6CawGBRk&amp;t=76s", "Go to time")</f>
        <v/>
      </c>
    </row>
    <row r="5189">
      <c r="A5189">
        <f>HYPERLINK("https://www.youtube.com/watch?v=3TwgVQIZPsw", "Video")</f>
        <v/>
      </c>
      <c r="B5189" t="inlineStr">
        <is>
          <t>1:57</t>
        </is>
      </c>
      <c r="C5189" t="inlineStr">
        <is>
          <t>so Chrysler shifted gears by marketing
cars directly to women.</t>
        </is>
      </c>
      <c r="D5189">
        <f>HYPERLINK("https://www.youtube.com/watch?v=3TwgVQIZPsw&amp;t=117s", "Go to time")</f>
        <v/>
      </c>
    </row>
    <row r="5190">
      <c r="A5190">
        <f>HYPERLINK("https://www.youtube.com/watch?v=DC58z4N0IWw", "Video")</f>
        <v/>
      </c>
      <c r="B5190" t="inlineStr">
        <is>
          <t>17:39</t>
        </is>
      </c>
      <c r="C5190" t="inlineStr">
        <is>
          <t>Direction or another depending on what</t>
        </is>
      </c>
      <c r="D5190">
        <f>HYPERLINK("https://www.youtube.com/watch?v=DC58z4N0IWw&amp;t=1059s", "Go to time")</f>
        <v/>
      </c>
    </row>
    <row r="5191">
      <c r="A5191">
        <f>HYPERLINK("https://www.youtube.com/watch?v=teJAmgiMVIo", "Video")</f>
        <v/>
      </c>
      <c r="B5191" t="inlineStr">
        <is>
          <t>3:23</t>
        </is>
      </c>
      <c r="C5191" t="inlineStr">
        <is>
          <t>meeting the viewer’s gaze directly.</t>
        </is>
      </c>
      <c r="D5191">
        <f>HYPERLINK("https://www.youtube.com/watch?v=teJAmgiMVIo&amp;t=203s", "Go to time")</f>
        <v/>
      </c>
    </row>
    <row r="5192">
      <c r="A5192">
        <f>HYPERLINK("https://www.youtube.com/watch?v=wgbV6DLVezo", "Video")</f>
        <v/>
      </c>
      <c r="B5192" t="inlineStr">
        <is>
          <t>0:24</t>
        </is>
      </c>
      <c r="C5192" t="inlineStr">
        <is>
          <t>or check directions,</t>
        </is>
      </c>
      <c r="D5192">
        <f>HYPERLINK("https://www.youtube.com/watch?v=wgbV6DLVezo&amp;t=24s", "Go to time")</f>
        <v/>
      </c>
    </row>
    <row r="5193">
      <c r="A5193">
        <f>HYPERLINK("https://www.youtube.com/watch?v=iWDKsHm6gTA", "Video")</f>
        <v/>
      </c>
      <c r="B5193" t="inlineStr">
        <is>
          <t>1:26</t>
        </is>
      </c>
      <c r="C5193" t="inlineStr">
        <is>
          <t>They could be false cognates 
or just directly borrowed terms</t>
        </is>
      </c>
      <c r="D5193">
        <f>HYPERLINK("https://www.youtube.com/watch?v=iWDKsHm6gTA&amp;t=86s", "Go to time")</f>
        <v/>
      </c>
    </row>
    <row r="5194">
      <c r="A5194">
        <f>HYPERLINK("https://www.youtube.com/watch?v=r593zLtZxAU", "Video")</f>
        <v/>
      </c>
      <c r="B5194" t="inlineStr">
        <is>
          <t>8:28</t>
        </is>
      </c>
      <c r="C5194" t="inlineStr">
        <is>
          <t>directly involved in this this wedge is</t>
        </is>
      </c>
      <c r="D5194">
        <f>HYPERLINK("https://www.youtube.com/watch?v=r593zLtZxAU&amp;t=508s", "Go to time")</f>
        <v/>
      </c>
    </row>
    <row r="5195">
      <c r="A5195">
        <f>HYPERLINK("https://www.youtube.com/watch?v=r593zLtZxAU", "Video")</f>
        <v/>
      </c>
      <c r="B5195" t="inlineStr">
        <is>
          <t>14:08</t>
        </is>
      </c>
      <c r="C5195" t="inlineStr">
        <is>
          <t>everybody who's on a board of dire How</t>
        </is>
      </c>
      <c r="D5195">
        <f>HYPERLINK("https://www.youtube.com/watch?v=r593zLtZxAU&amp;t=848s", "Go to time")</f>
        <v/>
      </c>
    </row>
    <row r="5196">
      <c r="A5196">
        <f>HYPERLINK("https://www.youtube.com/watch?v=r593zLtZxAU", "Video")</f>
        <v/>
      </c>
      <c r="B5196" t="inlineStr">
        <is>
          <t>14:12</t>
        </is>
      </c>
      <c r="C5196" t="inlineStr">
        <is>
          <t>board of directors of a</t>
        </is>
      </c>
      <c r="D5196">
        <f>HYPERLINK("https://www.youtube.com/watch?v=r593zLtZxAU&amp;t=852s", "Go to time")</f>
        <v/>
      </c>
    </row>
    <row r="5197">
      <c r="A5197">
        <f>HYPERLINK("https://www.youtube.com/watch?v=7mOev8v3D1U", "Video")</f>
        <v/>
      </c>
      <c r="B5197" t="inlineStr">
        <is>
          <t>0:36</t>
        </is>
      </c>
      <c r="C5197" t="inlineStr">
        <is>
          <t>Here they’re welcomed 
by the director of the colony, Octavia.</t>
        </is>
      </c>
      <c r="D5197">
        <f>HYPERLINK("https://www.youtube.com/watch?v=7mOev8v3D1U&amp;t=36s", "Go to time")</f>
        <v/>
      </c>
    </row>
    <row r="5198">
      <c r="A5198">
        <f>HYPERLINK("https://www.youtube.com/watch?v=Ytr28t5VzAs", "Video")</f>
        <v/>
      </c>
      <c r="B5198" t="inlineStr">
        <is>
          <t>0:50</t>
        </is>
      </c>
      <c r="C5198" t="inlineStr">
        <is>
          <t>that nearly half of its vocabulary 
comes directly from other languages.</t>
        </is>
      </c>
      <c r="D5198">
        <f>HYPERLINK("https://www.youtube.com/watch?v=Ytr28t5VzAs&amp;t=50s", "Go to time")</f>
        <v/>
      </c>
    </row>
    <row r="5199">
      <c r="A5199">
        <f>HYPERLINK("https://www.youtube.com/watch?v=Ytr28t5VzAs", "Video")</f>
        <v/>
      </c>
      <c r="B5199" t="inlineStr">
        <is>
          <t>4:03</t>
        </is>
      </c>
      <c r="C5199" t="inlineStr">
        <is>
          <t>the process became directly observable
in how jokes and images</t>
        </is>
      </c>
      <c r="D5199">
        <f>HYPERLINK("https://www.youtube.com/watch?v=Ytr28t5VzAs&amp;t=243s", "Go to time")</f>
        <v/>
      </c>
    </row>
    <row r="5200">
      <c r="A5200">
        <f>HYPERLINK("https://www.youtube.com/watch?v=orBYbxxrJSU", "Video")</f>
        <v/>
      </c>
      <c r="B5200" t="inlineStr">
        <is>
          <t>5:28</t>
        </is>
      </c>
      <c r="C5200" t="inlineStr">
        <is>
          <t>Direction</t>
        </is>
      </c>
      <c r="D5200">
        <f>HYPERLINK("https://www.youtube.com/watch?v=orBYbxxrJSU&amp;t=328s", "Go to time")</f>
        <v/>
      </c>
    </row>
    <row r="5201">
      <c r="A5201">
        <f>HYPERLINK("https://www.youtube.com/watch?v=XvUHcsZOhJ8", "Video")</f>
        <v/>
      </c>
      <c r="B5201" t="inlineStr">
        <is>
          <t>0:52</t>
        </is>
      </c>
      <c r="C5201" t="inlineStr">
        <is>
          <t>as if thread sprung directly 
from her fingertips.</t>
        </is>
      </c>
      <c r="D5201">
        <f>HYPERLINK("https://www.youtube.com/watch?v=XvUHcsZOhJ8&amp;t=52s", "Go to time")</f>
        <v/>
      </c>
    </row>
    <row r="5202">
      <c r="A5202">
        <f>HYPERLINK("https://www.youtube.com/watch?v=XvUHcsZOhJ8", "Video")</f>
        <v/>
      </c>
      <c r="B5202" t="inlineStr">
        <is>
          <t>1:52</t>
        </is>
      </c>
      <c r="C5202" t="inlineStr">
        <is>
          <t>Athena would challenge her 
to a contest directly.</t>
        </is>
      </c>
      <c r="D5202">
        <f>HYPERLINK("https://www.youtube.com/watch?v=XvUHcsZOhJ8&amp;t=112s", "Go to time")</f>
        <v/>
      </c>
    </row>
    <row r="5203">
      <c r="A5203">
        <f>HYPERLINK("https://www.youtube.com/watch?v=phn0bXbcZYY", "Video")</f>
        <v/>
      </c>
      <c r="B5203" t="inlineStr">
        <is>
          <t>0:44</t>
        </is>
      </c>
      <c r="C5203" t="inlineStr">
        <is>
          <t>were whizzing around in every direction.</t>
        </is>
      </c>
      <c r="D5203">
        <f>HYPERLINK("https://www.youtube.com/watch?v=phn0bXbcZYY&amp;t=44s", "Go to time")</f>
        <v/>
      </c>
    </row>
    <row r="5204">
      <c r="A5204">
        <f>HYPERLINK("https://www.youtube.com/watch?v=phn0bXbcZYY", "Video")</f>
        <v/>
      </c>
      <c r="B5204" t="inlineStr">
        <is>
          <t>0:50</t>
        </is>
      </c>
      <c r="C5204" t="inlineStr">
        <is>
          <t>the magnitude and direction
of its rotation</t>
        </is>
      </c>
      <c r="D5204">
        <f>HYPERLINK("https://www.youtube.com/watch?v=phn0bXbcZYY&amp;t=50s", "Go to time")</f>
        <v/>
      </c>
    </row>
    <row r="5205">
      <c r="A5205">
        <f>HYPERLINK("https://www.youtube.com/watch?v=phn0bXbcZYY", "Video")</f>
        <v/>
      </c>
      <c r="B5205" t="inlineStr">
        <is>
          <t>2:20</t>
        </is>
      </c>
      <c r="C5205" t="inlineStr">
        <is>
          <t>particles, instead of falling
directly towards the center,</t>
        </is>
      </c>
      <c r="D5205">
        <f>HYPERLINK("https://www.youtube.com/watch?v=phn0bXbcZYY&amp;t=140s", "Go to time")</f>
        <v/>
      </c>
    </row>
    <row r="5206">
      <c r="A5206">
        <f>HYPERLINK("https://www.youtube.com/watch?v=gCfzeONu3Mo", "Video")</f>
        <v/>
      </c>
      <c r="B5206" t="inlineStr">
        <is>
          <t>1:06</t>
        </is>
      </c>
      <c r="C5206" t="inlineStr">
        <is>
          <t>views communication as a message that
moves directly from one person to another,</t>
        </is>
      </c>
      <c r="D5206">
        <f>HYPERLINK("https://www.youtube.com/watch?v=gCfzeONu3Mo&amp;t=66s", "Go to time")</f>
        <v/>
      </c>
    </row>
    <row r="5207">
      <c r="A5207">
        <f>HYPERLINK("https://www.youtube.com/watch?v=LVdynVuJsBo", "Video")</f>
        <v/>
      </c>
      <c r="B5207" t="inlineStr">
        <is>
          <t>3:56</t>
        </is>
      </c>
      <c r="C5207" t="inlineStr">
        <is>
          <t>which they can drink directly 
from the aphids’ butts.</t>
        </is>
      </c>
      <c r="D5207">
        <f>HYPERLINK("https://www.youtube.com/watch?v=LVdynVuJsBo&amp;t=236s", "Go to time")</f>
        <v/>
      </c>
    </row>
    <row r="5208">
      <c r="A5208">
        <f>HYPERLINK("https://www.youtube.com/watch?v=GVU_zANtroE", "Video")</f>
        <v/>
      </c>
      <c r="B5208" t="inlineStr">
        <is>
          <t>3:06</t>
        </is>
      </c>
      <c r="C5208" t="inlineStr">
        <is>
          <t>air that was not in direct contact
with the balloon's inner surface</t>
        </is>
      </c>
      <c r="D5208">
        <f>HYPERLINK("https://www.youtube.com/watch?v=GVU_zANtroE&amp;t=186s", "Go to time")</f>
        <v/>
      </c>
    </row>
    <row r="5209">
      <c r="A5209">
        <f>HYPERLINK("https://www.youtube.com/watch?v=-EJOO3xAjTk", "Video")</f>
        <v/>
      </c>
      <c r="B5209" t="inlineStr">
        <is>
          <t>2:09</t>
        </is>
      </c>
      <c r="C5209" t="inlineStr">
        <is>
          <t>Carbon dioxide doesn't absorb light directly</t>
        </is>
      </c>
      <c r="D5209">
        <f>HYPERLINK("https://www.youtube.com/watch?v=-EJOO3xAjTk&amp;t=129s", "Go to time")</f>
        <v/>
      </c>
    </row>
    <row r="5210">
      <c r="A5210">
        <f>HYPERLINK("https://www.youtube.com/watch?v=-EJOO3xAjTk", "Video")</f>
        <v/>
      </c>
      <c r="B5210" t="inlineStr">
        <is>
          <t>4:29</t>
        </is>
      </c>
      <c r="C5210" t="inlineStr">
        <is>
          <t>and spit a photon back out in a random direction.</t>
        </is>
      </c>
      <c r="D5210">
        <f>HYPERLINK("https://www.youtube.com/watch?v=-EJOO3xAjTk&amp;t=269s", "Go to time")</f>
        <v/>
      </c>
    </row>
    <row r="5211">
      <c r="A5211">
        <f>HYPERLINK("https://www.youtube.com/watch?v=tm6VSkm_ko8", "Video")</f>
        <v/>
      </c>
      <c r="B5211" t="inlineStr">
        <is>
          <t>1:09</t>
        </is>
      </c>
      <c r="C5211" t="inlineStr">
        <is>
          <t>Caught in these winds, flying rivers flow
in the same direction</t>
        </is>
      </c>
      <c r="D5211">
        <f>HYPERLINK("https://www.youtube.com/watch?v=tm6VSkm_ko8&amp;t=69s", "Go to time")</f>
        <v/>
      </c>
    </row>
    <row r="5212">
      <c r="A5212">
        <f>HYPERLINK("https://www.youtube.com/watch?v=tm6VSkm_ko8", "Video")</f>
        <v/>
      </c>
      <c r="B5212" t="inlineStr">
        <is>
          <t>1:16</t>
        </is>
      </c>
      <c r="C5212" t="inlineStr">
        <is>
          <t>causing the winds and rivers
to redirect southwards.</t>
        </is>
      </c>
      <c r="D5212">
        <f>HYPERLINK("https://www.youtube.com/watch?v=tm6VSkm_ko8&amp;t=76s", "Go to time")</f>
        <v/>
      </c>
    </row>
    <row r="5213">
      <c r="A5213">
        <f>HYPERLINK("https://www.youtube.com/watch?v=fMsmCxIEQr4", "Video")</f>
        <v/>
      </c>
      <c r="B5213" t="inlineStr">
        <is>
          <t>4:21</t>
        </is>
      </c>
      <c r="C5213" t="inlineStr">
        <is>
          <t>enabling it to eventually take
direct control of Bengal,</t>
        </is>
      </c>
      <c r="D5213">
        <f>HYPERLINK("https://www.youtube.com/watch?v=fMsmCxIEQr4&amp;t=261s", "Go to time")</f>
        <v/>
      </c>
    </row>
    <row r="5214">
      <c r="A5214">
        <f>HYPERLINK("https://www.youtube.com/watch?v=fMsmCxIEQr4", "Video")</f>
        <v/>
      </c>
      <c r="B5214" t="inlineStr">
        <is>
          <t>4:44</t>
        </is>
      </c>
      <c r="C5214" t="inlineStr">
        <is>
          <t>replacing company rule 
with direct colonial rule,</t>
        </is>
      </c>
      <c r="D5214">
        <f>HYPERLINK("https://www.youtube.com/watch?v=fMsmCxIEQr4&amp;t=284s", "Go to time")</f>
        <v/>
      </c>
    </row>
    <row r="5215">
      <c r="A5215">
        <f>HYPERLINK("https://www.youtube.com/watch?v=4Vfn5CV9juI", "Video")</f>
        <v/>
      </c>
      <c r="B5215" t="inlineStr">
        <is>
          <t>0:38</t>
        </is>
      </c>
      <c r="C5215" t="inlineStr">
        <is>
          <t>a call often directed at humans.</t>
        </is>
      </c>
      <c r="D5215">
        <f>HYPERLINK("https://www.youtube.com/watch?v=4Vfn5CV9juI&amp;t=38s", "Go to time")</f>
        <v/>
      </c>
    </row>
    <row r="5216">
      <c r="A5216">
        <f>HYPERLINK("https://www.youtube.com/watch?v=mL2_zXCgbXI", "Video")</f>
        <v/>
      </c>
      <c r="B5216" t="inlineStr">
        <is>
          <t>1:41</t>
        </is>
      </c>
      <c r="C5216" t="inlineStr">
        <is>
          <t>vents in the roof of an elephant’s mouth 
lead directly to the vomeronasal organ.</t>
        </is>
      </c>
      <c r="D5216">
        <f>HYPERLINK("https://www.youtube.com/watch?v=mL2_zXCgbXI&amp;t=101s", "Go to time")</f>
        <v/>
      </c>
    </row>
    <row r="5217">
      <c r="A5217">
        <f>HYPERLINK("https://www.youtube.com/watch?v=8qK0hxuXOC8", "Video")</f>
        <v/>
      </c>
      <c r="B5217" t="inlineStr">
        <is>
          <t>0:58</t>
        </is>
      </c>
      <c r="C5217" t="inlineStr">
        <is>
          <t>because it pumps the chemicals directly
into the blood.</t>
        </is>
      </c>
      <c r="D5217">
        <f>HYPERLINK("https://www.youtube.com/watch?v=8qK0hxuXOC8&amp;t=58s", "Go to time")</f>
        <v/>
      </c>
    </row>
    <row r="5218">
      <c r="A5218">
        <f>HYPERLINK("https://www.youtube.com/watch?v=TGxKkBC6L2k", "Video")</f>
        <v/>
      </c>
      <c r="B5218" t="inlineStr">
        <is>
          <t>3:35</t>
        </is>
      </c>
      <c r="C5218" t="inlineStr">
        <is>
          <t>each surrounded by other organic material
that directs their orientation.</t>
        </is>
      </c>
      <c r="D5218">
        <f>HYPERLINK("https://www.youtube.com/watch?v=TGxKkBC6L2k&amp;t=215s", "Go to time")</f>
        <v/>
      </c>
    </row>
    <row r="5219">
      <c r="A5219">
        <f>HYPERLINK("https://www.youtube.com/watch?v=j0_u-lourd0", "Video")</f>
        <v/>
      </c>
      <c r="B5219" t="inlineStr">
        <is>
          <t>2:45</t>
        </is>
      </c>
      <c r="C5219" t="inlineStr">
        <is>
          <t>and through Dickens' criticism, he exposes the dire need for reform</t>
        </is>
      </c>
      <c r="D5219">
        <f>HYPERLINK("https://www.youtube.com/watch?v=j0_u-lourd0&amp;t=165s", "Go to time")</f>
        <v/>
      </c>
    </row>
    <row r="5220">
      <c r="A5220">
        <f>HYPERLINK("https://www.youtube.com/watch?v=j0_u-lourd0", "Video")</f>
        <v/>
      </c>
      <c r="B5220" t="inlineStr">
        <is>
          <t>3:58</t>
        </is>
      </c>
      <c r="C5220" t="inlineStr">
        <is>
          <t>and through his criticism, he exposes the dire need for social reform</t>
        </is>
      </c>
      <c r="D5220">
        <f>HYPERLINK("https://www.youtube.com/watch?v=j0_u-lourd0&amp;t=238s", "Go to time")</f>
        <v/>
      </c>
    </row>
    <row r="5221">
      <c r="A5221">
        <f>HYPERLINK("https://www.youtube.com/watch?v=Lvr5JqLVe34", "Video")</f>
        <v/>
      </c>
      <c r="B5221" t="inlineStr">
        <is>
          <t>3:20</t>
        </is>
      </c>
      <c r="C5221" t="inlineStr">
        <is>
          <t>since they give direct information 
about those.</t>
        </is>
      </c>
      <c r="D5221">
        <f>HYPERLINK("https://www.youtube.com/watch?v=Lvr5JqLVe34&amp;t=200s", "Go to time")</f>
        <v/>
      </c>
    </row>
    <row r="5222">
      <c r="A5222">
        <f>HYPERLINK("https://www.youtube.com/watch?v=ptJg2GScPEQ", "Video")</f>
        <v/>
      </c>
      <c r="B5222" t="inlineStr">
        <is>
          <t>8:30</t>
        </is>
      </c>
      <c r="C5222" t="inlineStr">
        <is>
          <t>direction you take in sciences to find</t>
        </is>
      </c>
      <c r="D5222">
        <f>HYPERLINK("https://www.youtube.com/watch?v=ptJg2GScPEQ&amp;t=510s", "Go to time")</f>
        <v/>
      </c>
    </row>
    <row r="5223">
      <c r="A5223">
        <f>HYPERLINK("https://www.youtube.com/watch?v=Hk3fgjHNQ2Q", "Video")</f>
        <v/>
      </c>
      <c r="B5223" t="inlineStr">
        <is>
          <t>0:26</t>
        </is>
      </c>
      <c r="C5223" t="inlineStr">
        <is>
          <t>all of it follows directly from the fact</t>
        </is>
      </c>
      <c r="D5223">
        <f>HYPERLINK("https://www.youtube.com/watch?v=Hk3fgjHNQ2Q&amp;t=26s", "Go to time")</f>
        <v/>
      </c>
    </row>
    <row r="5224">
      <c r="A5224">
        <f>HYPERLINK("https://www.youtube.com/watch?v=Hk3fgjHNQ2Q", "Video")</f>
        <v/>
      </c>
      <c r="B5224" t="inlineStr">
        <is>
          <t>2:33</t>
        </is>
      </c>
      <c r="C5224" t="inlineStr">
        <is>
          <t>Rutherford's atoms should spray X-rays
in all directions for a brief instant</t>
        </is>
      </c>
      <c r="D5224">
        <f>HYPERLINK("https://www.youtube.com/watch?v=Hk3fgjHNQ2Q&amp;t=153s", "Go to time")</f>
        <v/>
      </c>
    </row>
    <row r="5225">
      <c r="A5225">
        <f>HYPERLINK("https://www.youtube.com/watch?v=YYZCpJmHAqI", "Video")</f>
        <v/>
      </c>
      <c r="B5225" t="inlineStr">
        <is>
          <t>2:07</t>
        </is>
      </c>
      <c r="C5225" t="inlineStr">
        <is>
          <t>Incensed, Achilles went on strike and
the situation became dire without him.</t>
        </is>
      </c>
      <c r="D5225">
        <f>HYPERLINK("https://www.youtube.com/watch?v=YYZCpJmHAqI&amp;t=127s", "Go to time")</f>
        <v/>
      </c>
    </row>
    <row r="5226">
      <c r="A5226">
        <f>HYPERLINK("https://www.youtube.com/watch?v=A-oxDZ3AO74", "Video")</f>
        <v/>
      </c>
      <c r="B5226" t="inlineStr">
        <is>
          <t>3:02</t>
        </is>
      </c>
      <c r="C5226" t="inlineStr">
        <is>
          <t>and Guanyin directed Tripitaka
to his mountain prison.</t>
        </is>
      </c>
      <c r="D5226">
        <f>HYPERLINK("https://www.youtube.com/watch?v=A-oxDZ3AO74&amp;t=182s", "Go to time")</f>
        <v/>
      </c>
    </row>
    <row r="5227">
      <c r="A5227">
        <f>HYPERLINK("https://www.youtube.com/watch?v=SbIpWHQI-tE", "Video")</f>
        <v/>
      </c>
      <c r="B5227" t="inlineStr">
        <is>
          <t>0:26</t>
        </is>
      </c>
      <c r="C5227" t="inlineStr">
        <is>
          <t>Wegener’s Theory of Continental Drift 
directly contradicted the popular opinion</t>
        </is>
      </c>
      <c r="D5227">
        <f>HYPERLINK("https://www.youtube.com/watch?v=SbIpWHQI-tE&amp;t=26s", "Go to time")</f>
        <v/>
      </c>
    </row>
    <row r="5228">
      <c r="A5228">
        <f>HYPERLINK("https://www.youtube.com/watch?v=SbIpWHQI-tE", "Video")</f>
        <v/>
      </c>
      <c r="B5228" t="inlineStr">
        <is>
          <t>1:38</t>
        </is>
      </c>
      <c r="C5228" t="inlineStr">
        <is>
          <t>So by calculating the 
direction and intensity</t>
        </is>
      </c>
      <c r="D5228">
        <f>HYPERLINK("https://www.youtube.com/watch?v=SbIpWHQI-tE&amp;t=98s", "Go to time")</f>
        <v/>
      </c>
    </row>
    <row r="5229">
      <c r="A5229">
        <f>HYPERLINK("https://www.youtube.com/watch?v=SbIpWHQI-tE", "Video")</f>
        <v/>
      </c>
      <c r="B5229" t="inlineStr">
        <is>
          <t>4:41</t>
        </is>
      </c>
      <c r="C5229" t="inlineStr">
        <is>
          <t>could redirect vented gases 
into basalt outcrops,</t>
        </is>
      </c>
      <c r="D5229">
        <f>HYPERLINK("https://www.youtube.com/watch?v=SbIpWHQI-tE&amp;t=281s", "Go to time")</f>
        <v/>
      </c>
    </row>
    <row r="5230">
      <c r="A5230">
        <f>HYPERLINK("https://www.youtube.com/watch?v=xyQY8a-ng6g", "Video")</f>
        <v/>
      </c>
      <c r="B5230" t="inlineStr">
        <is>
          <t>2:19</t>
        </is>
      </c>
      <c r="C5230" t="inlineStr">
        <is>
          <t>and keeps your mood from getting skewed
in one direction or the other.</t>
        </is>
      </c>
      <c r="D5230">
        <f>HYPERLINK("https://www.youtube.com/watch?v=xyQY8a-ng6g&amp;t=139s", "Go to time")</f>
        <v/>
      </c>
    </row>
    <row r="5231">
      <c r="A5231">
        <f>HYPERLINK("https://www.youtube.com/watch?v=xyQY8a-ng6g", "Video")</f>
        <v/>
      </c>
      <c r="B5231" t="inlineStr">
        <is>
          <t>4:29</t>
        </is>
      </c>
      <c r="C5231" t="inlineStr">
        <is>
          <t>your choices have a direct
and long-lasting effect</t>
        </is>
      </c>
      <c r="D5231">
        <f>HYPERLINK("https://www.youtube.com/watch?v=xyQY8a-ng6g&amp;t=269s", "Go to time")</f>
        <v/>
      </c>
    </row>
    <row r="5232">
      <c r="A5232">
        <f>HYPERLINK("https://www.youtube.com/watch?v=257wV-AbKaE", "Video")</f>
        <v/>
      </c>
      <c r="B5232" t="inlineStr">
        <is>
          <t>3:13</t>
        </is>
      </c>
      <c r="C5232" t="inlineStr">
        <is>
          <t>placing themselves 
on the board of directors</t>
        </is>
      </c>
      <c r="D5232">
        <f>HYPERLINK("https://www.youtube.com/watch?v=257wV-AbKaE&amp;t=193s", "Go to time")</f>
        <v/>
      </c>
    </row>
    <row r="5233">
      <c r="A5233">
        <f>HYPERLINK("https://www.youtube.com/watch?v=OpohbXB_JZU", "Video")</f>
        <v/>
      </c>
      <c r="B5233" t="inlineStr">
        <is>
          <t>1:24</t>
        </is>
      </c>
      <c r="C5233" t="inlineStr">
        <is>
          <t>However, the opposite direction
isn’t impossible,</t>
        </is>
      </c>
      <c r="D5233">
        <f>HYPERLINK("https://www.youtube.com/watch?v=OpohbXB_JZU&amp;t=84s", "Go to time")</f>
        <v/>
      </c>
    </row>
    <row r="5234">
      <c r="A5234">
        <f>HYPERLINK("https://www.youtube.com/watch?v=x2Q_kYyCH9Q", "Video")</f>
        <v/>
      </c>
      <c r="B5234" t="inlineStr">
        <is>
          <t>2:56</t>
        </is>
      </c>
      <c r="C5234" t="inlineStr">
        <is>
          <t>Lastly, when someone directs any 
of these behaviors at you,</t>
        </is>
      </c>
      <c r="D5234">
        <f>HYPERLINK("https://www.youtube.com/watch?v=x2Q_kYyCH9Q&amp;t=176s", "Go to time")</f>
        <v/>
      </c>
    </row>
    <row r="5235">
      <c r="A5235">
        <f>HYPERLINK("https://www.youtube.com/watch?v=ZY5PtopO-LI", "Video")</f>
        <v/>
      </c>
      <c r="B5235" t="inlineStr">
        <is>
          <t>2:00</t>
        </is>
      </c>
      <c r="C5235" t="inlineStr">
        <is>
          <t>which are displayed proudly
and move in a multitude of directions.</t>
        </is>
      </c>
      <c r="D5235">
        <f>HYPERLINK("https://www.youtube.com/watch?v=ZY5PtopO-LI&amp;t=120s", "Go to time")</f>
        <v/>
      </c>
    </row>
    <row r="5236">
      <c r="A5236">
        <f>HYPERLINK("https://www.youtube.com/watch?v=WuyPuH9ojCE", "Video")</f>
        <v/>
      </c>
      <c r="B5236" t="inlineStr">
        <is>
          <t>3:07</t>
        </is>
      </c>
      <c r="C5236" t="inlineStr">
        <is>
          <t>without directly changing 
the genetic code.</t>
        </is>
      </c>
      <c r="D5236">
        <f>HYPERLINK("https://www.youtube.com/watch?v=WuyPuH9ojCE&amp;t=187s", "Go to time")</f>
        <v/>
      </c>
    </row>
    <row r="5237">
      <c r="A5237">
        <f>HYPERLINK("https://www.youtube.com/watch?v=LkGOGzpbrCk", "Video")</f>
        <v/>
      </c>
      <c r="B5237" t="inlineStr">
        <is>
          <t>3:22</t>
        </is>
      </c>
      <c r="C5237" t="inlineStr">
        <is>
          <t>A sound from directly in front of you will
reach both your ears at the same time.</t>
        </is>
      </c>
      <c r="D5237">
        <f>HYPERLINK("https://www.youtube.com/watch?v=LkGOGzpbrCk&amp;t=202s", "Go to time")</f>
        <v/>
      </c>
    </row>
    <row r="5238">
      <c r="A5238">
        <f>HYPERLINK("https://www.youtube.com/watch?v=2rvLEJrQm7g", "Video")</f>
        <v/>
      </c>
      <c r="B5238" t="inlineStr">
        <is>
          <t>2:17</t>
        </is>
      </c>
      <c r="C5238" t="inlineStr">
        <is>
          <t>which directly translates to herdsman 
of the anus to the royal family,</t>
        </is>
      </c>
      <c r="D5238">
        <f>HYPERLINK("https://www.youtube.com/watch?v=2rvLEJrQm7g&amp;t=137s", "Go to time")</f>
        <v/>
      </c>
    </row>
    <row r="5239">
      <c r="A5239">
        <f>HYPERLINK("https://www.youtube.com/watch?v=R3tbVHlsKhs", "Video")</f>
        <v/>
      </c>
      <c r="B5239" t="inlineStr">
        <is>
          <t>1:39</t>
        </is>
      </c>
      <c r="C5239" t="inlineStr">
        <is>
          <t>why is it we can move through space in any direction,</t>
        </is>
      </c>
      <c r="D5239">
        <f>HYPERLINK("https://www.youtube.com/watch?v=R3tbVHlsKhs&amp;t=99s", "Go to time")</f>
        <v/>
      </c>
    </row>
    <row r="5240">
      <c r="A5240">
        <f>HYPERLINK("https://www.youtube.com/watch?v=R3tbVHlsKhs", "Video")</f>
        <v/>
      </c>
      <c r="B5240" t="inlineStr">
        <is>
          <t>2:34</t>
        </is>
      </c>
      <c r="C5240" t="inlineStr">
        <is>
          <t>that defines the direction of time’s arrow.</t>
        </is>
      </c>
      <c r="D5240">
        <f>HYPERLINK("https://www.youtube.com/watch?v=R3tbVHlsKhs&amp;t=154s", "Go to time")</f>
        <v/>
      </c>
    </row>
    <row r="5241">
      <c r="A5241">
        <f>HYPERLINK("https://www.youtube.com/watch?v=svlEfxTyJQE", "Video")</f>
        <v/>
      </c>
      <c r="B5241" t="inlineStr">
        <is>
          <t>0:52</t>
        </is>
      </c>
      <c r="C5241" t="inlineStr">
        <is>
          <t>and while trunk muscles of bony fishes
attach directly to their skeletons,</t>
        </is>
      </c>
      <c r="D5241">
        <f>HYPERLINK("https://www.youtube.com/watch?v=svlEfxTyJQE&amp;t=52s", "Go to time")</f>
        <v/>
      </c>
    </row>
    <row r="5242">
      <c r="A5242">
        <f>HYPERLINK("https://www.youtube.com/watch?v=lmf6bWl-Hco", "Video")</f>
        <v/>
      </c>
      <c r="B5242" t="inlineStr">
        <is>
          <t>3:10</t>
        </is>
      </c>
      <c r="C5242" t="inlineStr">
        <is>
          <t>because it can have dire consequences
in many situations.</t>
        </is>
      </c>
      <c r="D5242">
        <f>HYPERLINK("https://www.youtube.com/watch?v=lmf6bWl-Hco&amp;t=190s", "Go to time")</f>
        <v/>
      </c>
    </row>
    <row r="5243">
      <c r="A5243">
        <f>HYPERLINK("https://www.youtube.com/watch?v=3drtbPZF9yc", "Video")</f>
        <v/>
      </c>
      <c r="B5243" t="inlineStr">
        <is>
          <t>3:32</t>
        </is>
      </c>
      <c r="C5243" t="inlineStr">
        <is>
          <t>If you want to pick one direction and move that way,</t>
        </is>
      </c>
      <c r="D5243">
        <f>HYPERLINK("https://www.youtube.com/watch?v=3drtbPZF9yc&amp;t=212s", "Go to time")</f>
        <v/>
      </c>
    </row>
    <row r="5244">
      <c r="A5244">
        <f>HYPERLINK("https://www.youtube.com/watch?v=bZW_B9CC-gI", "Video")</f>
        <v/>
      </c>
      <c r="B5244" t="inlineStr">
        <is>
          <t>4:21</t>
        </is>
      </c>
      <c r="C5244" t="inlineStr">
        <is>
          <t>little bit more directly I'm just</t>
        </is>
      </c>
      <c r="D5244">
        <f>HYPERLINK("https://www.youtube.com/watch?v=bZW_B9CC-gI&amp;t=261s", "Go to time")</f>
        <v/>
      </c>
    </row>
    <row r="5245">
      <c r="A5245">
        <f>HYPERLINK("https://www.youtube.com/watch?v=bZW_B9CC-gI", "Video")</f>
        <v/>
      </c>
      <c r="B5245" t="inlineStr">
        <is>
          <t>4:51</t>
        </is>
      </c>
      <c r="C5245" t="inlineStr">
        <is>
          <t>deduce it by the direction that the ray</t>
        </is>
      </c>
      <c r="D5245">
        <f>HYPERLINK("https://www.youtube.com/watch?v=bZW_B9CC-gI&amp;t=291s", "Go to time")</f>
        <v/>
      </c>
    </row>
    <row r="5246">
      <c r="A5246">
        <f>HYPERLINK("https://www.youtube.com/watch?v=Xj5nH5JtJAQ", "Video")</f>
        <v/>
      </c>
      <c r="B5246" t="inlineStr">
        <is>
          <t>4:13</t>
        </is>
      </c>
      <c r="C5246" t="inlineStr">
        <is>
          <t>But today, the most direct
cause of animal extinctions</t>
        </is>
      </c>
      <c r="D5246">
        <f>HYPERLINK("https://www.youtube.com/watch?v=Xj5nH5JtJAQ&amp;t=253s", "Go to time")</f>
        <v/>
      </c>
    </row>
    <row r="5247">
      <c r="A5247">
        <f>HYPERLINK("https://www.youtube.com/watch?v=Xj5nH5JtJAQ", "Video")</f>
        <v/>
      </c>
      <c r="B5247" t="inlineStr">
        <is>
          <t>4:26</t>
        </is>
      </c>
      <c r="C5247" t="inlineStr">
        <is>
          <t>perhaps they should redirect their efforts</t>
        </is>
      </c>
      <c r="D5247">
        <f>HYPERLINK("https://www.youtube.com/watch?v=Xj5nH5JtJAQ&amp;t=266s", "Go to time")</f>
        <v/>
      </c>
    </row>
    <row r="5248">
      <c r="A5248">
        <f>HYPERLINK("https://www.youtube.com/watch?v=eK0NzsGRceg", "Video")</f>
        <v/>
      </c>
      <c r="B5248" t="inlineStr">
        <is>
          <t>3:50</t>
        </is>
      </c>
      <c r="C5248" t="inlineStr">
        <is>
          <t>but it's a direct result</t>
        </is>
      </c>
      <c r="D5248">
        <f>HYPERLINK("https://www.youtube.com/watch?v=eK0NzsGRceg&amp;t=230s", "Go to time")</f>
        <v/>
      </c>
    </row>
    <row r="5249">
      <c r="A5249">
        <f>HYPERLINK("https://www.youtube.com/watch?v=EqJcNnijmdQ", "Video")</f>
        <v/>
      </c>
      <c r="B5249" t="inlineStr">
        <is>
          <t>0:59</t>
        </is>
      </c>
      <c r="C5249" t="inlineStr">
        <is>
          <t>But GDP doesn’t actually say anything
direct about well-being,</t>
        </is>
      </c>
      <c r="D5249">
        <f>HYPERLINK("https://www.youtube.com/watch?v=EqJcNnijmdQ&amp;t=59s", "Go to time")</f>
        <v/>
      </c>
    </row>
    <row r="5250">
      <c r="A5250">
        <f>HYPERLINK("https://www.youtube.com/watch?v=0bxiOMJAMW8", "Video")</f>
        <v/>
      </c>
      <c r="B5250" t="inlineStr">
        <is>
          <t>0:47</t>
        </is>
      </c>
      <c r="C5250" t="inlineStr">
        <is>
          <t>in pressing his ear directly 
against her chest.</t>
        </is>
      </c>
      <c r="D5250">
        <f>HYPERLINK("https://www.youtube.com/watch?v=0bxiOMJAMW8&amp;t=47s", "Go to time")</f>
        <v/>
      </c>
    </row>
    <row r="5251">
      <c r="A5251">
        <f>HYPERLINK("https://www.youtube.com/watch?v=Bl2-u7HcheQ", "Video")</f>
        <v/>
      </c>
      <c r="B5251" t="inlineStr">
        <is>
          <t>3:01</t>
        </is>
      </c>
      <c r="C5251" t="inlineStr">
        <is>
          <t>Just looking directly at solar energy,</t>
        </is>
      </c>
      <c r="D5251">
        <f>HYPERLINK("https://www.youtube.com/watch?v=Bl2-u7HcheQ&amp;t=181s", "Go to time")</f>
        <v/>
      </c>
    </row>
    <row r="5252">
      <c r="A5252">
        <f>HYPERLINK("https://www.youtube.com/watch?v=DFgpr5LlDVA", "Video")</f>
        <v/>
      </c>
      <c r="B5252" t="inlineStr">
        <is>
          <t>1:41</t>
        </is>
      </c>
      <c r="C5252" t="inlineStr">
        <is>
          <t>In another, the Hsu family’s all-American 
day at the beach turns dire</t>
        </is>
      </c>
      <c r="D5252">
        <f>HYPERLINK("https://www.youtube.com/watch?v=DFgpr5LlDVA&amp;t=101s", "Go to time")</f>
        <v/>
      </c>
    </row>
    <row r="5253">
      <c r="A5253">
        <f>HYPERLINK("https://www.youtube.com/watch?v=3viZhIumUNo", "Video")</f>
        <v/>
      </c>
      <c r="B5253" t="inlineStr">
        <is>
          <t>2:11</t>
        </is>
      </c>
      <c r="C5253" t="inlineStr">
        <is>
          <t>The requirement 
only goes in one direction.</t>
        </is>
      </c>
      <c r="D5253">
        <f>HYPERLINK("https://www.youtube.com/watch?v=3viZhIumUNo&amp;t=131s", "Go to time")</f>
        <v/>
      </c>
    </row>
    <row r="5254">
      <c r="A5254">
        <f>HYPERLINK("https://www.youtube.com/watch?v=7K3KdgDcdYc", "Video")</f>
        <v/>
      </c>
      <c r="B5254" t="inlineStr">
        <is>
          <t>0:17</t>
        </is>
      </c>
      <c r="C5254" t="inlineStr">
        <is>
          <t>Their directive was to retrieve
a poison pill from the freezer</t>
        </is>
      </c>
      <c r="D5254">
        <f>HYPERLINK("https://www.youtube.com/watch?v=7K3KdgDcdYc&amp;t=17s", "Go to time")</f>
        <v/>
      </c>
    </row>
    <row r="5255">
      <c r="A5255">
        <f>HYPERLINK("https://www.youtube.com/watch?v=dzrwnwOx0fw", "Video")</f>
        <v/>
      </c>
      <c r="B5255" t="inlineStr">
        <is>
          <t>2:01</t>
        </is>
      </c>
      <c r="C5255" t="inlineStr">
        <is>
          <t>so they can make shorter trips
in either direction</t>
        </is>
      </c>
      <c r="D5255">
        <f>HYPERLINK("https://www.youtube.com/watch?v=dzrwnwOx0fw&amp;t=121s", "Go to time")</f>
        <v/>
      </c>
    </row>
    <row r="5256">
      <c r="A5256">
        <f>HYPERLINK("https://www.youtube.com/watch?v=r4UdHE3JNnU", "Video")</f>
        <v/>
      </c>
      <c r="B5256" t="inlineStr">
        <is>
          <t>1:08</t>
        </is>
      </c>
      <c r="C5256" t="inlineStr">
        <is>
          <t>turnbyturn directions because back then</t>
        </is>
      </c>
      <c r="D5256">
        <f>HYPERLINK("https://www.youtube.com/watch?v=r4UdHE3JNnU&amp;t=68s", "Go to time")</f>
        <v/>
      </c>
    </row>
    <row r="5257">
      <c r="A5257">
        <f>HYPERLINK("https://www.youtube.com/watch?v=UNdD5Kxdkpg", "Video")</f>
        <v/>
      </c>
      <c r="B5257" t="inlineStr">
        <is>
          <t>3:01</t>
        </is>
      </c>
      <c r="C5257" t="inlineStr">
        <is>
          <t>the directions of the folds at any</t>
        </is>
      </c>
      <c r="D5257">
        <f>HYPERLINK("https://www.youtube.com/watch?v=UNdD5Kxdkpg&amp;t=181s", "Go to time")</f>
        <v/>
      </c>
    </row>
    <row r="5258">
      <c r="A5258">
        <f>HYPERLINK("https://www.youtube.com/watch?v=AmOTf0eYcgo", "Video")</f>
        <v/>
      </c>
      <c r="B5258" t="inlineStr">
        <is>
          <t>1:04</t>
        </is>
      </c>
      <c r="C5258" t="inlineStr">
        <is>
          <t>He would analyze flight patterns and direction,</t>
        </is>
      </c>
      <c r="D5258">
        <f>HYPERLINK("https://www.youtube.com/watch?v=AmOTf0eYcgo&amp;t=64s", "Go to time")</f>
        <v/>
      </c>
    </row>
    <row r="5259">
      <c r="A5259">
        <f>HYPERLINK("https://www.youtube.com/watch?v=j1EXBeBA89w", "Video")</f>
        <v/>
      </c>
      <c r="B5259" t="inlineStr">
        <is>
          <t>3:58</t>
        </is>
      </c>
      <c r="C5259" t="inlineStr">
        <is>
          <t>because its fruit grows directly
from its trunk and branches—</t>
        </is>
      </c>
      <c r="D5259">
        <f>HYPERLINK("https://www.youtube.com/watch?v=j1EXBeBA89w&amp;t=238s", "Go to time")</f>
        <v/>
      </c>
    </row>
    <row r="5260">
      <c r="A5260">
        <f>HYPERLINK("https://www.youtube.com/watch?v=EPd2w5d_qAk", "Video")</f>
        <v/>
      </c>
      <c r="B5260" t="inlineStr">
        <is>
          <t>3:48</t>
        </is>
      </c>
      <c r="C5260" t="inlineStr">
        <is>
          <t>nearly 5 meters in each direction.</t>
        </is>
      </c>
      <c r="D5260">
        <f>HYPERLINK("https://www.youtube.com/watch?v=EPd2w5d_qAk&amp;t=228s", "Go to time")</f>
        <v/>
      </c>
    </row>
    <row r="5261">
      <c r="A5261">
        <f>HYPERLINK("https://www.youtube.com/watch?v=9OVtk6G2TnQ", "Video")</f>
        <v/>
      </c>
      <c r="B5261" t="inlineStr">
        <is>
          <t>2:50</t>
        </is>
      </c>
      <c r="C5261" t="inlineStr">
        <is>
          <t>Electrons can flow back 
in the opposite direction</t>
        </is>
      </c>
      <c r="D5261">
        <f>HYPERLINK("https://www.youtube.com/watch?v=9OVtk6G2TnQ&amp;t=170s", "Go to time")</f>
        <v/>
      </c>
    </row>
    <row r="5262">
      <c r="A5262">
        <f>HYPERLINK("https://www.youtube.com/watch?v=6d_dtVTs4CM", "Video")</f>
        <v/>
      </c>
      <c r="B5262" t="inlineStr">
        <is>
          <t>2:46</t>
        </is>
      </c>
      <c r="C5262" t="inlineStr">
        <is>
          <t>Indirectly, the rays also damage the area
immediately surrounding the DNA,</t>
        </is>
      </c>
      <c r="D5262">
        <f>HYPERLINK("https://www.youtube.com/watch?v=6d_dtVTs4CM&amp;t=166s", "Go to time")</f>
        <v/>
      </c>
    </row>
    <row r="5263">
      <c r="A5263">
        <f>HYPERLINK("https://www.youtube.com/watch?v=Y7IsyjFROHE", "Video")</f>
        <v/>
      </c>
      <c r="B5263" t="inlineStr">
        <is>
          <t>3:28</t>
        </is>
      </c>
      <c r="C5263" t="inlineStr">
        <is>
          <t>That stream of ions propels the spacecraft
in the opposite direction,</t>
        </is>
      </c>
      <c r="D5263">
        <f>HYPERLINK("https://www.youtube.com/watch?v=Y7IsyjFROHE&amp;t=208s", "Go to time")</f>
        <v/>
      </c>
    </row>
    <row r="5264">
      <c r="A5264">
        <f>HYPERLINK("https://www.youtube.com/watch?v=bJ3oTTm_Pdo", "Video")</f>
        <v/>
      </c>
      <c r="B5264" t="inlineStr">
        <is>
          <t>3:49</t>
        </is>
      </c>
      <c r="C5264" t="inlineStr">
        <is>
          <t>that direct all the heat generated
by the station's electronics into space</t>
        </is>
      </c>
      <c r="D5264">
        <f>HYPERLINK("https://www.youtube.com/watch?v=bJ3oTTm_Pdo&amp;t=229s", "Go to time")</f>
        <v/>
      </c>
    </row>
    <row r="5265">
      <c r="A5265">
        <f>HYPERLINK("https://www.youtube.com/watch?v=LGpEbF4aZzs", "Video")</f>
        <v/>
      </c>
      <c r="B5265" t="inlineStr">
        <is>
          <t>3:08</t>
        </is>
      </c>
      <c r="C5265" t="inlineStr">
        <is>
          <t>that can never be directly observed
from Earth’s surface.</t>
        </is>
      </c>
      <c r="D5265">
        <f>HYPERLINK("https://www.youtube.com/watch?v=LGpEbF4aZzs&amp;t=188s", "Go to time")</f>
        <v/>
      </c>
    </row>
    <row r="5266">
      <c r="A5266">
        <f>HYPERLINK("https://www.youtube.com/watch?v=Wvdy0UQNO9E", "Video")</f>
        <v/>
      </c>
      <c r="B5266" t="inlineStr">
        <is>
          <t>0:46</t>
        </is>
      </c>
      <c r="C5266" t="inlineStr">
        <is>
          <t>to seek guidance directly
from the God of Prophecy.</t>
        </is>
      </c>
      <c r="D5266">
        <f>HYPERLINK("https://www.youtube.com/watch?v=Wvdy0UQNO9E&amp;t=46s", "Go to time")</f>
        <v/>
      </c>
    </row>
    <row r="5267">
      <c r="A5267">
        <f>HYPERLINK("https://www.youtube.com/watch?v=Wvdy0UQNO9E", "Video")</f>
        <v/>
      </c>
      <c r="B5267" t="inlineStr">
        <is>
          <t>0:50</t>
        </is>
      </c>
      <c r="C5267" t="inlineStr">
        <is>
          <t>Well, almost directly.</t>
        </is>
      </c>
      <c r="D5267">
        <f>HYPERLINK("https://www.youtube.com/watch?v=Wvdy0UQNO9E&amp;t=50s", "Go to time")</f>
        <v/>
      </c>
    </row>
    <row r="5268">
      <c r="A5268">
        <f>HYPERLINK("https://www.youtube.com/watch?v=Wvdy0UQNO9E", "Video")</f>
        <v/>
      </c>
      <c r="B5268" t="inlineStr">
        <is>
          <t>4:09</t>
        </is>
      </c>
      <c r="C5268" t="inlineStr">
        <is>
          <t>Passed directly from one Oracle 
to the next,</t>
        </is>
      </c>
      <c r="D5268">
        <f>HYPERLINK("https://www.youtube.com/watch?v=Wvdy0UQNO9E&amp;t=249s", "Go to time")</f>
        <v/>
      </c>
    </row>
    <row r="5269">
      <c r="A5269">
        <f>HYPERLINK("https://www.youtube.com/watch?v=yVPeuvFn_lY", "Video")</f>
        <v/>
      </c>
      <c r="B5269" t="inlineStr">
        <is>
          <t>7:17</t>
        </is>
      </c>
      <c r="C5269" t="inlineStr">
        <is>
          <t>they enjoyed directing others and not</t>
        </is>
      </c>
      <c r="D5269">
        <f>HYPERLINK("https://www.youtube.com/watch?v=yVPeuvFn_lY&amp;t=437s", "Go to time")</f>
        <v/>
      </c>
    </row>
    <row r="5270">
      <c r="A5270">
        <f>HYPERLINK("https://www.youtube.com/watch?v=zfttRfTmtuE", "Video")</f>
        <v/>
      </c>
      <c r="B5270" t="inlineStr">
        <is>
          <t>2:39</t>
        </is>
      </c>
      <c r="C5270" t="inlineStr">
        <is>
          <t>animal farts can’t directly harm a human—
outside making us lose our lunch.</t>
        </is>
      </c>
      <c r="D5270">
        <f>HYPERLINK("https://www.youtube.com/watch?v=zfttRfTmtuE&amp;t=159s", "Go to time")</f>
        <v/>
      </c>
    </row>
    <row r="5271">
      <c r="A5271">
        <f>HYPERLINK("https://www.youtube.com/watch?v=wlppif9IJzI", "Video")</f>
        <v/>
      </c>
      <c r="B5271" t="inlineStr">
        <is>
          <t>3:04</t>
        </is>
      </c>
      <c r="C5271" t="inlineStr">
        <is>
          <t>Horizontal glaciers are formed when 
farmers redirect glacier meltwater</t>
        </is>
      </c>
      <c r="D5271">
        <f>HYPERLINK("https://www.youtube.com/watch?v=wlppif9IJzI&amp;t=184s", "Go to time")</f>
        <v/>
      </c>
    </row>
    <row r="5272">
      <c r="A5272">
        <f>HYPERLINK("https://www.youtube.com/watch?v=HiKM-Mc3DHg", "Video")</f>
        <v/>
      </c>
      <c r="B5272" t="inlineStr">
        <is>
          <t>9:11</t>
        </is>
      </c>
      <c r="C5272" t="inlineStr">
        <is>
          <t>how did the tele directors decide that</t>
        </is>
      </c>
      <c r="D5272">
        <f>HYPERLINK("https://www.youtube.com/watch?v=HiKM-Mc3DHg&amp;t=551s", "Go to time")</f>
        <v/>
      </c>
    </row>
    <row r="5273">
      <c r="A5273">
        <f>HYPERLINK("https://www.youtube.com/watch?v=HiKM-Mc3DHg", "Video")</f>
        <v/>
      </c>
      <c r="B5273" t="inlineStr">
        <is>
          <t>9:22</t>
        </is>
      </c>
      <c r="C5273" t="inlineStr">
        <is>
          <t>stage the T directors still were trying</t>
        </is>
      </c>
      <c r="D5273">
        <f>HYPERLINK("https://www.youtube.com/watch?v=HiKM-Mc3DHg&amp;t=562s", "Go to time")</f>
        <v/>
      </c>
    </row>
    <row r="5274">
      <c r="A5274">
        <f>HYPERLINK("https://www.youtube.com/watch?v=GUpd2HJHUt8", "Video")</f>
        <v/>
      </c>
      <c r="B5274" t="inlineStr">
        <is>
          <t>2:24</t>
        </is>
      </c>
      <c r="C5274" t="inlineStr">
        <is>
          <t>without directly interfering in people's lives</t>
        </is>
      </c>
      <c r="D5274">
        <f>HYPERLINK("https://www.youtube.com/watch?v=GUpd2HJHUt8&amp;t=144s", "Go to time")</f>
        <v/>
      </c>
    </row>
    <row r="5275">
      <c r="A5275">
        <f>HYPERLINK("https://www.youtube.com/watch?v=GUpd2HJHUt8", "Video")</f>
        <v/>
      </c>
      <c r="B5275" t="inlineStr">
        <is>
          <t>3:55</t>
        </is>
      </c>
      <c r="C5275" t="inlineStr">
        <is>
          <t>all pointing in the same direction.</t>
        </is>
      </c>
      <c r="D5275">
        <f>HYPERLINK("https://www.youtube.com/watch?v=GUpd2HJHUt8&amp;t=235s", "Go to time")</f>
        <v/>
      </c>
    </row>
    <row r="5276">
      <c r="A5276">
        <f>HYPERLINK("https://www.youtube.com/watch?v=z-t-l8vjQQI", "Video")</f>
        <v/>
      </c>
      <c r="B5276" t="inlineStr">
        <is>
          <t>4:23</t>
        </is>
      </c>
      <c r="C5276" t="inlineStr">
        <is>
          <t>some jesters managed to speak truth
directly to power,</t>
        </is>
      </c>
      <c r="D5276">
        <f>HYPERLINK("https://www.youtube.com/watch?v=z-t-l8vjQQI&amp;t=263s", "Go to time")</f>
        <v/>
      </c>
    </row>
    <row r="5277">
      <c r="A5277">
        <f>HYPERLINK("https://www.youtube.com/watch?v=eAQ1Ee5kTMQ", "Video")</f>
        <v/>
      </c>
      <c r="B5277" t="inlineStr">
        <is>
          <t>3:47</t>
        </is>
      </c>
      <c r="C5277" t="inlineStr">
        <is>
          <t>And while birds often take 
the most direct route possible,</t>
        </is>
      </c>
      <c r="D5277">
        <f>HYPERLINK("https://www.youtube.com/watch?v=eAQ1Ee5kTMQ&amp;t=227s", "Go to time")</f>
        <v/>
      </c>
    </row>
    <row r="5278">
      <c r="A5278">
        <f>HYPERLINK("https://www.youtube.com/watch?v=GCA93_exJDw", "Video")</f>
        <v/>
      </c>
      <c r="B5278" t="inlineStr">
        <is>
          <t>2:37</t>
        </is>
      </c>
      <c r="C5278" t="inlineStr">
        <is>
          <t>follow directions then they may end up</t>
        </is>
      </c>
      <c r="D5278">
        <f>HYPERLINK("https://www.youtube.com/watch?v=GCA93_exJDw&amp;t=157s", "Go to time")</f>
        <v/>
      </c>
    </row>
    <row r="5279">
      <c r="A5279">
        <f>HYPERLINK("https://www.youtube.com/watch?v=GCA93_exJDw", "Video")</f>
        <v/>
      </c>
      <c r="B5279" t="inlineStr">
        <is>
          <t>10:25</t>
        </is>
      </c>
      <c r="C5279" t="inlineStr">
        <is>
          <t>not obeying the directions that we're</t>
        </is>
      </c>
      <c r="D5279">
        <f>HYPERLINK("https://www.youtube.com/watch?v=GCA93_exJDw&amp;t=625s", "Go to time")</f>
        <v/>
      </c>
    </row>
    <row r="5280">
      <c r="A5280">
        <f>HYPERLINK("https://www.youtube.com/watch?v=V_U6czbDHLE", "Video")</f>
        <v/>
      </c>
      <c r="B5280" t="inlineStr">
        <is>
          <t>2:45</t>
        </is>
      </c>
      <c r="C5280" t="inlineStr">
        <is>
          <t>directly causes ulcer disease.</t>
        </is>
      </c>
      <c r="D5280">
        <f>HYPERLINK("https://www.youtube.com/watch?v=V_U6czbDHLE&amp;t=165s", "Go to time")</f>
        <v/>
      </c>
    </row>
    <row r="5281">
      <c r="A5281">
        <f>HYPERLINK("https://www.youtube.com/watch?v=fFeV8WxIZLk", "Video")</f>
        <v/>
      </c>
      <c r="B5281" t="inlineStr">
        <is>
          <t>3:00</t>
        </is>
      </c>
      <c r="C5281" t="inlineStr">
        <is>
          <t>was in fact the way we indirectly
discovered neutron stars</t>
        </is>
      </c>
      <c r="D5281">
        <f>HYPERLINK("https://www.youtube.com/watch?v=fFeV8WxIZLk&amp;t=180s", "Go to time")</f>
        <v/>
      </c>
    </row>
    <row r="5282">
      <c r="A5282">
        <f>HYPERLINK("https://www.youtube.com/watch?v=fFeV8WxIZLk", "Video")</f>
        <v/>
      </c>
      <c r="B5282" t="inlineStr">
        <is>
          <t>4:02</t>
        </is>
      </c>
      <c r="C5282" t="inlineStr">
        <is>
          <t>predicted this phenomenon over 100 years
ago, but it wasn't directly verified</t>
        </is>
      </c>
      <c r="D5282">
        <f>HYPERLINK("https://www.youtube.com/watch?v=fFeV8WxIZLk&amp;t=242s", "Go to time")</f>
        <v/>
      </c>
    </row>
    <row r="5283">
      <c r="A5283">
        <f>HYPERLINK("https://www.youtube.com/watch?v=o1z2DfFZBS4", "Video")</f>
        <v/>
      </c>
      <c r="B5283" t="inlineStr">
        <is>
          <t>3:31</t>
        </is>
      </c>
      <c r="C5283" t="inlineStr">
        <is>
          <t>Surgeons are unable to directly
connect the heart</t>
        </is>
      </c>
      <c r="D5283">
        <f>HYPERLINK("https://www.youtube.com/watch?v=o1z2DfFZBS4&amp;t=211s", "Go to time")</f>
        <v/>
      </c>
    </row>
    <row r="5284">
      <c r="A5284">
        <f>HYPERLINK("https://www.youtube.com/watch?v=VgEbcQxFUu8", "Video")</f>
        <v/>
      </c>
      <c r="B5284" t="inlineStr">
        <is>
          <t>3:01</t>
        </is>
      </c>
      <c r="C5284" t="inlineStr">
        <is>
          <t>and comes in direct contact with tissues.</t>
        </is>
      </c>
      <c r="D5284">
        <f>HYPERLINK("https://www.youtube.com/watch?v=VgEbcQxFUu8&amp;t=181s", "Go to time")</f>
        <v/>
      </c>
    </row>
    <row r="5285">
      <c r="A5285">
        <f>HYPERLINK("https://www.youtube.com/watch?v=ml4NSzCQobk", "Video")</f>
        <v/>
      </c>
      <c r="B5285" t="inlineStr">
        <is>
          <t>0:42</t>
        </is>
      </c>
      <c r="C5285" t="inlineStr">
        <is>
          <t>direction.</t>
        </is>
      </c>
      <c r="D5285">
        <f>HYPERLINK("https://www.youtube.com/watch?v=ml4NSzCQobk&amp;t=42s", "Go to time")</f>
        <v/>
      </c>
    </row>
    <row r="5286">
      <c r="A5286">
        <f>HYPERLINK("https://www.youtube.com/watch?v=ml4NSzCQobk", "Video")</f>
        <v/>
      </c>
      <c r="B5286" t="inlineStr">
        <is>
          <t>0:45</t>
        </is>
      </c>
      <c r="C5286" t="inlineStr">
        <is>
          <t>you need to know how far away it is
and in what direction,</t>
        </is>
      </c>
      <c r="D5286">
        <f>HYPERLINK("https://www.youtube.com/watch?v=ml4NSzCQobk&amp;t=45s", "Go to time")</f>
        <v/>
      </c>
    </row>
    <row r="5287">
      <c r="A5287">
        <f>HYPERLINK("https://www.youtube.com/watch?v=ml4NSzCQobk", "Video")</f>
        <v/>
      </c>
      <c r="B5287" t="inlineStr">
        <is>
          <t>1:07</t>
        </is>
      </c>
      <c r="C5287" t="inlineStr">
        <is>
          <t>You stand on opposite sides
so you're facing in opposite directions.</t>
        </is>
      </c>
      <c r="D5287">
        <f>HYPERLINK("https://www.youtube.com/watch?v=ml4NSzCQobk&amp;t=67s", "Go to time")</f>
        <v/>
      </c>
    </row>
    <row r="5288">
      <c r="A5288">
        <f>HYPERLINK("https://www.youtube.com/watch?v=ml4NSzCQobk", "Video")</f>
        <v/>
      </c>
      <c r="B5288" t="inlineStr">
        <is>
          <t>1:22</t>
        </is>
      </c>
      <c r="C5288" t="inlineStr">
        <is>
          <t>you both end up moving 
the same distance in the same direction</t>
        </is>
      </c>
      <c r="D5288">
        <f>HYPERLINK("https://www.youtube.com/watch?v=ml4NSzCQobk&amp;t=82s", "Go to time")</f>
        <v/>
      </c>
    </row>
    <row r="5289">
      <c r="A5289">
        <f>HYPERLINK("https://www.youtube.com/watch?v=ml4NSzCQobk", "Video")</f>
        <v/>
      </c>
      <c r="B5289" t="inlineStr">
        <is>
          <t>1:40</t>
        </is>
      </c>
      <c r="C5289" t="inlineStr">
        <is>
          <t>We call these two directions
our coordinate basis</t>
        </is>
      </c>
      <c r="D5289">
        <f>HYPERLINK("https://www.youtube.com/watch?v=ml4NSzCQobk&amp;t=100s", "Go to time")</f>
        <v/>
      </c>
    </row>
    <row r="5290">
      <c r="A5290">
        <f>HYPERLINK("https://www.youtube.com/watch?v=ml4NSzCQobk", "Video")</f>
        <v/>
      </c>
      <c r="B5290" t="inlineStr">
        <is>
          <t>2:08</t>
        </is>
      </c>
      <c r="C5290" t="inlineStr">
        <is>
          <t>your coordinate basis
points in opposite directions,</t>
        </is>
      </c>
      <c r="D5290">
        <f>HYPERLINK("https://www.youtube.com/watch?v=ml4NSzCQobk&amp;t=128s", "Go to time")</f>
        <v/>
      </c>
    </row>
    <row r="5291">
      <c r="A5291">
        <f>HYPERLINK("https://www.youtube.com/watch?v=ml4NSzCQobk", "Video")</f>
        <v/>
      </c>
      <c r="B5291" t="inlineStr">
        <is>
          <t>3:33</t>
        </is>
      </c>
      <c r="C5291" t="inlineStr">
        <is>
          <t>Even if you have forces acting
in the same direction</t>
        </is>
      </c>
      <c r="D5291">
        <f>HYPERLINK("https://www.youtube.com/watch?v=ml4NSzCQobk&amp;t=213s", "Go to time")</f>
        <v/>
      </c>
    </row>
    <row r="5292">
      <c r="A5292">
        <f>HYPERLINK("https://www.youtube.com/watch?v=8li-3pRrA5Y", "Video")</f>
        <v/>
      </c>
      <c r="B5292" t="inlineStr">
        <is>
          <t>0:53</t>
        </is>
      </c>
      <c r="C5292" t="inlineStr">
        <is>
          <t>and their balance directly influenced
a person's health and temperament.</t>
        </is>
      </c>
      <c r="D5292">
        <f>HYPERLINK("https://www.youtube.com/watch?v=8li-3pRrA5Y&amp;t=53s", "Go to time")</f>
        <v/>
      </c>
    </row>
    <row r="5293">
      <c r="A5293">
        <f>HYPERLINK("https://www.youtube.com/watch?v=LKvjIsyYng8", "Video")</f>
        <v/>
      </c>
      <c r="B5293" t="inlineStr">
        <is>
          <t>1:53</t>
        </is>
      </c>
      <c r="C5293" t="inlineStr">
        <is>
          <t>Instead of posing it directly,</t>
        </is>
      </c>
      <c r="D5293">
        <f>HYPERLINK("https://www.youtube.com/watch?v=LKvjIsyYng8&amp;t=113s", "Go to time")</f>
        <v/>
      </c>
    </row>
    <row r="5294">
      <c r="A5294">
        <f>HYPERLINK("https://www.youtube.com/watch?v=-yJ3RySf9U4", "Video")</f>
        <v/>
      </c>
      <c r="B5294" t="inlineStr">
        <is>
          <t>2:39</t>
        </is>
      </c>
      <c r="C5294" t="inlineStr">
        <is>
          <t>but your silvery, mirror-like scales
scatter and soften direct light,</t>
        </is>
      </c>
      <c r="D5294">
        <f>HYPERLINK("https://www.youtube.com/watch?v=-yJ3RySf9U4&amp;t=159s", "Go to time")</f>
        <v/>
      </c>
    </row>
    <row r="5295">
      <c r="A5295">
        <f>HYPERLINK("https://www.youtube.com/watch?v=_vDZmVXtA7k", "Video")</f>
        <v/>
      </c>
      <c r="B5295" t="inlineStr">
        <is>
          <t>0:16</t>
        </is>
      </c>
      <c r="C5295" t="inlineStr">
        <is>
          <t>issued a dire economic warning about the
US embracing the Kyoto Protocol,</t>
        </is>
      </c>
      <c r="D5295">
        <f>HYPERLINK("https://www.youtube.com/watch?v=_vDZmVXtA7k&amp;t=16s", "Go to time")</f>
        <v/>
      </c>
    </row>
    <row r="5296">
      <c r="A5296">
        <f>HYPERLINK("https://www.youtube.com/watch?v=_vDZmVXtA7k", "Video")</f>
        <v/>
      </c>
      <c r="B5296" t="inlineStr">
        <is>
          <t>2:30</t>
        </is>
      </c>
      <c r="C5296" t="inlineStr">
        <is>
          <t>Oil companies directly lobbied
government officials</t>
        </is>
      </c>
      <c r="D5296">
        <f>HYPERLINK("https://www.youtube.com/watch?v=_vDZmVXtA7k&amp;t=150s", "Go to time")</f>
        <v/>
      </c>
    </row>
    <row r="5297">
      <c r="A5297">
        <f>HYPERLINK("https://www.youtube.com/watch?v=98pNh3LtV8c", "Video")</f>
        <v/>
      </c>
      <c r="B5297" t="inlineStr">
        <is>
          <t>0:44</t>
        </is>
      </c>
      <c r="C5297" t="inlineStr">
        <is>
          <t>of clues, misdirection, and human drama.</t>
        </is>
      </c>
      <c r="D5297">
        <f>HYPERLINK("https://www.youtube.com/watch?v=98pNh3LtV8c&amp;t=44s", "Go to time")</f>
        <v/>
      </c>
    </row>
    <row r="5298">
      <c r="A5298">
        <f>HYPERLINK("https://www.youtube.com/watch?v=98pNh3LtV8c", "Video")</f>
        <v/>
      </c>
      <c r="B5298" t="inlineStr">
        <is>
          <t>3:56</t>
        </is>
      </c>
      <c r="C5298" t="inlineStr">
        <is>
          <t>Other times, she built misdirection
directly into the story’s structure—</t>
        </is>
      </c>
      <c r="D5298">
        <f>HYPERLINK("https://www.youtube.com/watch?v=98pNh3LtV8c&amp;t=236s", "Go to time")</f>
        <v/>
      </c>
    </row>
    <row r="5299">
      <c r="A5299">
        <f>HYPERLINK("https://www.youtube.com/watch?v=oQWmagZmogQ", "Video")</f>
        <v/>
      </c>
      <c r="B5299" t="inlineStr">
        <is>
          <t>2:59</t>
        </is>
      </c>
      <c r="C5299" t="inlineStr">
        <is>
          <t>which is why it’s important to take
dextromethorphan as directed,</t>
        </is>
      </c>
      <c r="D5299">
        <f>HYPERLINK("https://www.youtube.com/watch?v=oQWmagZmogQ&amp;t=179s", "Go to time")</f>
        <v/>
      </c>
    </row>
    <row r="5300">
      <c r="A5300">
        <f>HYPERLINK("https://www.youtube.com/watch?v=0l5ftgEQUjM", "Video")</f>
        <v/>
      </c>
      <c r="B5300" t="inlineStr">
        <is>
          <t>3:53</t>
        </is>
      </c>
      <c r="C5300" t="inlineStr">
        <is>
          <t>and no matter which direction she runs,
she’ll have to hit an edge.</t>
        </is>
      </c>
      <c r="D5300">
        <f>HYPERLINK("https://www.youtube.com/watch?v=0l5ftgEQUjM&amp;t=233s", "Go to time")</f>
        <v/>
      </c>
    </row>
    <row r="5301">
      <c r="A5301">
        <f>HYPERLINK("https://www.youtube.com/watch?v=zoZVuqP1rQM", "Video")</f>
        <v/>
      </c>
      <c r="B5301" t="inlineStr">
        <is>
          <t>2:04</t>
        </is>
      </c>
      <c r="C5301" t="inlineStr">
        <is>
          <t>reverse directions.</t>
        </is>
      </c>
      <c r="D5301">
        <f>HYPERLINK("https://www.youtube.com/watch?v=zoZVuqP1rQM&amp;t=124s", "Go to time")</f>
        <v/>
      </c>
    </row>
    <row r="5302">
      <c r="A5302">
        <f>HYPERLINK("https://www.youtube.com/watch?v=zoZVuqP1rQM", "Video")</f>
        <v/>
      </c>
      <c r="B5302" t="inlineStr">
        <is>
          <t>2:45</t>
        </is>
      </c>
      <c r="C5302" t="inlineStr">
        <is>
          <t>change directions and miss your nozzles.</t>
        </is>
      </c>
      <c r="D5302">
        <f>HYPERLINK("https://www.youtube.com/watch?v=zoZVuqP1rQM&amp;t=165s", "Go to time")</f>
        <v/>
      </c>
    </row>
    <row r="5303">
      <c r="A5303">
        <f>HYPERLINK("https://www.youtube.com/watch?v=zoZVuqP1rQM", "Video")</f>
        <v/>
      </c>
      <c r="B5303" t="inlineStr">
        <is>
          <t>3:05</t>
        </is>
      </c>
      <c r="C5303" t="inlineStr">
        <is>
          <t>directions, walking for at least another minute.</t>
        </is>
      </c>
      <c r="D5303">
        <f>HYPERLINK("https://www.youtube.com/watch?v=zoZVuqP1rQM&amp;t=185s", "Go to time")</f>
        <v/>
      </c>
    </row>
    <row r="5304">
      <c r="A5304">
        <f>HYPERLINK("https://www.youtube.com/watch?v=inVZoI1AkC8", "Video")</f>
        <v/>
      </c>
      <c r="B5304" t="inlineStr">
        <is>
          <t>3:12</t>
        </is>
      </c>
      <c r="C5304" t="inlineStr">
        <is>
          <t>Feedback loops will often be indirect,
occurring through longer chains.</t>
        </is>
      </c>
      <c r="D5304">
        <f>HYPERLINK("https://www.youtube.com/watch?v=inVZoI1AkC8&amp;t=192s", "Go to time")</f>
        <v/>
      </c>
    </row>
    <row r="5305">
      <c r="A5305">
        <f>HYPERLINK("https://www.youtube.com/watch?v=AWcY2-FBa9k", "Video")</f>
        <v/>
      </c>
      <c r="B5305" t="inlineStr">
        <is>
          <t>0:35</t>
        </is>
      </c>
      <c r="C5305" t="inlineStr">
        <is>
          <t>We can’t chop it directly in half,</t>
        </is>
      </c>
      <c r="D5305">
        <f>HYPERLINK("https://www.youtube.com/watch?v=AWcY2-FBa9k&amp;t=35s", "Go to time")</f>
        <v/>
      </c>
    </row>
    <row r="5306">
      <c r="A5306">
        <f>HYPERLINK("https://www.youtube.com/watch?v=gWUZ8t6mJRY", "Video")</f>
        <v/>
      </c>
      <c r="B5306" t="inlineStr">
        <is>
          <t>0:31</t>
        </is>
      </c>
      <c r="C5306" t="inlineStr">
        <is>
          <t>directly through a microscope and I'm</t>
        </is>
      </c>
      <c r="D5306">
        <f>HYPERLINK("https://www.youtube.com/watch?v=gWUZ8t6mJRY&amp;t=31s", "Go to time")</f>
        <v/>
      </c>
    </row>
    <row r="5307">
      <c r="A5307">
        <f>HYPERLINK("https://www.youtube.com/watch?v=n9v-cDwEVDQ", "Video")</f>
        <v/>
      </c>
      <c r="B5307" t="inlineStr">
        <is>
          <t>9:50</t>
        </is>
      </c>
      <c r="C5307" t="inlineStr">
        <is>
          <t>director called for a set change and we</t>
        </is>
      </c>
      <c r="D5307">
        <f>HYPERLINK("https://www.youtube.com/watch?v=n9v-cDwEVDQ&amp;t=590s", "Go to time")</f>
        <v/>
      </c>
    </row>
    <row r="5308">
      <c r="A5308">
        <f>HYPERLINK("https://www.youtube.com/watch?v=10dkp-N0iwU", "Video")</f>
        <v/>
      </c>
      <c r="B5308" t="inlineStr">
        <is>
          <t>5:26</t>
        </is>
      </c>
      <c r="C5308" t="inlineStr">
        <is>
          <t>world I'm going to share two directions</t>
        </is>
      </c>
      <c r="D5308">
        <f>HYPERLINK("https://www.youtube.com/watch?v=10dkp-N0iwU&amp;t=326s", "Go to time")</f>
        <v/>
      </c>
    </row>
    <row r="5309">
      <c r="A5309">
        <f>HYPERLINK("https://www.youtube.com/watch?v=K6r2ikSjnUo", "Video")</f>
        <v/>
      </c>
      <c r="B5309" t="inlineStr">
        <is>
          <t>2:14</t>
        </is>
      </c>
      <c r="C5309" t="inlineStr">
        <is>
          <t>Sidekicks are one of the most common
and direct ways to do this:</t>
        </is>
      </c>
      <c r="D5309">
        <f>HYPERLINK("https://www.youtube.com/watch?v=K6r2ikSjnUo&amp;t=134s", "Go to time")</f>
        <v/>
      </c>
    </row>
    <row r="5310">
      <c r="A5310">
        <f>HYPERLINK("https://www.youtube.com/watch?v=K6r2ikSjnUo", "Video")</f>
        <v/>
      </c>
      <c r="B5310" t="inlineStr">
        <is>
          <t>4:05</t>
        </is>
      </c>
      <c r="C5310" t="inlineStr">
        <is>
          <t>but also: what message you’d like 
to convey that you can’t say directly?</t>
        </is>
      </c>
      <c r="D5310">
        <f>HYPERLINK("https://www.youtube.com/watch?v=K6r2ikSjnUo&amp;t=245s", "Go to time")</f>
        <v/>
      </c>
    </row>
    <row r="5311">
      <c r="A5311">
        <f>HYPERLINK("https://www.youtube.com/watch?v=VjO55pKuBo4", "Video")</f>
        <v/>
      </c>
      <c r="B5311" t="inlineStr">
        <is>
          <t>2:58</t>
        </is>
      </c>
      <c r="C5311" t="inlineStr">
        <is>
          <t>Though he was unable 
to directly seize the throne,</t>
        </is>
      </c>
      <c r="D5311">
        <f>HYPERLINK("https://www.youtube.com/watch?v=VjO55pKuBo4&amp;t=178s", "Go to time")</f>
        <v/>
      </c>
    </row>
    <row r="5312">
      <c r="A5312">
        <f>HYPERLINK("https://www.youtube.com/watch?v=VjO55pKuBo4", "Video")</f>
        <v/>
      </c>
      <c r="B5312" t="inlineStr">
        <is>
          <t>4:47</t>
        </is>
      </c>
      <c r="C5312" t="inlineStr">
        <is>
          <t>Henry Tudor was a direct descendant
of the first Duke of Lancaster,</t>
        </is>
      </c>
      <c r="D5312">
        <f>HYPERLINK("https://www.youtube.com/watch?v=VjO55pKuBo4&amp;t=287s", "Go to time")</f>
        <v/>
      </c>
    </row>
    <row r="5313">
      <c r="A5313">
        <f>HYPERLINK("https://www.youtube.com/watch?v=AXR-etStvCI", "Video")</f>
        <v/>
      </c>
      <c r="B5313" t="inlineStr">
        <is>
          <t>4:11</t>
        </is>
      </c>
      <c r="C5313" t="inlineStr">
        <is>
          <t>And while Hawking radiation has never 
been directly observed,</t>
        </is>
      </c>
      <c r="D5313">
        <f>HYPERLINK("https://www.youtube.com/watch?v=AXR-etStvCI&amp;t=251s", "Go to time")</f>
        <v/>
      </c>
    </row>
    <row r="5314">
      <c r="A5314">
        <f>HYPERLINK("https://www.youtube.com/watch?v=SwaCg7Gwtzw", "Video")</f>
        <v/>
      </c>
      <c r="B5314" t="inlineStr">
        <is>
          <t>3:21</t>
        </is>
      </c>
      <c r="C5314" t="inlineStr">
        <is>
          <t>To pay it off, they’ll have to redirect 
funds from other activities,</t>
        </is>
      </c>
      <c r="D5314">
        <f>HYPERLINK("https://www.youtube.com/watch?v=SwaCg7Gwtzw&amp;t=201s", "Go to time")</f>
        <v/>
      </c>
    </row>
    <row r="5315">
      <c r="A5315">
        <f>HYPERLINK("https://www.youtube.com/watch?v=5nCcE-jABSo", "Video")</f>
        <v/>
      </c>
      <c r="B5315" t="inlineStr">
        <is>
          <t>1:51</t>
        </is>
      </c>
      <c r="C5315" t="inlineStr">
        <is>
          <t>you quickly pivot your board 
in the same direction as the wave</t>
        </is>
      </c>
      <c r="D5315">
        <f>HYPERLINK("https://www.youtube.com/watch?v=5nCcE-jABSo&amp;t=111s", "Go to time")</f>
        <v/>
      </c>
    </row>
    <row r="5316">
      <c r="A5316">
        <f>HYPERLINK("https://www.youtube.com/watch?v=5nCcE-jABSo", "Video")</f>
        <v/>
      </c>
      <c r="B5316" t="inlineStr">
        <is>
          <t>2:24</t>
        </is>
      </c>
      <c r="C5316" t="inlineStr">
        <is>
          <t>Fins on the surfboard allow you to alter 
your speed and direction</t>
        </is>
      </c>
      <c r="D5316">
        <f>HYPERLINK("https://www.youtube.com/watch?v=5nCcE-jABSo&amp;t=144s", "Go to time")</f>
        <v/>
      </c>
    </row>
    <row r="5317">
      <c r="A5317">
        <f>HYPERLINK("https://www.youtube.com/watch?v=77hLX8jO6e4", "Video")</f>
        <v/>
      </c>
      <c r="B5317" t="inlineStr">
        <is>
          <t>0:41</t>
        </is>
      </c>
      <c r="C5317" t="inlineStr">
        <is>
          <t>the shapes of coastlines, 
or written directions—</t>
        </is>
      </c>
      <c r="D5317">
        <f>HYPERLINK("https://www.youtube.com/watch?v=77hLX8jO6e4&amp;t=41s", "Go to time")</f>
        <v/>
      </c>
    </row>
    <row r="5318">
      <c r="A5318">
        <f>HYPERLINK("https://www.youtube.com/watch?v=_1lwtZr8dTs", "Video")</f>
        <v/>
      </c>
      <c r="B5318" t="inlineStr">
        <is>
          <t>3:28</t>
        </is>
      </c>
      <c r="C5318" t="inlineStr">
        <is>
          <t>directly under her the entire time not</t>
        </is>
      </c>
      <c r="D5318">
        <f>HYPERLINK("https://www.youtube.com/watch?v=_1lwtZr8dTs&amp;t=208s", "Go to time")</f>
        <v/>
      </c>
    </row>
    <row r="5319">
      <c r="A5319">
        <f>HYPERLINK("https://www.youtube.com/watch?v=_1lwtZr8dTs", "Video")</f>
        <v/>
      </c>
      <c r="B5319" t="inlineStr">
        <is>
          <t>3:34</t>
        </is>
      </c>
      <c r="C5319" t="inlineStr">
        <is>
          <t>that she was your direct</t>
        </is>
      </c>
      <c r="D5319">
        <f>HYPERLINK("https://www.youtube.com/watch?v=_1lwtZr8dTs&amp;t=214s", "Go to time")</f>
        <v/>
      </c>
    </row>
    <row r="5320">
      <c r="A5320">
        <f>HYPERLINK("https://www.youtube.com/watch?v=_1lwtZr8dTs", "Video")</f>
        <v/>
      </c>
      <c r="B5320" t="inlineStr">
        <is>
          <t>9:17</t>
        </is>
      </c>
      <c r="C5320" t="inlineStr">
        <is>
          <t>Direction if I'm not looking South I'm</t>
        </is>
      </c>
      <c r="D5320">
        <f>HYPERLINK("https://www.youtube.com/watch?v=_1lwtZr8dTs&amp;t=557s", "Go to time")</f>
        <v/>
      </c>
    </row>
    <row r="5321">
      <c r="A5321">
        <f>HYPERLINK("https://www.youtube.com/watch?v=C4mtt7jltJk", "Video")</f>
        <v/>
      </c>
      <c r="B5321" t="inlineStr">
        <is>
          <t>13:36</t>
        </is>
      </c>
      <c r="C5321" t="inlineStr">
        <is>
          <t>information in there about directions</t>
        </is>
      </c>
      <c r="D5321">
        <f>HYPERLINK("https://www.youtube.com/watch?v=C4mtt7jltJk&amp;t=816s", "Go to time")</f>
        <v/>
      </c>
    </row>
    <row r="5322">
      <c r="A5322">
        <f>HYPERLINK("https://www.youtube.com/watch?v=C4mtt7jltJk", "Video")</f>
        <v/>
      </c>
      <c r="B5322" t="inlineStr">
        <is>
          <t>13:47</t>
        </is>
      </c>
      <c r="C5322" t="inlineStr">
        <is>
          <t>for directions right and you will eat</t>
        </is>
      </c>
      <c r="D5322">
        <f>HYPERLINK("https://www.youtube.com/watch?v=C4mtt7jltJk&amp;t=827s", "Go to time")</f>
        <v/>
      </c>
    </row>
    <row r="5323">
      <c r="A5323">
        <f>HYPERLINK("https://www.youtube.com/watch?v=WY77rVR_jdQ", "Video")</f>
        <v/>
      </c>
      <c r="B5323" t="inlineStr">
        <is>
          <t>8:57</t>
        </is>
      </c>
      <c r="C5323" t="inlineStr">
        <is>
          <t>directly under her the entire time</t>
        </is>
      </c>
      <c r="D5323">
        <f>HYPERLINK("https://www.youtube.com/watch?v=WY77rVR_jdQ&amp;t=537s", "Go to time")</f>
        <v/>
      </c>
    </row>
    <row r="5324">
      <c r="A5324">
        <f>HYPERLINK("https://www.youtube.com/watch?v=WY77rVR_jdQ", "Video")</f>
        <v/>
      </c>
      <c r="B5324" t="inlineStr">
        <is>
          <t>9:03</t>
        </is>
      </c>
      <c r="C5324" t="inlineStr">
        <is>
          <t>Levinson that she was your direct</t>
        </is>
      </c>
      <c r="D5324">
        <f>HYPERLINK("https://www.youtube.com/watch?v=WY77rVR_jdQ&amp;t=543s", "Go to time")</f>
        <v/>
      </c>
    </row>
    <row r="5325">
      <c r="A5325">
        <f>HYPERLINK("https://www.youtube.com/watch?v=WY77rVR_jdQ", "Video")</f>
        <v/>
      </c>
      <c r="B5325" t="inlineStr">
        <is>
          <t>9:35</t>
        </is>
      </c>
      <c r="C5325" t="inlineStr">
        <is>
          <t>were directly under her the entire time</t>
        </is>
      </c>
      <c r="D5325">
        <f>HYPERLINK("https://www.youtube.com/watch?v=WY77rVR_jdQ&amp;t=575s", "Go to time")</f>
        <v/>
      </c>
    </row>
    <row r="5326">
      <c r="A5326">
        <f>HYPERLINK("https://www.youtube.com/watch?v=ClzJkv3dpY8", "Video")</f>
        <v/>
      </c>
      <c r="B5326" t="inlineStr">
        <is>
          <t>4:00</t>
        </is>
      </c>
      <c r="C5326" t="inlineStr">
        <is>
          <t>Lester: And you were directly under her the entire time.</t>
        </is>
      </c>
      <c r="D5326">
        <f>HYPERLINK("https://www.youtube.com/watch?v=ClzJkv3dpY8&amp;t=240s", "Go to time")</f>
        <v/>
      </c>
    </row>
    <row r="5327">
      <c r="A5327">
        <f>HYPERLINK("https://www.youtube.com/watch?v=ClzJkv3dpY8", "Video")</f>
        <v/>
      </c>
      <c r="B5327" t="inlineStr">
        <is>
          <t>4:06</t>
        </is>
      </c>
      <c r="C5327" t="inlineStr">
        <is>
          <t>Lester: Ms. Levinson told you that she was your direct superior?</t>
        </is>
      </c>
      <c r="D5327">
        <f>HYPERLINK("https://www.youtube.com/watch?v=ClzJkv3dpY8&amp;t=246s", "Go to time")</f>
        <v/>
      </c>
    </row>
    <row r="5328">
      <c r="A5328">
        <f>HYPERLINK("https://www.youtube.com/watch?v=ClzJkv3dpY8", "Video")</f>
        <v/>
      </c>
      <c r="B5328" t="inlineStr">
        <is>
          <t>4:38</t>
        </is>
      </c>
      <c r="C5328" t="inlineStr">
        <is>
          <t>Stenographer: Mr. Snyder - And you were directly under her the entire time?</t>
        </is>
      </c>
      <c r="D5328">
        <f>HYPERLINK("https://www.youtube.com/watch?v=ClzJkv3dpY8&amp;t=278s", "Go to time")</f>
        <v/>
      </c>
    </row>
    <row r="5329">
      <c r="A5329">
        <f>HYPERLINK("https://www.youtube.com/watch?v=BbZwk1FZ4XE", "Video")</f>
        <v/>
      </c>
      <c r="B5329" t="inlineStr">
        <is>
          <t>0:48</t>
        </is>
      </c>
      <c r="C5329" t="inlineStr">
        <is>
          <t>this is misdirected anger and I'm sorry</t>
        </is>
      </c>
      <c r="D5329">
        <f>HYPERLINK("https://www.youtube.com/watch?v=BbZwk1FZ4XE&amp;t=48s", "Go to time")</f>
        <v/>
      </c>
    </row>
    <row r="5330">
      <c r="A5330">
        <f>HYPERLINK("https://www.youtube.com/watch?v=dBUGfs9rwms", "Video")</f>
        <v/>
      </c>
      <c r="B5330" t="inlineStr">
        <is>
          <t>4:19</t>
        </is>
      </c>
      <c r="C5330" t="inlineStr">
        <is>
          <t>-And you were directly
under her the entire time?</t>
        </is>
      </c>
      <c r="D5330">
        <f>HYPERLINK("https://www.youtube.com/watch?v=dBUGfs9rwms&amp;t=259s", "Go to time")</f>
        <v/>
      </c>
    </row>
    <row r="5331">
      <c r="A5331">
        <f>HYPERLINK("https://www.youtube.com/watch?v=dBUGfs9rwms", "Video")</f>
        <v/>
      </c>
      <c r="B5331" t="inlineStr">
        <is>
          <t>4:25</t>
        </is>
      </c>
      <c r="C5331" t="inlineStr">
        <is>
          <t>-Ms. Levinson told you that
she was your direct superior</t>
        </is>
      </c>
      <c r="D5331">
        <f>HYPERLINK("https://www.youtube.com/watch?v=dBUGfs9rwms&amp;t=265s", "Go to time")</f>
        <v/>
      </c>
    </row>
    <row r="5332">
      <c r="A5332">
        <f>HYPERLINK("https://www.youtube.com/watch?v=dBUGfs9rwms", "Video")</f>
        <v/>
      </c>
      <c r="B5332" t="inlineStr">
        <is>
          <t>4:57</t>
        </is>
      </c>
      <c r="C5332" t="inlineStr">
        <is>
          <t>"And you were directly under her
the entire time?"</t>
        </is>
      </c>
      <c r="D5332">
        <f>HYPERLINK("https://www.youtube.com/watch?v=dBUGfs9rwms&amp;t=297s", "Go to time")</f>
        <v/>
      </c>
    </row>
    <row r="5333">
      <c r="A5333">
        <f>HYPERLINK("https://www.youtube.com/watch?v=Cfyc1M-MtUE", "Video")</f>
        <v/>
      </c>
      <c r="B5333" t="inlineStr">
        <is>
          <t>0:22</t>
        </is>
      </c>
      <c r="C5333" t="inlineStr">
        <is>
          <t>you were directly under her the entire</t>
        </is>
      </c>
      <c r="D5333">
        <f>HYPERLINK("https://www.youtube.com/watch?v=Cfyc1M-MtUE&amp;t=22s", "Go to time")</f>
        <v/>
      </c>
    </row>
    <row r="5334">
      <c r="A5334">
        <f>HYPERLINK("https://www.youtube.com/watch?v=YA82OoS0JaM", "Video")</f>
        <v/>
      </c>
      <c r="B5334" t="inlineStr">
        <is>
          <t>6:32</t>
        </is>
      </c>
      <c r="C5334" t="inlineStr">
        <is>
          <t>right direction</t>
        </is>
      </c>
      <c r="D5334">
        <f>HYPERLINK("https://www.youtube.com/watch?v=YA82OoS0JaM&amp;t=392s", "Go to time")</f>
        <v/>
      </c>
    </row>
    <row r="5335">
      <c r="A5335">
        <f>HYPERLINK("https://www.youtube.com/watch?v=fcCJLxaA5gw", "Video")</f>
        <v/>
      </c>
      <c r="B5335" t="inlineStr">
        <is>
          <t>2:08</t>
        </is>
      </c>
      <c r="C5335" t="inlineStr">
        <is>
          <t>direct sunlight so what Andy you want to</t>
        </is>
      </c>
      <c r="D5335">
        <f>HYPERLINK("https://www.youtube.com/watch?v=fcCJLxaA5gw&amp;t=128s", "Go to time")</f>
        <v/>
      </c>
    </row>
    <row r="5336">
      <c r="A5336">
        <f>HYPERLINK("https://www.youtube.com/watch?v=Itbsnna09MY", "Video")</f>
        <v/>
      </c>
      <c r="B5336" t="inlineStr">
        <is>
          <t>11:54</t>
        </is>
      </c>
      <c r="C5336" t="inlineStr">
        <is>
          <t>no it's going in a different direction</t>
        </is>
      </c>
      <c r="D5336">
        <f>HYPERLINK("https://www.youtube.com/watch?v=Itbsnna09MY&amp;t=714s", "Go to time")</f>
        <v/>
      </c>
    </row>
    <row r="5337">
      <c r="A5337">
        <f>HYPERLINK("https://www.youtube.com/watch?v=Yp-Gm-Xb7Ck", "Video")</f>
        <v/>
      </c>
      <c r="B5337" t="inlineStr">
        <is>
          <t>1:29</t>
        </is>
      </c>
      <c r="C5337" t="inlineStr">
        <is>
          <t>about Direct and I'll just have</t>
        </is>
      </c>
      <c r="D5337">
        <f>HYPERLINK("https://www.youtube.com/watch?v=Yp-Gm-Xb7Ck&amp;t=89s", "Go to time")</f>
        <v/>
      </c>
    </row>
    <row r="5338">
      <c r="A5338">
        <f>HYPERLINK("https://www.youtube.com/watch?v=Yp-Gm-Xb7Ck", "Video")</f>
        <v/>
      </c>
      <c r="B5338" t="inlineStr">
        <is>
          <t>1:38</t>
        </is>
      </c>
      <c r="C5338" t="inlineStr">
        <is>
          <t>my wedding to ask for directions and you</t>
        </is>
      </c>
      <c r="D5338">
        <f>HYPERLINK("https://www.youtube.com/watch?v=Yp-Gm-Xb7Ck&amp;t=98s", "Go to time")</f>
        <v/>
      </c>
    </row>
    <row r="5339">
      <c r="A5339">
        <f>HYPERLINK("https://www.youtube.com/watch?v=hkoBZJcx2xs", "Video")</f>
        <v/>
      </c>
      <c r="B5339" t="inlineStr">
        <is>
          <t>2:50</t>
        </is>
      </c>
      <c r="C5339" t="inlineStr">
        <is>
          <t>directory and</t>
        </is>
      </c>
      <c r="D5339">
        <f>HYPERLINK("https://www.youtube.com/watch?v=hkoBZJcx2xs&amp;t=170s", "Go to time")</f>
        <v/>
      </c>
    </row>
    <row r="5340">
      <c r="A5340">
        <f>HYPERLINK("https://www.youtube.com/watch?v=hkoBZJcx2xs", "Video")</f>
        <v/>
      </c>
      <c r="B5340" t="inlineStr">
        <is>
          <t>3:02</t>
        </is>
      </c>
      <c r="C5340" t="inlineStr">
        <is>
          <t>directory um</t>
        </is>
      </c>
      <c r="D5340">
        <f>HYPERLINK("https://www.youtube.com/watch?v=hkoBZJcx2xs&amp;t=182s", "Go to time")</f>
        <v/>
      </c>
    </row>
    <row r="5341">
      <c r="A5341">
        <f>HYPERLINK("https://www.youtube.com/watch?v=H_uBfQPkcNc", "Video")</f>
        <v/>
      </c>
      <c r="B5341" t="inlineStr">
        <is>
          <t>8:55</t>
        </is>
      </c>
      <c r="C5341" t="inlineStr">
        <is>
          <t>protect myself this is misdirected anger</t>
        </is>
      </c>
      <c r="D5341">
        <f>HYPERLINK("https://www.youtube.com/watch?v=H_uBfQPkcNc&amp;t=535s", "Go to time")</f>
        <v/>
      </c>
    </row>
    <row r="5342">
      <c r="A5342">
        <f>HYPERLINK("https://www.youtube.com/watch?v=kgUAQRHZ86M", "Video")</f>
        <v/>
      </c>
      <c r="B5342" t="inlineStr">
        <is>
          <t>0:21</t>
        </is>
      </c>
      <c r="C5342" t="inlineStr">
        <is>
          <t>They have new phone systems now that can ring directly to a salesman</t>
        </is>
      </c>
      <c r="D5342">
        <f>HYPERLINK("https://www.youtube.com/watch?v=kgUAQRHZ86M&amp;t=21s", "Go to time")</f>
        <v/>
      </c>
    </row>
    <row r="5343">
      <c r="A5343">
        <f>HYPERLINK("https://www.youtube.com/watch?v=Kq_blCJUkHA", "Video")</f>
        <v/>
      </c>
      <c r="B5343" t="inlineStr">
        <is>
          <t>0:18</t>
        </is>
      </c>
      <c r="C5343" t="inlineStr">
        <is>
          <t>directly to a salesman,
or someone presses star</t>
        </is>
      </c>
      <c r="D5343">
        <f>HYPERLINK("https://www.youtube.com/watch?v=Kq_blCJUkHA&amp;t=18s", "Go to time")</f>
        <v/>
      </c>
    </row>
    <row r="5344">
      <c r="A5344">
        <f>HYPERLINK("https://www.youtube.com/watch?v=EkZrJC4_xHA", "Video")</f>
        <v/>
      </c>
      <c r="B5344" t="inlineStr">
        <is>
          <t>1:40</t>
        </is>
      </c>
      <c r="C5344" t="inlineStr">
        <is>
          <t>it just a urine that goes directly to</t>
        </is>
      </c>
      <c r="D5344">
        <f>HYPERLINK("https://www.youtube.com/watch?v=EkZrJC4_xHA&amp;t=100s", "Go to time")</f>
        <v/>
      </c>
    </row>
    <row r="5345">
      <c r="A5345">
        <f>HYPERLINK("https://www.youtube.com/watch?v=jjg4hWDFbmY", "Video")</f>
        <v/>
      </c>
      <c r="B5345" t="inlineStr">
        <is>
          <t>16:31</t>
        </is>
      </c>
      <c r="C5345" t="inlineStr">
        <is>
          <t>direct sunlight so what Andy you want to</t>
        </is>
      </c>
      <c r="D5345">
        <f>HYPERLINK("https://www.youtube.com/watch?v=jjg4hWDFbmY&amp;t=991s", "Go to time")</f>
        <v/>
      </c>
    </row>
    <row r="5346">
      <c r="A5346">
        <f>HYPERLINK("https://www.youtube.com/watch?v=qyEGsclHsYU", "Video")</f>
        <v/>
      </c>
      <c r="B5346" t="inlineStr">
        <is>
          <t>19:53</t>
        </is>
      </c>
      <c r="C5346" t="inlineStr">
        <is>
          <t>were directly under her the entire time</t>
        </is>
      </c>
      <c r="D5346">
        <f>HYPERLINK("https://www.youtube.com/watch?v=qyEGsclHsYU&amp;t=1193s", "Go to time")</f>
        <v/>
      </c>
    </row>
    <row r="5347">
      <c r="A5347">
        <f>HYPERLINK("https://www.youtube.com/watch?v=qyEGsclHsYU", "Video")</f>
        <v/>
      </c>
      <c r="B5347" t="inlineStr">
        <is>
          <t>20:00</t>
        </is>
      </c>
      <c r="C5347" t="inlineStr">
        <is>
          <t>that she was your direct</t>
        </is>
      </c>
      <c r="D5347">
        <f>HYPERLINK("https://www.youtube.com/watch?v=qyEGsclHsYU&amp;t=1200s", "Go to time")</f>
        <v/>
      </c>
    </row>
    <row r="5348">
      <c r="A5348">
        <f>HYPERLINK("https://www.youtube.com/watch?v=qyEGsclHsYU", "Video")</f>
        <v/>
      </c>
      <c r="B5348" t="inlineStr">
        <is>
          <t>20:29</t>
        </is>
      </c>
      <c r="C5348" t="inlineStr">
        <is>
          <t>began Mr Schneider and you were directly</t>
        </is>
      </c>
      <c r="D5348">
        <f>HYPERLINK("https://www.youtube.com/watch?v=qyEGsclHsYU&amp;t=1229s", "Go to time")</f>
        <v/>
      </c>
    </row>
    <row r="5349">
      <c r="A5349">
        <f>HYPERLINK("https://www.youtube.com/watch?v=JbDQZvdeGUI", "Video")</f>
        <v/>
      </c>
      <c r="B5349" t="inlineStr">
        <is>
          <t>0:41</t>
        </is>
      </c>
      <c r="C5349" t="inlineStr">
        <is>
          <t>no other people can join this director's</t>
        </is>
      </c>
      <c r="D5349">
        <f>HYPERLINK("https://www.youtube.com/watch?v=JbDQZvdeGUI&amp;t=41s", "Go to time")</f>
        <v/>
      </c>
    </row>
    <row r="5350">
      <c r="A5350">
        <f>HYPERLINK("https://www.youtube.com/watch?v=JbDQZvdeGUI", "Video")</f>
        <v/>
      </c>
      <c r="B5350" t="inlineStr">
        <is>
          <t>1:58</t>
        </is>
      </c>
      <c r="C5350" t="inlineStr">
        <is>
          <t>director brian gordon who's really great</t>
        </is>
      </c>
      <c r="D5350">
        <f>HYPERLINK("https://www.youtube.com/watch?v=JbDQZvdeGUI&amp;t=118s", "Go to time")</f>
        <v/>
      </c>
    </row>
    <row r="5351">
      <c r="A5351">
        <f>HYPERLINK("https://www.youtube.com/watch?v=mPYl_uI5ipA", "Video")</f>
        <v/>
      </c>
      <c r="B5351" t="inlineStr">
        <is>
          <t>4:40</t>
        </is>
      </c>
      <c r="C5351" t="inlineStr">
        <is>
          <t>right direction</t>
        </is>
      </c>
      <c r="D5351">
        <f>HYPERLINK("https://www.youtube.com/watch?v=mPYl_uI5ipA&amp;t=280s", "Go to time")</f>
        <v/>
      </c>
    </row>
    <row r="5352">
      <c r="A5352">
        <f>HYPERLINK("https://www.youtube.com/watch?v=FgaxHR-92Is", "Video")</f>
        <v/>
      </c>
      <c r="B5352" t="inlineStr">
        <is>
          <t>11:36</t>
        </is>
      </c>
      <c r="C5352" t="inlineStr">
        <is>
          <t>direction</t>
        </is>
      </c>
      <c r="D5352">
        <f>HYPERLINK("https://www.youtube.com/watch?v=FgaxHR-92Is&amp;t=696s", "Go to time")</f>
        <v/>
      </c>
    </row>
    <row r="5353">
      <c r="A5353">
        <f>HYPERLINK("https://www.youtube.com/watch?v=snPefAlnsRU", "Video")</f>
        <v/>
      </c>
      <c r="B5353" t="inlineStr">
        <is>
          <t>0:01</t>
        </is>
      </c>
      <c r="C5353" t="inlineStr">
        <is>
          <t>of these directions to shrew Farms yeah</t>
        </is>
      </c>
      <c r="D5353">
        <f>HYPERLINK("https://www.youtube.com/watch?v=snPefAlnsRU&amp;t=1s", "Go to time")</f>
        <v/>
      </c>
    </row>
    <row r="5354">
      <c r="A5354">
        <f>HYPERLINK("https://www.youtube.com/watch?v=pyfrnrfRhZo", "Video")</f>
        <v/>
      </c>
      <c r="B5354" t="inlineStr">
        <is>
          <t>2:39</t>
        </is>
      </c>
      <c r="C5354" t="inlineStr">
        <is>
          <t>am now his cruise director</t>
        </is>
      </c>
      <c r="D5354">
        <f>HYPERLINK("https://www.youtube.com/watch?v=pyfrnrfRhZo&amp;t=159s", "Go to time")</f>
        <v/>
      </c>
    </row>
    <row r="5355">
      <c r="A5355">
        <f>HYPERLINK("https://www.youtube.com/watch?v=wA9kQuWkU7I", "Video")</f>
        <v/>
      </c>
      <c r="B5355" t="inlineStr">
        <is>
          <t>4:01</t>
        </is>
      </c>
      <c r="C5355" t="inlineStr">
        <is>
          <t>manager Andy Bernard regional director</t>
        </is>
      </c>
      <c r="D5355">
        <f>HYPERLINK("https://www.youtube.com/watch?v=wA9kQuWkU7I&amp;t=241s", "Go to time")</f>
        <v/>
      </c>
    </row>
    <row r="5356">
      <c r="A5356">
        <f>HYPERLINK("https://www.youtube.com/watch?v=wA9kQuWkU7I", "Video")</f>
        <v/>
      </c>
      <c r="B5356" t="inlineStr">
        <is>
          <t>4:09</t>
        </is>
      </c>
      <c r="C5356" t="inlineStr">
        <is>
          <t>director which on a film set is the</t>
        </is>
      </c>
      <c r="D5356">
        <f>HYPERLINK("https://www.youtube.com/watch?v=wA9kQuWkU7I&amp;t=249s", "Go to time")</f>
        <v/>
      </c>
    </row>
    <row r="5357">
      <c r="A5357">
        <f>HYPERLINK("https://www.youtube.com/watch?v=1tfI4ug17FI", "Video")</f>
        <v/>
      </c>
      <c r="B5357" t="inlineStr">
        <is>
          <t>8:32</t>
        </is>
      </c>
      <c r="C5357" t="inlineStr">
        <is>
          <t>direction I don't have my cont B bony I</t>
        </is>
      </c>
      <c r="D5357">
        <f>HYPERLINK("https://www.youtube.com/watch?v=1tfI4ug17FI&amp;t=512s", "Go to time")</f>
        <v/>
      </c>
    </row>
    <row r="5358">
      <c r="A5358">
        <f>HYPERLINK("https://www.youtube.com/watch?v=ZdCooCaQv4I", "Video")</f>
        <v/>
      </c>
      <c r="B5358" t="inlineStr">
        <is>
          <t>5:15</t>
        </is>
      </c>
      <c r="C5358" t="inlineStr">
        <is>
          <t>ring directly to a Salesman or someone</t>
        </is>
      </c>
      <c r="D5358">
        <f>HYPERLINK("https://www.youtube.com/watch?v=ZdCooCaQv4I&amp;t=315s", "Go to time")</f>
        <v/>
      </c>
    </row>
    <row r="5359">
      <c r="A5359">
        <f>HYPERLINK("https://www.youtube.com/watch?v=gG2rw4OftRI", "Video")</f>
        <v/>
      </c>
      <c r="B5359" t="inlineStr">
        <is>
          <t>10:38</t>
        </is>
      </c>
      <c r="C5359" t="inlineStr">
        <is>
          <t>no it's going in a different direction</t>
        </is>
      </c>
      <c r="D5359">
        <f>HYPERLINK("https://www.youtube.com/watch?v=gG2rw4OftRI&amp;t=638s", "Go to time")</f>
        <v/>
      </c>
    </row>
    <row r="5360">
      <c r="A5360">
        <f>HYPERLINK("https://www.youtube.com/watch?v=6ExYUejiqI0", "Video")</f>
        <v/>
      </c>
      <c r="B5360" t="inlineStr">
        <is>
          <t>9:56</t>
        </is>
      </c>
      <c r="C5360" t="inlineStr">
        <is>
          <t>in direct sunlight so what Andy you want</t>
        </is>
      </c>
      <c r="D5360">
        <f>HYPERLINK("https://www.youtube.com/watch?v=6ExYUejiqI0&amp;t=596s", "Go to time")</f>
        <v/>
      </c>
    </row>
    <row r="5361">
      <c r="A5361">
        <f>HYPERLINK("https://www.youtube.com/watch?v=nxD1LAOabAw", "Video")</f>
        <v/>
      </c>
      <c r="B5361" t="inlineStr">
        <is>
          <t>1:28</t>
        </is>
      </c>
      <c r="C5361" t="inlineStr">
        <is>
          <t>them money I give them food not directly</t>
        </is>
      </c>
      <c r="D5361">
        <f>HYPERLINK("https://www.youtube.com/watch?v=nxD1LAOabAw&amp;t=88s", "Go to time")</f>
        <v/>
      </c>
    </row>
    <row r="5362">
      <c r="A5362">
        <f>HYPERLINK("https://www.youtube.com/watch?v=QRlABeKgMB8", "Video")</f>
        <v/>
      </c>
      <c r="B5362" t="inlineStr">
        <is>
          <t>8:40</t>
        </is>
      </c>
      <c r="C5362" t="inlineStr">
        <is>
          <t>bothering me I well it was directed at</t>
        </is>
      </c>
      <c r="D5362">
        <f>HYPERLINK("https://www.youtube.com/watch?v=QRlABeKgMB8&amp;t=520s", "Go to time")</f>
        <v/>
      </c>
    </row>
    <row r="5363">
      <c r="A5363">
        <f>HYPERLINK("https://www.youtube.com/watch?v=T2Tvf2tS0HE", "Video")</f>
        <v/>
      </c>
      <c r="B5363" t="inlineStr">
        <is>
          <t>2:00</t>
        </is>
      </c>
      <c r="C5363" t="inlineStr">
        <is>
          <t>the liar will avoid direct eye contact</t>
        </is>
      </c>
      <c r="D5363">
        <f>HYPERLINK("https://www.youtube.com/watch?v=T2Tvf2tS0HE&amp;t=120s", "Go to time")</f>
        <v/>
      </c>
    </row>
    <row r="5364">
      <c r="A5364">
        <f>HYPERLINK("https://www.youtube.com/watch?v=QDSN2M3yp48", "Video")</f>
        <v/>
      </c>
      <c r="B5364" t="inlineStr">
        <is>
          <t>2:28</t>
        </is>
      </c>
      <c r="C5364" t="inlineStr">
        <is>
          <t>feet and which direction</t>
        </is>
      </c>
      <c r="D5364">
        <f>HYPERLINK("https://www.youtube.com/watch?v=QDSN2M3yp48&amp;t=148s", "Go to time")</f>
        <v/>
      </c>
    </row>
    <row r="5365">
      <c r="A5365">
        <f>HYPERLINK("https://www.youtube.com/watch?v=D7EiXlrWTUg", "Video")</f>
        <v/>
      </c>
      <c r="B5365" t="inlineStr">
        <is>
          <t>12:14</t>
        </is>
      </c>
      <c r="C5365" t="inlineStr">
        <is>
          <t>was attraction in at least One Direction</t>
        </is>
      </c>
      <c r="D5365">
        <f>HYPERLINK("https://www.youtube.com/watch?v=D7EiXlrWTUg&amp;t=734s", "Go to time")</f>
        <v/>
      </c>
    </row>
    <row r="5366">
      <c r="A5366">
        <f>HYPERLINK("https://www.youtube.com/watch?v=GRo32Ug22HY", "Video")</f>
        <v/>
      </c>
      <c r="B5366" t="inlineStr">
        <is>
          <t>2:33</t>
        </is>
      </c>
      <c r="C5366" t="inlineStr">
        <is>
          <t>Cruise director and my name is Captain</t>
        </is>
      </c>
      <c r="D5366">
        <f>HYPERLINK("https://www.youtube.com/watch?v=GRo32Ug22HY&amp;t=153s", "Go to time")</f>
        <v/>
      </c>
    </row>
    <row r="5367">
      <c r="A5367">
        <f>HYPERLINK("https://www.youtube.com/watch?v=7dgqhKxH3jg", "Video")</f>
        <v/>
      </c>
      <c r="B5367" t="inlineStr">
        <is>
          <t>4:25</t>
        </is>
      </c>
      <c r="C5367" t="inlineStr">
        <is>
          <t>I've seen her... with the eyes and, uh, there was a traction in at least one direction.</t>
        </is>
      </c>
      <c r="D5367">
        <f>HYPERLINK("https://www.youtube.com/watch?v=7dgqhKxH3jg&amp;t=265s", "Go to time")</f>
        <v/>
      </c>
    </row>
    <row r="5368">
      <c r="A5368">
        <f>HYPERLINK("https://www.youtube.com/watch?v=JBt7dJ7QY30", "Video")</f>
        <v/>
      </c>
      <c r="B5368" t="inlineStr">
        <is>
          <t>4:18</t>
        </is>
      </c>
      <c r="C5368" t="inlineStr">
        <is>
          <t>that's a misdirection</t>
        </is>
      </c>
      <c r="D5368">
        <f>HYPERLINK("https://www.youtube.com/watch?v=JBt7dJ7QY30&amp;t=258s", "Go to time")</f>
        <v/>
      </c>
    </row>
    <row r="5369">
      <c r="A5369">
        <f>HYPERLINK("https://www.youtube.com/watch?v=_5IareL3rac", "Video")</f>
        <v/>
      </c>
      <c r="B5369" t="inlineStr">
        <is>
          <t>10:10</t>
        </is>
      </c>
      <c r="C5369" t="inlineStr">
        <is>
          <t>impressive and you were directly under</t>
        </is>
      </c>
      <c r="D5369">
        <f>HYPERLINK("https://www.youtube.com/watch?v=_5IareL3rac&amp;t=610s", "Go to time")</f>
        <v/>
      </c>
    </row>
    <row r="5370">
      <c r="A5370">
        <f>HYPERLINK("https://www.youtube.com/watch?v=_5IareL3rac", "Video")</f>
        <v/>
      </c>
      <c r="B5370" t="inlineStr">
        <is>
          <t>10:18</t>
        </is>
      </c>
      <c r="C5370" t="inlineStr">
        <is>
          <t>direct Superior a lot</t>
        </is>
      </c>
      <c r="D5370">
        <f>HYPERLINK("https://www.youtube.com/watch?v=_5IareL3rac&amp;t=618s", "Go to time")</f>
        <v/>
      </c>
    </row>
    <row r="5371">
      <c r="A5371">
        <f>HYPERLINK("https://www.youtube.com/watch?v=_5IareL3rac", "Video")</f>
        <v/>
      </c>
      <c r="B5371" t="inlineStr">
        <is>
          <t>12:01</t>
        </is>
      </c>
      <c r="C5371" t="inlineStr">
        <is>
          <t>Mr Schneider and you were directly under</t>
        </is>
      </c>
      <c r="D5371">
        <f>HYPERLINK("https://www.youtube.com/watch?v=_5IareL3rac&amp;t=721s", "Go to time")</f>
        <v/>
      </c>
    </row>
    <row r="5372">
      <c r="A5372">
        <f>HYPERLINK("https://www.youtube.com/watch?v=Nv4e-rFwJpY", "Video")</f>
        <v/>
      </c>
      <c r="B5372" t="inlineStr">
        <is>
          <t>1:10</t>
        </is>
      </c>
      <c r="C5372" t="inlineStr">
        <is>
          <t>hemorrhoids and you were directly under</t>
        </is>
      </c>
      <c r="D5372">
        <f>HYPERLINK("https://www.youtube.com/watch?v=Nv4e-rFwJpY&amp;t=70s", "Go to time")</f>
        <v/>
      </c>
    </row>
    <row r="5373">
      <c r="A5373">
        <f>HYPERLINK("https://www.youtube.com/watch?v=Nv4e-rFwJpY", "Video")</f>
        <v/>
      </c>
      <c r="B5373" t="inlineStr">
        <is>
          <t>1:18</t>
        </is>
      </c>
      <c r="C5373" t="inlineStr">
        <is>
          <t>direct</t>
        </is>
      </c>
      <c r="D5373">
        <f>HYPERLINK("https://www.youtube.com/watch?v=Nv4e-rFwJpY&amp;t=78s", "Go to time")</f>
        <v/>
      </c>
    </row>
    <row r="5374">
      <c r="A5374">
        <f>HYPERLINK("https://www.youtube.com/watch?v=bBI0FkE06is", "Video")</f>
        <v/>
      </c>
      <c r="B5374" t="inlineStr">
        <is>
          <t>2:50</t>
        </is>
      </c>
      <c r="C5374" t="inlineStr">
        <is>
          <t>may I direct your</t>
        </is>
      </c>
      <c r="D5374">
        <f>HYPERLINK("https://www.youtube.com/watch?v=bBI0FkE06is&amp;t=170s", "Go to time")</f>
        <v/>
      </c>
    </row>
    <row r="5375">
      <c r="A5375">
        <f>HYPERLINK("https://www.youtube.com/watch?v=5Vtgf9_3Q30", "Video")</f>
        <v/>
      </c>
      <c r="B5375" t="inlineStr">
        <is>
          <t>1:35</t>
        </is>
      </c>
      <c r="C5375" t="inlineStr">
        <is>
          <t>samel just sell the paper directly to</t>
        </is>
      </c>
      <c r="D5375">
        <f>HYPERLINK("https://www.youtube.com/watch?v=5Vtgf9_3Q30&amp;t=95s", "Go to time")</f>
        <v/>
      </c>
    </row>
    <row r="5376">
      <c r="A5376">
        <f>HYPERLINK("https://www.youtube.com/watch?v=E_8CgEJeK-0", "Video")</f>
        <v/>
      </c>
      <c r="B5376" t="inlineStr">
        <is>
          <t>3:03</t>
        </is>
      </c>
      <c r="C5376" t="inlineStr">
        <is>
          <t>so you have the directions yeah you have</t>
        </is>
      </c>
      <c r="D5376">
        <f>HYPERLINK("https://www.youtube.com/watch?v=E_8CgEJeK-0&amp;t=183s", "Go to time")</f>
        <v/>
      </c>
    </row>
    <row r="5377">
      <c r="A5377">
        <f>HYPERLINK("https://www.youtube.com/watch?v=cb6Ezv0n_7I", "Video")</f>
        <v/>
      </c>
      <c r="B5377" t="inlineStr">
        <is>
          <t>0:49</t>
        </is>
      </c>
      <c r="C5377" t="inlineStr">
        <is>
          <t>man asked me for directions</t>
        </is>
      </c>
      <c r="D5377">
        <f>HYPERLINK("https://www.youtube.com/watch?v=cb6Ezv0n_7I&amp;t=49s", "Go to time")</f>
        <v/>
      </c>
    </row>
    <row r="5378">
      <c r="A5378">
        <f>HYPERLINK("https://www.youtube.com/watch?v=qapk60Z6SCE", "Video")</f>
        <v/>
      </c>
      <c r="B5378" t="inlineStr">
        <is>
          <t>5:32</t>
        </is>
      </c>
      <c r="C5378" t="inlineStr">
        <is>
          <t>and you were directly under her the</t>
        </is>
      </c>
      <c r="D5378">
        <f>HYPERLINK("https://www.youtube.com/watch?v=qapk60Z6SCE&amp;t=332s", "Go to time")</f>
        <v/>
      </c>
    </row>
    <row r="5379">
      <c r="A5379">
        <f>HYPERLINK("https://www.youtube.com/watch?v=qapk60Z6SCE", "Video")</f>
        <v/>
      </c>
      <c r="B5379" t="inlineStr">
        <is>
          <t>5:39</t>
        </is>
      </c>
      <c r="C5379" t="inlineStr">
        <is>
          <t>told you that she was your direct</t>
        </is>
      </c>
      <c r="D5379">
        <f>HYPERLINK("https://www.youtube.com/watch?v=qapk60Z6SCE&amp;t=339s", "Go to time")</f>
        <v/>
      </c>
    </row>
    <row r="5380">
      <c r="A5380">
        <f>HYPERLINK("https://www.youtube.com/watch?v=i1MuhzA73nU", "Video")</f>
        <v/>
      </c>
      <c r="B5380" t="inlineStr">
        <is>
          <t>10:05</t>
        </is>
      </c>
      <c r="C5380" t="inlineStr">
        <is>
          <t>misdirection we still don't know who the</t>
        </is>
      </c>
      <c r="D5380">
        <f>HYPERLINK("https://www.youtube.com/watch?v=i1MuhzA73nU&amp;t=605s", "Go to time")</f>
        <v/>
      </c>
    </row>
    <row r="5381">
      <c r="A5381">
        <f>HYPERLINK("https://www.youtube.com/watch?v=8NMj9WJpK5c", "Video")</f>
        <v/>
      </c>
      <c r="B5381" t="inlineStr">
        <is>
          <t>10:15</t>
        </is>
      </c>
      <c r="C5381" t="inlineStr">
        <is>
          <t>Direction if I'm not looking South I'm</t>
        </is>
      </c>
      <c r="D5381">
        <f>HYPERLINK("https://www.youtube.com/watch?v=8NMj9WJpK5c&amp;t=615s", "Go to time")</f>
        <v/>
      </c>
    </row>
    <row r="5382">
      <c r="A5382">
        <f>HYPERLINK("https://www.youtube.com/watch?v=N05tMec_sSY", "Video")</f>
        <v/>
      </c>
      <c r="B5382" t="inlineStr">
        <is>
          <t>0:43</t>
        </is>
      </c>
      <c r="C5382" t="inlineStr">
        <is>
          <t>directions and he was holding a map and</t>
        </is>
      </c>
      <c r="D5382">
        <f>HYPERLINK("https://www.youtube.com/watch?v=N05tMec_sSY&amp;t=43s", "Go to time")</f>
        <v/>
      </c>
    </row>
    <row r="5383">
      <c r="A5383">
        <f>HYPERLINK("https://www.youtube.com/watch?v=fiYelN8zJGw", "Video")</f>
        <v/>
      </c>
      <c r="B5383" t="inlineStr">
        <is>
          <t>6:46</t>
        </is>
      </c>
      <c r="C5383" t="inlineStr">
        <is>
          <t>in a different direction than the other</t>
        </is>
      </c>
      <c r="D5383">
        <f>HYPERLINK("https://www.youtube.com/watch?v=fiYelN8zJGw&amp;t=406s", "Go to time")</f>
        <v/>
      </c>
    </row>
    <row r="5384">
      <c r="A5384">
        <f>HYPERLINK("https://www.youtube.com/watch?v=lC5lsemxaJo", "Video")</f>
        <v/>
      </c>
      <c r="B5384" t="inlineStr">
        <is>
          <t>0:32</t>
        </is>
      </c>
      <c r="C5384" t="inlineStr">
        <is>
          <t>directly asking for help you help his</t>
        </is>
      </c>
      <c r="D5384">
        <f>HYPERLINK("https://www.youtube.com/watch?v=lC5lsemxaJo&amp;t=32s", "Go to time")</f>
        <v/>
      </c>
    </row>
    <row r="5385">
      <c r="A5385">
        <f>HYPERLINK("https://www.youtube.com/watch?v=6jJ5SOtuMsw", "Video")</f>
        <v/>
      </c>
      <c r="B5385" t="inlineStr">
        <is>
          <t>5:48</t>
        </is>
      </c>
      <c r="C5385" t="inlineStr">
        <is>
          <t>that can ring directly to a salesman or</t>
        </is>
      </c>
      <c r="D5385">
        <f>HYPERLINK("https://www.youtube.com/watch?v=6jJ5SOtuMsw&amp;t=348s", "Go to time")</f>
        <v/>
      </c>
    </row>
    <row r="5386">
      <c r="A5386">
        <f>HYPERLINK("https://www.youtube.com/watch?v=UPEHV0GJaiU", "Video")</f>
        <v/>
      </c>
      <c r="B5386" t="inlineStr">
        <is>
          <t>4:55</t>
        </is>
      </c>
      <c r="C5386" t="inlineStr">
        <is>
          <t>directly but through the money i</t>
        </is>
      </c>
      <c r="D5386">
        <f>HYPERLINK("https://www.youtube.com/watch?v=UPEHV0GJaiU&amp;t=295s", "Go to time")</f>
        <v/>
      </c>
    </row>
    <row r="5387">
      <c r="A5387">
        <f>HYPERLINK("https://www.youtube.com/watch?v=P7mYgl4fs48", "Video")</f>
        <v/>
      </c>
      <c r="B5387" t="inlineStr">
        <is>
          <t>10:12</t>
        </is>
      </c>
      <c r="C5387" t="inlineStr">
        <is>
          <t>daughter work as director of office</t>
        </is>
      </c>
      <c r="D5387">
        <f>HYPERLINK("https://www.youtube.com/watch?v=P7mYgl4fs48&amp;t=612s", "Go to time")</f>
        <v/>
      </c>
    </row>
    <row r="5388">
      <c r="A5388">
        <f>HYPERLINK("https://www.youtube.com/watch?v=HP5Vj0qf6pw", "Video")</f>
        <v/>
      </c>
      <c r="B5388" t="inlineStr">
        <is>
          <t>8:52</t>
        </is>
      </c>
      <c r="C5388" t="inlineStr">
        <is>
          <t>no it's going in a different direction</t>
        </is>
      </c>
      <c r="D5388">
        <f>HYPERLINK("https://www.youtube.com/watch?v=HP5Vj0qf6pw&amp;t=532s", "Go to time")</f>
        <v/>
      </c>
    </row>
    <row r="5389">
      <c r="A5389">
        <f>HYPERLINK("https://www.youtube.com/watch?v=y7fnJ6px7Ak", "Video")</f>
        <v/>
      </c>
      <c r="B5389" t="inlineStr">
        <is>
          <t>11:17</t>
        </is>
      </c>
      <c r="C5389" t="inlineStr">
        <is>
          <t>directions and he was holding a map and</t>
        </is>
      </c>
      <c r="D5389">
        <f>HYPERLINK("https://www.youtube.com/watch?v=y7fnJ6px7Ak&amp;t=677s", "Go to time")</f>
        <v/>
      </c>
    </row>
    <row r="5390">
      <c r="A5390">
        <f>HYPERLINK("https://www.youtube.com/watch?v=nYH5qkXiP40", "Video")</f>
        <v/>
      </c>
      <c r="B5390" t="inlineStr">
        <is>
          <t>0:27</t>
        </is>
      </c>
      <c r="C5390" t="inlineStr">
        <is>
          <t>on the stage with the board of directors</t>
        </is>
      </c>
      <c r="D5390">
        <f>HYPERLINK("https://www.youtube.com/watch?v=nYH5qkXiP40&amp;t=27s", "Go to time")</f>
        <v/>
      </c>
    </row>
    <row r="5391">
      <c r="A5391">
        <f>HYPERLINK("https://www.youtube.com/watch?v=QwfjeegBDeo", "Video")</f>
        <v/>
      </c>
      <c r="B5391" t="inlineStr">
        <is>
          <t>0:10</t>
        </is>
      </c>
      <c r="C5391" t="inlineStr">
        <is>
          <t>manager andy bernard regional director</t>
        </is>
      </c>
      <c r="D5391">
        <f>HYPERLINK("https://www.youtube.com/watch?v=QwfjeegBDeo&amp;t=10s", "Go to time")</f>
        <v/>
      </c>
    </row>
    <row r="5392">
      <c r="A5392">
        <f>HYPERLINK("https://www.youtube.com/watch?v=QwfjeegBDeo", "Video")</f>
        <v/>
      </c>
      <c r="B5392" t="inlineStr">
        <is>
          <t>0:18</t>
        </is>
      </c>
      <c r="C5392" t="inlineStr">
        <is>
          <t>director</t>
        </is>
      </c>
      <c r="D5392">
        <f>HYPERLINK("https://www.youtube.com/watch?v=QwfjeegBDeo&amp;t=18s", "Go to time")</f>
        <v/>
      </c>
    </row>
    <row r="5393">
      <c r="A5393">
        <f>HYPERLINK("https://www.youtube.com/watch?v=AKZSaqp_BJc", "Video")</f>
        <v/>
      </c>
      <c r="B5393" t="inlineStr">
        <is>
          <t>7:47</t>
        </is>
      </c>
      <c r="C5393" t="inlineStr">
        <is>
          <t>One Direction if I'm not looking South</t>
        </is>
      </c>
      <c r="D5393">
        <f>HYPERLINK("https://www.youtube.com/watch?v=AKZSaqp_BJc&amp;t=467s", "Go to time")</f>
        <v/>
      </c>
    </row>
    <row r="5394">
      <c r="A5394">
        <f>HYPERLINK("https://www.youtube.com/watch?v=AKZSaqp_BJc", "Video")</f>
        <v/>
      </c>
      <c r="B5394" t="inlineStr">
        <is>
          <t>33:41</t>
        </is>
      </c>
      <c r="C5394" t="inlineStr">
        <is>
          <t>directly under her the entire time</t>
        </is>
      </c>
      <c r="D5394">
        <f>HYPERLINK("https://www.youtube.com/watch?v=AKZSaqp_BJc&amp;t=2021s", "Go to time")</f>
        <v/>
      </c>
    </row>
    <row r="5395">
      <c r="A5395">
        <f>HYPERLINK("https://www.youtube.com/watch?v=AKZSaqp_BJc", "Video")</f>
        <v/>
      </c>
      <c r="B5395" t="inlineStr">
        <is>
          <t>33:47</t>
        </is>
      </c>
      <c r="C5395" t="inlineStr">
        <is>
          <t>that she was your direct</t>
        </is>
      </c>
      <c r="D5395">
        <f>HYPERLINK("https://www.youtube.com/watch?v=AKZSaqp_BJc&amp;t=2027s", "Go to time")</f>
        <v/>
      </c>
    </row>
    <row r="5396">
      <c r="A5396">
        <f>HYPERLINK("https://www.youtube.com/watch?v=QC-C16ZfVs4", "Video")</f>
        <v/>
      </c>
      <c r="B5396" t="inlineStr">
        <is>
          <t>5:10</t>
        </is>
      </c>
      <c r="C5396" t="inlineStr">
        <is>
          <t>no it's going in a different direction</t>
        </is>
      </c>
      <c r="D5396">
        <f>HYPERLINK("https://www.youtube.com/watch?v=QC-C16ZfVs4&amp;t=310s", "Go to time")</f>
        <v/>
      </c>
    </row>
    <row r="5397">
      <c r="A5397">
        <f>HYPERLINK("https://www.youtube.com/watch?v=ZOpf3wpo43w", "Video")</f>
        <v/>
      </c>
      <c r="B5397" t="inlineStr">
        <is>
          <t>12:01</t>
        </is>
      </c>
      <c r="C5397" t="inlineStr">
        <is>
          <t>directly under her the entire time</t>
        </is>
      </c>
      <c r="D5397">
        <f>HYPERLINK("https://www.youtube.com/watch?v=ZOpf3wpo43w&amp;t=721s", "Go to time")</f>
        <v/>
      </c>
    </row>
    <row r="5398">
      <c r="A5398">
        <f>HYPERLINK("https://www.youtube.com/watch?v=ZOpf3wpo43w", "Video")</f>
        <v/>
      </c>
      <c r="B5398" t="inlineStr">
        <is>
          <t>12:08</t>
        </is>
      </c>
      <c r="C5398" t="inlineStr">
        <is>
          <t>she was your direct</t>
        </is>
      </c>
      <c r="D5398">
        <f>HYPERLINK("https://www.youtube.com/watch?v=ZOpf3wpo43w&amp;t=728s", "Go to time")</f>
        <v/>
      </c>
    </row>
    <row r="5399">
      <c r="A5399">
        <f>HYPERLINK("https://www.youtube.com/watch?v=jgliCvYQ4hY", "Video")</f>
        <v/>
      </c>
      <c r="B5399" t="inlineStr">
        <is>
          <t>8:50</t>
        </is>
      </c>
      <c r="C5399" t="inlineStr">
        <is>
          <t>that can ring directly
to a salesman,</t>
        </is>
      </c>
      <c r="D5399">
        <f>HYPERLINK("https://www.youtube.com/watch?v=jgliCvYQ4hY&amp;t=530s", "Go to time")</f>
        <v/>
      </c>
    </row>
    <row r="5400">
      <c r="A5400">
        <f>HYPERLINK("https://www.youtube.com/watch?v=3DMF3ORG6Xg", "Video")</f>
        <v/>
      </c>
      <c r="B5400" t="inlineStr">
        <is>
          <t>1:38</t>
        </is>
      </c>
      <c r="C5400" t="inlineStr">
        <is>
          <t>to keep you distance of direction behold</t>
        </is>
      </c>
      <c r="D5400">
        <f>HYPERLINK("https://www.youtube.com/watch?v=3DMF3ORG6Xg&amp;t=98s", "Go to time")</f>
        <v/>
      </c>
    </row>
    <row r="5401">
      <c r="A5401">
        <f>HYPERLINK("https://www.youtube.com/watch?v=un_qopEY_1o", "Video")</f>
        <v/>
      </c>
      <c r="B5401" t="inlineStr">
        <is>
          <t>9:38</t>
        </is>
      </c>
      <c r="C5401" t="inlineStr">
        <is>
          <t>directly so look out world cuz old Pammy</t>
        </is>
      </c>
      <c r="D5401">
        <f>HYPERLINK("https://www.youtube.com/watch?v=un_qopEY_1o&amp;t=578s", "Go to time")</f>
        <v/>
      </c>
    </row>
    <row r="5402">
      <c r="A5402">
        <f>HYPERLINK("https://www.youtube.com/watch?v=pEFPEw9xd84", "Video")</f>
        <v/>
      </c>
      <c r="B5402" t="inlineStr">
        <is>
          <t>6:31</t>
        </is>
      </c>
      <c r="C5402" t="inlineStr">
        <is>
          <t>directly asking for help you helped his</t>
        </is>
      </c>
      <c r="D5402">
        <f>HYPERLINK("https://www.youtube.com/watch?v=pEFPEw9xd84&amp;t=391s", "Go to time")</f>
        <v/>
      </c>
    </row>
    <row r="5403">
      <c r="A5403">
        <f>HYPERLINK("https://www.youtube.com/watch?v=0f-HOXTHxok", "Video")</f>
        <v/>
      </c>
      <c r="B5403" t="inlineStr">
        <is>
          <t>3:14</t>
        </is>
      </c>
      <c r="C5403" t="inlineStr">
        <is>
          <t>purpose line the liar will avoid direct</t>
        </is>
      </c>
      <c r="D5403">
        <f>HYPERLINK("https://www.youtube.com/watch?v=0f-HOXTHxok&amp;t=194s", "Go to time")</f>
        <v/>
      </c>
    </row>
    <row r="5404">
      <c r="A5404">
        <f>HYPERLINK("https://www.youtube.com/watch?v=-gTQWOk6dkg", "Video")</f>
        <v/>
      </c>
      <c r="B5404" t="inlineStr">
        <is>
          <t>10:35</t>
        </is>
      </c>
      <c r="C5404" t="inlineStr">
        <is>
          <t>you're moving in the wrong direction I</t>
        </is>
      </c>
      <c r="D5404">
        <f>HYPERLINK("https://www.youtube.com/watch?v=-gTQWOk6dkg&amp;t=635s", "Go to time")</f>
        <v/>
      </c>
    </row>
    <row r="5405">
      <c r="A5405">
        <f>HYPERLINK("https://www.youtube.com/watch?v=7XmgCljZFWU", "Video")</f>
        <v/>
      </c>
      <c r="B5405" t="inlineStr">
        <is>
          <t>0:50</t>
        </is>
      </c>
      <c r="C5405" t="inlineStr">
        <is>
          <t>whomever meaning us the indirect object</t>
        </is>
      </c>
      <c r="D5405">
        <f>HYPERLINK("https://www.youtube.com/watch?v=7XmgCljZFWU&amp;t=50s", "Go to time")</f>
        <v/>
      </c>
    </row>
    <row r="5406">
      <c r="A5406">
        <f>HYPERLINK("https://www.youtube.com/watch?v=MHYIGXJsvM0", "Video")</f>
        <v/>
      </c>
      <c r="B5406" t="inlineStr">
        <is>
          <t>2:14</t>
        </is>
      </c>
      <c r="C5406" t="inlineStr">
        <is>
          <t>directly Oh what that's a great idea</t>
        </is>
      </c>
      <c r="D5406">
        <f>HYPERLINK("https://www.youtube.com/watch?v=MHYIGXJsvM0&amp;t=134s", "Go to time")</f>
        <v/>
      </c>
    </row>
    <row r="5407">
      <c r="A5407">
        <f>HYPERLINK("https://www.youtube.com/watch?v=MHYIGXJsvM0", "Video")</f>
        <v/>
      </c>
      <c r="B5407" t="inlineStr">
        <is>
          <t>2:22</t>
        </is>
      </c>
      <c r="C5407" t="inlineStr">
        <is>
          <t>we'll talk to Michael directly so</t>
        </is>
      </c>
      <c r="D5407">
        <f>HYPERLINK("https://www.youtube.com/watch?v=MHYIGXJsvM0&amp;t=142s", "Go to time")</f>
        <v/>
      </c>
    </row>
    <row r="5408">
      <c r="A5408">
        <f>HYPERLINK("https://www.youtube.com/watch?v=V3GbCByGltU", "Video")</f>
        <v/>
      </c>
      <c r="B5408" t="inlineStr">
        <is>
          <t>0:12</t>
        </is>
      </c>
      <c r="C5408" t="inlineStr">
        <is>
          <t>months and you were directly under her</t>
        </is>
      </c>
      <c r="D5408">
        <f>HYPERLINK("https://www.youtube.com/watch?v=V3GbCByGltU&amp;t=12s", "Go to time")</f>
        <v/>
      </c>
    </row>
    <row r="5409">
      <c r="A5409">
        <f>HYPERLINK("https://www.youtube.com/watch?v=V3GbCByGltU", "Video")</f>
        <v/>
      </c>
      <c r="B5409" t="inlineStr">
        <is>
          <t>0:18</t>
        </is>
      </c>
      <c r="C5409" t="inlineStr">
        <is>
          <t>miss Levinson that she was your direct</t>
        </is>
      </c>
      <c r="D5409">
        <f>HYPERLINK("https://www.youtube.com/watch?v=V3GbCByGltU&amp;t=18s", "Go to time")</f>
        <v/>
      </c>
    </row>
    <row r="5410">
      <c r="A5410">
        <f>HYPERLINK("https://www.youtube.com/watch?v=V3GbCByGltU", "Video")</f>
        <v/>
      </c>
      <c r="B5410" t="inlineStr">
        <is>
          <t>0:50</t>
        </is>
      </c>
      <c r="C5410" t="inlineStr">
        <is>
          <t>Schneider and you were directly under</t>
        </is>
      </c>
      <c r="D5410">
        <f>HYPERLINK("https://www.youtube.com/watch?v=V3GbCByGltU&amp;t=50s", "Go to time")</f>
        <v/>
      </c>
    </row>
    <row r="5411">
      <c r="A5411">
        <f>HYPERLINK("https://www.youtube.com/watch?v=AeZ6a1A0-ow", "Video")</f>
        <v/>
      </c>
      <c r="B5411" t="inlineStr">
        <is>
          <t>7:58</t>
        </is>
      </c>
      <c r="C5411" t="inlineStr">
        <is>
          <t>Um, I was walking to the building and this man asked me for directions,</t>
        </is>
      </c>
      <c r="D5411">
        <f>HYPERLINK("https://www.youtube.com/watch?v=AeZ6a1A0-ow&amp;t=478s", "Go to time")</f>
        <v/>
      </c>
    </row>
    <row r="5412">
      <c r="A5412">
        <f>HYPERLINK("https://www.youtube.com/watch?v=9Zp8UlxyjQ4", "Video")</f>
        <v/>
      </c>
      <c r="B5412" t="inlineStr">
        <is>
          <t>44:13</t>
        </is>
      </c>
      <c r="C5412" t="inlineStr">
        <is>
          <t>in direct sunlight so what Andy you want</t>
        </is>
      </c>
      <c r="D5412">
        <f>HYPERLINK("https://www.youtube.com/watch?v=9Zp8UlxyjQ4&amp;t=2653s", "Go to time")</f>
        <v/>
      </c>
    </row>
    <row r="5413">
      <c r="A5413">
        <f>HYPERLINK("https://www.youtube.com/watch?v=EoKN59Cl8Qk", "Video")</f>
        <v/>
      </c>
      <c r="B5413" t="inlineStr">
        <is>
          <t>0:54</t>
        </is>
      </c>
      <c r="C5413" t="inlineStr">
        <is>
          <t>meaning us the indirect object which is</t>
        </is>
      </c>
      <c r="D5413">
        <f>HYPERLINK("https://www.youtube.com/watch?v=EoKN59Cl8Qk&amp;t=54s", "Go to time")</f>
        <v/>
      </c>
    </row>
    <row r="5414">
      <c r="A5414">
        <f>HYPERLINK("https://www.youtube.com/watch?v=qTtFVmSUyV8", "Video")</f>
        <v/>
      </c>
      <c r="B5414" t="inlineStr">
        <is>
          <t>1:12</t>
        </is>
      </c>
      <c r="C5414" t="inlineStr">
        <is>
          <t>Nigeria emails you directly asking for</t>
        </is>
      </c>
      <c r="D5414">
        <f>HYPERLINK("https://www.youtube.com/watch?v=qTtFVmSUyV8&amp;t=72s", "Go to time")</f>
        <v/>
      </c>
    </row>
    <row r="5415">
      <c r="A5415">
        <f>HYPERLINK("https://www.youtube.com/watch?v=2au97QqaLQU", "Video")</f>
        <v/>
      </c>
      <c r="B5415" t="inlineStr">
        <is>
          <t>8:51</t>
        </is>
      </c>
      <c r="C5415" t="inlineStr">
        <is>
          <t>director of office purchasing for this</t>
        </is>
      </c>
      <c r="D5415">
        <f>HYPERLINK("https://www.youtube.com/watch?v=2au97QqaLQU&amp;t=531s", "Go to time")</f>
        <v/>
      </c>
    </row>
    <row r="5416">
      <c r="A5416">
        <f>HYPERLINK("https://www.youtube.com/watch?v=_Om_t7orYRk", "Video")</f>
        <v/>
      </c>
      <c r="B5416" t="inlineStr">
        <is>
          <t>9:02</t>
        </is>
      </c>
      <c r="C5416" t="inlineStr">
        <is>
          <t>and you were directly under her the</t>
        </is>
      </c>
      <c r="D5416">
        <f>HYPERLINK("https://www.youtube.com/watch?v=_Om_t7orYRk&amp;t=542s", "Go to time")</f>
        <v/>
      </c>
    </row>
    <row r="5417">
      <c r="A5417">
        <f>HYPERLINK("https://www.youtube.com/watch?v=_Om_t7orYRk", "Video")</f>
        <v/>
      </c>
      <c r="B5417" t="inlineStr">
        <is>
          <t>9:09</t>
        </is>
      </c>
      <c r="C5417" t="inlineStr">
        <is>
          <t>told you that she was your direct</t>
        </is>
      </c>
      <c r="D5417">
        <f>HYPERLINK("https://www.youtube.com/watch?v=_Om_t7orYRk&amp;t=549s", "Go to time")</f>
        <v/>
      </c>
    </row>
    <row r="5418">
      <c r="A5418">
        <f>HYPERLINK("https://www.youtube.com/watch?v=lI7qtMDveBs", "Video")</f>
        <v/>
      </c>
      <c r="B5418" t="inlineStr">
        <is>
          <t>1:42</t>
        </is>
      </c>
      <c r="C5418" t="inlineStr">
        <is>
          <t>Mr Schneider and you were directly under</t>
        </is>
      </c>
      <c r="D5418">
        <f>HYPERLINK("https://www.youtube.com/watch?v=lI7qtMDveBs&amp;t=102s", "Go to time")</f>
        <v/>
      </c>
    </row>
    <row r="5419">
      <c r="A5419">
        <f>HYPERLINK("https://www.youtube.com/watch?v=VxjbtDGgkt4", "Video")</f>
        <v/>
      </c>
      <c r="B5419" t="inlineStr">
        <is>
          <t>1:26</t>
        </is>
      </c>
      <c r="C5419" t="inlineStr">
        <is>
          <t>directly with big box chains this is a</t>
        </is>
      </c>
      <c r="D5419">
        <f>HYPERLINK("https://www.youtube.com/watch?v=VxjbtDGgkt4&amp;t=86s", "Go to time")</f>
        <v/>
      </c>
    </row>
    <row r="5420">
      <c r="A5420">
        <f>HYPERLINK("https://www.youtube.com/watch?v=F1wodhJ-qFo", "Video")</f>
        <v/>
      </c>
      <c r="B5420" t="inlineStr">
        <is>
          <t>1:18</t>
        </is>
      </c>
      <c r="C5420" t="inlineStr">
        <is>
          <t>this is directly in a blind spot so i'm</t>
        </is>
      </c>
      <c r="D5420">
        <f>HYPERLINK("https://www.youtube.com/watch?v=F1wodhJ-qFo&amp;t=78s", "Go to time")</f>
        <v/>
      </c>
    </row>
    <row r="5421">
      <c r="A5421">
        <f>HYPERLINK("https://www.youtube.com/watch?v=hB1cIRfpjyU", "Video")</f>
        <v/>
      </c>
      <c r="B5421" t="inlineStr">
        <is>
          <t>22:36</t>
        </is>
      </c>
      <c r="C5421" t="inlineStr">
        <is>
          <t>it's going in a different direction than</t>
        </is>
      </c>
      <c r="D5421">
        <f>HYPERLINK("https://www.youtube.com/watch?v=hB1cIRfpjyU&amp;t=1356s", "Go to time")</f>
        <v/>
      </c>
    </row>
    <row r="5422">
      <c r="A5422">
        <f>HYPERLINK("https://www.youtube.com/watch?v=k7DC-0HeniU", "Video")</f>
        <v/>
      </c>
      <c r="B5422" t="inlineStr">
        <is>
          <t>4:13</t>
        </is>
      </c>
      <c r="C5422" t="inlineStr">
        <is>
          <t>directly under her the entire time</t>
        </is>
      </c>
      <c r="D5422">
        <f>HYPERLINK("https://www.youtube.com/watch?v=k7DC-0HeniU&amp;t=253s", "Go to time")</f>
        <v/>
      </c>
    </row>
    <row r="5423">
      <c r="A5423">
        <f>HYPERLINK("https://www.youtube.com/watch?v=k7DC-0HeniU", "Video")</f>
        <v/>
      </c>
      <c r="B5423" t="inlineStr">
        <is>
          <t>4:19</t>
        </is>
      </c>
      <c r="C5423" t="inlineStr">
        <is>
          <t>Levinson that she was your direct</t>
        </is>
      </c>
      <c r="D5423">
        <f>HYPERLINK("https://www.youtube.com/watch?v=k7DC-0HeniU&amp;t=259s", "Go to time")</f>
        <v/>
      </c>
    </row>
    <row r="5424">
      <c r="A5424">
        <f>HYPERLINK("https://www.youtube.com/watch?v=CZZrFC2MFAw", "Video")</f>
        <v/>
      </c>
      <c r="B5424" t="inlineStr">
        <is>
          <t>14:25</t>
        </is>
      </c>
      <c r="C5424" t="inlineStr">
        <is>
          <t>moving in the wrong direction I don't</t>
        </is>
      </c>
      <c r="D5424">
        <f>HYPERLINK("https://www.youtube.com/watch?v=CZZrFC2MFAw&amp;t=865s", "Go to time")</f>
        <v/>
      </c>
    </row>
    <row r="5425">
      <c r="A5425">
        <f>HYPERLINK("https://www.youtube.com/watch?v=_ives5m1cgw", "Video")</f>
        <v/>
      </c>
      <c r="B5425" t="inlineStr">
        <is>
          <t>0:42</t>
        </is>
      </c>
      <c r="C5425" t="inlineStr">
        <is>
          <t>Direction so</t>
        </is>
      </c>
      <c r="D5425">
        <f>HYPERLINK("https://www.youtube.com/watch?v=_ives5m1cgw&amp;t=42s", "Go to time")</f>
        <v/>
      </c>
    </row>
    <row r="5426">
      <c r="A5426">
        <f>HYPERLINK("https://www.youtube.com/watch?v=5zK80BaSReA", "Video")</f>
        <v/>
      </c>
      <c r="B5426" t="inlineStr">
        <is>
          <t>1:58</t>
        </is>
      </c>
      <c r="C5426" t="inlineStr">
        <is>
          <t>and pouring it directly into your nose</t>
        </is>
      </c>
      <c r="D5426">
        <f>HYPERLINK("https://www.youtube.com/watch?v=5zK80BaSReA&amp;t=118s", "Go to time")</f>
        <v/>
      </c>
    </row>
    <row r="5427">
      <c r="A5427">
        <f>HYPERLINK("https://www.youtube.com/watch?v=V8Yej-0luJo", "Video")</f>
        <v/>
      </c>
      <c r="B5427" t="inlineStr">
        <is>
          <t>10:41</t>
        </is>
      </c>
      <c r="C5427" t="inlineStr">
        <is>
          <t>we're directly under her the entire time</t>
        </is>
      </c>
      <c r="D5427">
        <f>HYPERLINK("https://www.youtube.com/watch?v=V8Yej-0luJo&amp;t=641s", "Go to time")</f>
        <v/>
      </c>
    </row>
    <row r="5428">
      <c r="A5428">
        <f>HYPERLINK("https://www.youtube.com/watch?v=V8Yej-0luJo", "Video")</f>
        <v/>
      </c>
      <c r="B5428" t="inlineStr">
        <is>
          <t>10:48</t>
        </is>
      </c>
      <c r="C5428" t="inlineStr">
        <is>
          <t>she was your direct Superior a lot oh</t>
        </is>
      </c>
      <c r="D5428">
        <f>HYPERLINK("https://www.youtube.com/watch?v=V8Yej-0luJo&amp;t=648s", "Go to time")</f>
        <v/>
      </c>
    </row>
    <row r="5429">
      <c r="A5429">
        <f>HYPERLINK("https://www.youtube.com/watch?v=V8Yej-0luJo", "Video")</f>
        <v/>
      </c>
      <c r="B5429" t="inlineStr">
        <is>
          <t>30:56</t>
        </is>
      </c>
      <c r="C5429" t="inlineStr">
        <is>
          <t>oh I love staring off in One Direction</t>
        </is>
      </c>
      <c r="D5429">
        <f>HYPERLINK("https://www.youtube.com/watch?v=V8Yej-0luJo&amp;t=1856s", "Go to time")</f>
        <v/>
      </c>
    </row>
    <row r="5430">
      <c r="A5430">
        <f>HYPERLINK("https://www.youtube.com/watch?v=Eo8RzH-6Tfw", "Video")</f>
        <v/>
      </c>
      <c r="B5430" t="inlineStr">
        <is>
          <t>2:48</t>
        </is>
      </c>
      <c r="C5430" t="inlineStr">
        <is>
          <t>perp is lying the liar will avoid direct</t>
        </is>
      </c>
      <c r="D5430">
        <f>HYPERLINK("https://www.youtube.com/watch?v=Eo8RzH-6Tfw&amp;t=168s", "Go to time")</f>
        <v/>
      </c>
    </row>
    <row r="5431">
      <c r="A5431">
        <f>HYPERLINK("https://www.youtube.com/watch?v=m90aWKOfu6k", "Video")</f>
        <v/>
      </c>
      <c r="B5431" t="inlineStr">
        <is>
          <t>17:52</t>
        </is>
      </c>
      <c r="C5431" t="inlineStr">
        <is>
          <t>directions and he was holding a map and</t>
        </is>
      </c>
      <c r="D5431">
        <f>HYPERLINK("https://www.youtube.com/watch?v=m90aWKOfu6k&amp;t=1072s", "Go to time")</f>
        <v/>
      </c>
    </row>
    <row r="5432">
      <c r="A5432">
        <f>HYPERLINK("https://www.youtube.com/watch?v=mRox23WtU_4", "Video")</f>
        <v/>
      </c>
      <c r="B5432" t="inlineStr">
        <is>
          <t>5:48</t>
        </is>
      </c>
      <c r="C5432" t="inlineStr">
        <is>
          <t>When the son of the deposed king
of Nigeria emails you directly</t>
        </is>
      </c>
      <c r="D5432">
        <f>HYPERLINK("https://www.youtube.com/watch?v=mRox23WtU_4&amp;t=348s", "Go to time")</f>
        <v/>
      </c>
    </row>
    <row r="5433">
      <c r="A5433">
        <f>HYPERLINK("https://www.youtube.com/watch?v=C6Y2sJR-zGw", "Video")</f>
        <v/>
      </c>
      <c r="B5433" t="inlineStr">
        <is>
          <t>2:14</t>
        </is>
      </c>
      <c r="C5433" t="inlineStr">
        <is>
          <t>directly Oh what that's a great idea</t>
        </is>
      </c>
      <c r="D5433">
        <f>HYPERLINK("https://www.youtube.com/watch?v=C6Y2sJR-zGw&amp;t=134s", "Go to time")</f>
        <v/>
      </c>
    </row>
    <row r="5434">
      <c r="A5434">
        <f>HYPERLINK("https://www.youtube.com/watch?v=C6Y2sJR-zGw", "Video")</f>
        <v/>
      </c>
      <c r="B5434" t="inlineStr">
        <is>
          <t>2:22</t>
        </is>
      </c>
      <c r="C5434" t="inlineStr">
        <is>
          <t>we'll talk to Michael directly so</t>
        </is>
      </c>
      <c r="D5434">
        <f>HYPERLINK("https://www.youtube.com/watch?v=C6Y2sJR-zGw&amp;t=142s", "Go to time")</f>
        <v/>
      </c>
    </row>
    <row r="5435">
      <c r="A5435">
        <f>HYPERLINK("https://www.youtube.com/watch?v=hWl2HQh1MG8", "Video")</f>
        <v/>
      </c>
      <c r="B5435" t="inlineStr">
        <is>
          <t>2:20</t>
        </is>
      </c>
      <c r="C5435" t="inlineStr">
        <is>
          <t>directly to the tester just</t>
        </is>
      </c>
      <c r="D5435">
        <f>HYPERLINK("https://www.youtube.com/watch?v=hWl2HQh1MG8&amp;t=140s", "Go to time")</f>
        <v/>
      </c>
    </row>
    <row r="5436">
      <c r="A5436">
        <f>HYPERLINK("https://www.youtube.com/watch?v=01nThEwrQsQ", "Video")</f>
        <v/>
      </c>
      <c r="B5436" t="inlineStr">
        <is>
          <t>1:42</t>
        </is>
      </c>
      <c r="C5436" t="inlineStr">
        <is>
          <t>different direction than the other wires</t>
        </is>
      </c>
      <c r="D5436">
        <f>HYPERLINK("https://www.youtube.com/watch?v=01nThEwrQsQ&amp;t=102s", "Go to time")</f>
        <v/>
      </c>
    </row>
    <row r="5437">
      <c r="A5437">
        <f>HYPERLINK("https://www.youtube.com/watch?v=Dmp0ieI4GEg", "Video")</f>
        <v/>
      </c>
      <c r="B5437" t="inlineStr">
        <is>
          <t>0:09</t>
        </is>
      </c>
      <c r="C5437" t="inlineStr">
        <is>
          <t>moving in the wrong direction I don't</t>
        </is>
      </c>
      <c r="D5437">
        <f>HYPERLINK("https://www.youtube.com/watch?v=Dmp0ieI4GEg&amp;t=9s", "Go to time")</f>
        <v/>
      </c>
    </row>
    <row r="5438">
      <c r="A5438">
        <f>HYPERLINK("https://www.youtube.com/watch?v=zTYSTk8iLsM", "Video")</f>
        <v/>
      </c>
      <c r="B5438" t="inlineStr">
        <is>
          <t>5:06</t>
        </is>
      </c>
      <c r="C5438" t="inlineStr">
        <is>
          <t>direct eye contact the liar will cover</t>
        </is>
      </c>
      <c r="D5438">
        <f>HYPERLINK("https://www.youtube.com/watch?v=zTYSTk8iLsM&amp;t=306s", "Go to time")</f>
        <v/>
      </c>
    </row>
    <row r="5439">
      <c r="A5439">
        <f>HYPERLINK("https://www.youtube.com/watch?v=YIfYkzQtZb4", "Video")</f>
        <v/>
      </c>
      <c r="B5439" t="inlineStr">
        <is>
          <t>5:25</t>
        </is>
      </c>
      <c r="C5439" t="inlineStr">
        <is>
          <t>whomever meaning us the indirect object</t>
        </is>
      </c>
      <c r="D5439">
        <f>HYPERLINK("https://www.youtube.com/watch?v=YIfYkzQtZb4&amp;t=325s", "Go to time")</f>
        <v/>
      </c>
    </row>
    <row r="5440">
      <c r="A5440">
        <f>HYPERLINK("https://www.youtube.com/watch?v=EpSmkaEtJIU", "Video")</f>
        <v/>
      </c>
      <c r="B5440" t="inlineStr">
        <is>
          <t>0:26</t>
        </is>
      </c>
      <c r="C5440" t="inlineStr">
        <is>
          <t>gone and it's not in direct sunlight so</t>
        </is>
      </c>
      <c r="D5440">
        <f>HYPERLINK("https://www.youtube.com/watch?v=EpSmkaEtJIU&amp;t=26s", "Go to time")</f>
        <v/>
      </c>
    </row>
    <row r="5441">
      <c r="A5441">
        <f>HYPERLINK("https://www.youtube.com/watch?v=btxGjqaFcZY", "Video")</f>
        <v/>
      </c>
      <c r="B5441" t="inlineStr">
        <is>
          <t>2:58</t>
        </is>
      </c>
      <c r="C5441" t="inlineStr">
        <is>
          <t>directions cuz if if not I just grabbed</t>
        </is>
      </c>
      <c r="D5441">
        <f>HYPERLINK("https://www.youtube.com/watch?v=btxGjqaFcZY&amp;t=178s", "Go to time")</f>
        <v/>
      </c>
    </row>
    <row r="5442">
      <c r="A5442">
        <f>HYPERLINK("https://www.youtube.com/watch?v=bpU2QwWvupg", "Video")</f>
        <v/>
      </c>
      <c r="B5442" t="inlineStr">
        <is>
          <t>26:15</t>
        </is>
      </c>
      <c r="C5442" t="inlineStr">
        <is>
          <t>Nigeria emails you directly asking for</t>
        </is>
      </c>
      <c r="D5442">
        <f>HYPERLINK("https://www.youtube.com/watch?v=bpU2QwWvupg&amp;t=1575s", "Go to time")</f>
        <v/>
      </c>
    </row>
    <row r="5443">
      <c r="A5443">
        <f>HYPERLINK("https://www.youtube.com/watch?v=8s-Ca1n1vW8", "Video")</f>
        <v/>
      </c>
      <c r="B5443" t="inlineStr">
        <is>
          <t>8:45</t>
        </is>
      </c>
      <c r="C5443" t="inlineStr">
        <is>
          <t>moving in the wrong direction I don't</t>
        </is>
      </c>
      <c r="D5443">
        <f>HYPERLINK("https://www.youtube.com/watch?v=8s-Ca1n1vW8&amp;t=525s", "Go to time")</f>
        <v/>
      </c>
    </row>
    <row r="5444">
      <c r="A5444">
        <f>HYPERLINK("https://www.youtube.com/watch?v=TtlqZq2eCcY", "Video")</f>
        <v/>
      </c>
      <c r="B5444" t="inlineStr">
        <is>
          <t>6:23</t>
        </is>
      </c>
      <c r="C5444" t="inlineStr">
        <is>
          <t>it's going in a different direction than</t>
        </is>
      </c>
      <c r="D5444">
        <f>HYPERLINK("https://www.youtube.com/watch?v=TtlqZq2eCcY&amp;t=383s", "Go to time")</f>
        <v/>
      </c>
    </row>
    <row r="5445">
      <c r="A5445">
        <f>HYPERLINK("https://www.youtube.com/watch?v=YYUyGZMJTSc", "Video")</f>
        <v/>
      </c>
      <c r="B5445" t="inlineStr">
        <is>
          <t>3:43</t>
        </is>
      </c>
      <c r="C5445" t="inlineStr">
        <is>
          <t>direction that's all I'm tired Michael</t>
        </is>
      </c>
      <c r="D5445">
        <f>HYPERLINK("https://www.youtube.com/watch?v=YYUyGZMJTSc&amp;t=223s", "Go to time")</f>
        <v/>
      </c>
    </row>
    <row r="5446">
      <c r="A5446">
        <f>HYPERLINK("https://www.youtube.com/watch?v=fAymQ5oLhKE", "Video")</f>
        <v/>
      </c>
      <c r="B5446" t="inlineStr">
        <is>
          <t>2:51</t>
        </is>
      </c>
      <c r="C5446" t="inlineStr">
        <is>
          <t>directions cuz if not I just grabbed a</t>
        </is>
      </c>
      <c r="D5446">
        <f>HYPERLINK("https://www.youtube.com/watch?v=fAymQ5oLhKE&amp;t=171s", "Go to time")</f>
        <v/>
      </c>
    </row>
    <row r="5447">
      <c r="A5447">
        <f>HYPERLINK("https://www.youtube.com/watch?v=8eGx5U2_Mj0", "Video")</f>
        <v/>
      </c>
      <c r="B5447" t="inlineStr">
        <is>
          <t>3:03</t>
        </is>
      </c>
      <c r="C5447" t="inlineStr">
        <is>
          <t>this is misdirected anger and I'm sorry</t>
        </is>
      </c>
      <c r="D5447">
        <f>HYPERLINK("https://www.youtube.com/watch?v=8eGx5U2_Mj0&amp;t=183s", "Go to time")</f>
        <v/>
      </c>
    </row>
    <row r="5448">
      <c r="A5448">
        <f>HYPERLINK("https://www.youtube.com/watch?v=qfnbZOReFYs", "Video")</f>
        <v/>
      </c>
      <c r="B5448" t="inlineStr">
        <is>
          <t>0:10</t>
        </is>
      </c>
      <c r="C5448" t="inlineStr">
        <is>
          <t>manager Andy Bernard regional director</t>
        </is>
      </c>
      <c r="D5448">
        <f>HYPERLINK("https://www.youtube.com/watch?v=qfnbZOReFYs&amp;t=10s", "Go to time")</f>
        <v/>
      </c>
    </row>
    <row r="5449">
      <c r="A5449">
        <f>HYPERLINK("https://www.youtube.com/watch?v=qfnbZOReFYs", "Video")</f>
        <v/>
      </c>
      <c r="B5449" t="inlineStr">
        <is>
          <t>0:18</t>
        </is>
      </c>
      <c r="C5449" t="inlineStr">
        <is>
          <t>director which on a film set is the</t>
        </is>
      </c>
      <c r="D5449">
        <f>HYPERLINK("https://www.youtube.com/watch?v=qfnbZOReFYs&amp;t=18s", "Go to time")</f>
        <v/>
      </c>
    </row>
    <row r="5450">
      <c r="A5450">
        <f>HYPERLINK("https://www.youtube.com/watch?v=iahcJPo9Dwg", "Video")</f>
        <v/>
      </c>
      <c r="B5450" t="inlineStr">
        <is>
          <t>0:27</t>
        </is>
      </c>
      <c r="C5450" t="inlineStr">
        <is>
          <t>off you're moving in the wrong direction</t>
        </is>
      </c>
      <c r="D5450">
        <f>HYPERLINK("https://www.youtube.com/watch?v=iahcJPo9Dwg&amp;t=27s", "Go to time")</f>
        <v/>
      </c>
    </row>
    <row r="5451">
      <c r="A5451">
        <f>HYPERLINK("https://www.youtube.com/watch?v=eRW4yRH3xhs", "Video")</f>
        <v/>
      </c>
      <c r="B5451" t="inlineStr">
        <is>
          <t>8:49</t>
        </is>
      </c>
      <c r="C5451" t="inlineStr">
        <is>
          <t>it's going in a different direction than</t>
        </is>
      </c>
      <c r="D5451">
        <f>HYPERLINK("https://www.youtube.com/watch?v=eRW4yRH3xhs&amp;t=529s", "Go to time")</f>
        <v/>
      </c>
    </row>
    <row r="5452">
      <c r="A5452">
        <f>HYPERLINK("https://www.youtube.com/watch?v=TVQgSIlN4no", "Video")</f>
        <v/>
      </c>
      <c r="B5452" t="inlineStr">
        <is>
          <t>3:22</t>
        </is>
      </c>
      <c r="C5452" t="inlineStr">
        <is>
          <t>want from me and you were directly under</t>
        </is>
      </c>
      <c r="D5452">
        <f>HYPERLINK("https://www.youtube.com/watch?v=TVQgSIlN4no&amp;t=202s", "Go to time")</f>
        <v/>
      </c>
    </row>
    <row r="5453">
      <c r="A5453">
        <f>HYPERLINK("https://www.youtube.com/watch?v=TVQgSIlN4no", "Video")</f>
        <v/>
      </c>
      <c r="B5453" t="inlineStr">
        <is>
          <t>3:31</t>
        </is>
      </c>
      <c r="C5453" t="inlineStr">
        <is>
          <t>direct</t>
        </is>
      </c>
      <c r="D5453">
        <f>HYPERLINK("https://www.youtube.com/watch?v=TVQgSIlN4no&amp;t=211s", "Go to time")</f>
        <v/>
      </c>
    </row>
    <row r="5454">
      <c r="A5454">
        <f>HYPERLINK("https://www.youtube.com/watch?v=B72XpA6OeLI", "Video")</f>
        <v/>
      </c>
      <c r="B5454" t="inlineStr">
        <is>
          <t>0:46</t>
        </is>
      </c>
      <c r="C5454" t="inlineStr">
        <is>
          <t>said and you were directly under her the</t>
        </is>
      </c>
      <c r="D5454">
        <f>HYPERLINK("https://www.youtube.com/watch?v=B72XpA6OeLI&amp;t=46s", "Go to time")</f>
        <v/>
      </c>
    </row>
    <row r="5455">
      <c r="A5455">
        <f>HYPERLINK("https://www.youtube.com/watch?v=B72XpA6OeLI", "Video")</f>
        <v/>
      </c>
      <c r="B5455" t="inlineStr">
        <is>
          <t>0:54</t>
        </is>
      </c>
      <c r="C5455" t="inlineStr">
        <is>
          <t>told you that she was your direct</t>
        </is>
      </c>
      <c r="D5455">
        <f>HYPERLINK("https://www.youtube.com/watch?v=B72XpA6OeLI&amp;t=54s", "Go to time")</f>
        <v/>
      </c>
    </row>
    <row r="5456">
      <c r="A5456">
        <f>HYPERLINK("https://www.youtube.com/watch?v=zlkCM_jBirg", "Video")</f>
        <v/>
      </c>
      <c r="B5456" t="inlineStr">
        <is>
          <t>2:47</t>
        </is>
      </c>
      <c r="C5456" t="inlineStr">
        <is>
          <t>on his bio apparently the director</t>
        </is>
      </c>
      <c r="D5456">
        <f>HYPERLINK("https://www.youtube.com/watch?v=zlkCM_jBirg&amp;t=167s", "Go to time")</f>
        <v/>
      </c>
    </row>
    <row r="5457">
      <c r="A5457">
        <f>HYPERLINK("https://www.youtube.com/watch?v=IBJJrZ5LAVQ", "Video")</f>
        <v/>
      </c>
      <c r="B5457" t="inlineStr">
        <is>
          <t>7:39</t>
        </is>
      </c>
      <c r="C5457" t="inlineStr">
        <is>
          <t>directly asking for help you helped his</t>
        </is>
      </c>
      <c r="D5457">
        <f>HYPERLINK("https://www.youtube.com/watch?v=IBJJrZ5LAVQ&amp;t=459s", "Go to time")</f>
        <v/>
      </c>
    </row>
    <row r="5458">
      <c r="A5458">
        <f>HYPERLINK("https://www.youtube.com/watch?v=y5jchMm0Ae8", "Video")</f>
        <v/>
      </c>
      <c r="B5458" t="inlineStr">
        <is>
          <t>6:00</t>
        </is>
      </c>
      <c r="C5458" t="inlineStr">
        <is>
          <t>to whomever meaning us the indirect</t>
        </is>
      </c>
      <c r="D5458">
        <f>HYPERLINK("https://www.youtube.com/watch?v=y5jchMm0Ae8&amp;t=360s", "Go to time")</f>
        <v/>
      </c>
    </row>
    <row r="5459">
      <c r="A5459">
        <f>HYPERLINK("https://www.youtube.com/watch?v=UmsbTXtfXBg", "Video")</f>
        <v/>
      </c>
      <c r="B5459" t="inlineStr">
        <is>
          <t>4:18</t>
        </is>
      </c>
      <c r="C5459" t="inlineStr">
        <is>
          <t>Nigeria emails you directly asking for</t>
        </is>
      </c>
      <c r="D5459">
        <f>HYPERLINK("https://www.youtube.com/watch?v=UmsbTXtfXBg&amp;t=258s", "Go to time")</f>
        <v/>
      </c>
    </row>
    <row r="5460">
      <c r="A5460">
        <f>HYPERLINK("https://www.youtube.com/watch?v=UmsbTXtfXBg", "Video")</f>
        <v/>
      </c>
      <c r="B5460" t="inlineStr">
        <is>
          <t>45:43</t>
        </is>
      </c>
      <c r="C5460" t="inlineStr">
        <is>
          <t>working directly beneath you I feel I</t>
        </is>
      </c>
      <c r="D5460">
        <f>HYPERLINK("https://www.youtube.com/watch?v=UmsbTXtfXBg&amp;t=2743s", "Go to time")</f>
        <v/>
      </c>
    </row>
    <row r="5461">
      <c r="A5461">
        <f>HYPERLINK("https://www.youtube.com/watch?v=UmsbTXtfXBg", "Video")</f>
        <v/>
      </c>
      <c r="B5461" t="inlineStr">
        <is>
          <t>94:28</t>
        </is>
      </c>
      <c r="C5461" t="inlineStr">
        <is>
          <t>no it's going in a different direction</t>
        </is>
      </c>
      <c r="D5461">
        <f>HYPERLINK("https://www.youtube.com/watch?v=UmsbTXtfXBg&amp;t=5668s", "Go to time")</f>
        <v/>
      </c>
    </row>
    <row r="5462">
      <c r="A5462">
        <f>HYPERLINK("https://www.youtube.com/watch?v=UmsbTXtfXBg", "Video")</f>
        <v/>
      </c>
      <c r="B5462" t="inlineStr">
        <is>
          <t>103:31</t>
        </is>
      </c>
      <c r="C5462" t="inlineStr">
        <is>
          <t>that can ring directly to a Salesman or</t>
        </is>
      </c>
      <c r="D5462">
        <f>HYPERLINK("https://www.youtube.com/watch?v=UmsbTXtfXBg&amp;t=6211s", "Go to time")</f>
        <v/>
      </c>
    </row>
    <row r="5463">
      <c r="A5463">
        <f>HYPERLINK("https://www.youtube.com/watch?v=UmsbTXtfXBg", "Video")</f>
        <v/>
      </c>
      <c r="B5463" t="inlineStr">
        <is>
          <t>197:05</t>
        </is>
      </c>
      <c r="C5463" t="inlineStr">
        <is>
          <t>direct sunlight so what Andy you want to</t>
        </is>
      </c>
      <c r="D5463">
        <f>HYPERLINK("https://www.youtube.com/watch?v=UmsbTXtfXBg&amp;t=11825s", "Go to time")</f>
        <v/>
      </c>
    </row>
    <row r="5464">
      <c r="A5464">
        <f>HYPERLINK("https://www.youtube.com/watch?v=LTzCguAEeCQ", "Video")</f>
        <v/>
      </c>
      <c r="B5464" t="inlineStr">
        <is>
          <t>8:27</t>
        </is>
      </c>
      <c r="C5464" t="inlineStr">
        <is>
          <t>another Direction good I'm glad we're on</t>
        </is>
      </c>
      <c r="D5464">
        <f>HYPERLINK("https://www.youtube.com/watch?v=LTzCguAEeCQ&amp;t=507s", "Go to time")</f>
        <v/>
      </c>
    </row>
    <row r="5465">
      <c r="A5465">
        <f>HYPERLINK("https://www.youtube.com/watch?v=LTzCguAEeCQ", "Video")</f>
        <v/>
      </c>
      <c r="B5465" t="inlineStr">
        <is>
          <t>8:30</t>
        </is>
      </c>
      <c r="C5465" t="inlineStr">
        <is>
          <t>new directions no</t>
        </is>
      </c>
      <c r="D5465">
        <f>HYPERLINK("https://www.youtube.com/watch?v=LTzCguAEeCQ&amp;t=510s", "Go to time")</f>
        <v/>
      </c>
    </row>
    <row r="5466">
      <c r="A5466">
        <f>HYPERLINK("https://www.youtube.com/watch?v=wYIOhQeaDQI", "Video")</f>
        <v/>
      </c>
      <c r="B5466" t="inlineStr">
        <is>
          <t>1:38</t>
        </is>
      </c>
      <c r="C5466" t="inlineStr">
        <is>
          <t>direct sunlight so what Andy you want to</t>
        </is>
      </c>
      <c r="D5466">
        <f>HYPERLINK("https://www.youtube.com/watch?v=wYIOhQeaDQI&amp;t=98s", "Go to time")</f>
        <v/>
      </c>
    </row>
    <row r="5467">
      <c r="A5467">
        <f>HYPERLINK("https://www.youtube.com/watch?v=Ts0VbSNVUXc", "Video")</f>
        <v/>
      </c>
      <c r="B5467" t="inlineStr">
        <is>
          <t>2:52</t>
        </is>
      </c>
      <c r="C5467" t="inlineStr">
        <is>
          <t>director and my name is Captain bruzen</t>
        </is>
      </c>
      <c r="D5467">
        <f>HYPERLINK("https://www.youtube.com/watch?v=Ts0VbSNVUXc&amp;t=172s", "Go to time")</f>
        <v/>
      </c>
    </row>
    <row r="5468">
      <c r="A5468">
        <f>HYPERLINK("https://www.youtube.com/watch?v=qr10OS7UJxY", "Video")</f>
        <v/>
      </c>
      <c r="B5468" t="inlineStr">
        <is>
          <t>1:02</t>
        </is>
      </c>
      <c r="C5468" t="inlineStr">
        <is>
          <t>directly under her the entire time</t>
        </is>
      </c>
      <c r="D5468">
        <f>HYPERLINK("https://www.youtube.com/watch?v=qr10OS7UJxY&amp;t=62s", "Go to time")</f>
        <v/>
      </c>
    </row>
    <row r="5469">
      <c r="A5469">
        <f>HYPERLINK("https://www.youtube.com/watch?v=qr10OS7UJxY", "Video")</f>
        <v/>
      </c>
      <c r="B5469" t="inlineStr">
        <is>
          <t>1:09</t>
        </is>
      </c>
      <c r="C5469" t="inlineStr">
        <is>
          <t>she was your direct superior</t>
        </is>
      </c>
      <c r="D5469">
        <f>HYPERLINK("https://www.youtube.com/watch?v=qr10OS7UJxY&amp;t=69s", "Go to time")</f>
        <v/>
      </c>
    </row>
    <row r="5470">
      <c r="A5470">
        <f>HYPERLINK("https://www.youtube.com/watch?v=qr10OS7UJxY", "Video")</f>
        <v/>
      </c>
      <c r="B5470" t="inlineStr">
        <is>
          <t>1:38</t>
        </is>
      </c>
      <c r="C5470" t="inlineStr">
        <is>
          <t>began mr schneider and you were directly</t>
        </is>
      </c>
      <c r="D5470">
        <f>HYPERLINK("https://www.youtube.com/watch?v=qr10OS7UJxY&amp;t=98s", "Go to time")</f>
        <v/>
      </c>
    </row>
    <row r="5471">
      <c r="A5471">
        <f>HYPERLINK("https://www.youtube.com/watch?v=tPsnzxE-9Gc", "Video")</f>
        <v/>
      </c>
      <c r="B5471" t="inlineStr">
        <is>
          <t>1:57</t>
        </is>
      </c>
      <c r="C5471" t="inlineStr">
        <is>
          <t>writing the caption directly under the</t>
        </is>
      </c>
      <c r="D5471">
        <f>HYPERLINK("https://www.youtube.com/watch?v=tPsnzxE-9Gc&amp;t=117s", "Go to time")</f>
        <v/>
      </c>
    </row>
    <row r="5472">
      <c r="A5472">
        <f>HYPERLINK("https://www.youtube.com/watch?v=xTQ7vhtp23w", "Video")</f>
        <v/>
      </c>
      <c r="B5472" t="inlineStr">
        <is>
          <t>3:24</t>
        </is>
      </c>
      <c r="C5472" t="inlineStr">
        <is>
          <t>whomever meaning us the indirect object</t>
        </is>
      </c>
      <c r="D5472">
        <f>HYPERLINK("https://www.youtube.com/watch?v=xTQ7vhtp23w&amp;t=204s", "Go to time")</f>
        <v/>
      </c>
    </row>
    <row r="5473">
      <c r="A5473">
        <f>HYPERLINK("https://www.youtube.com/watch?v=sf1z-m4DJ8A", "Video")</f>
        <v/>
      </c>
      <c r="B5473" t="inlineStr">
        <is>
          <t>5:09</t>
        </is>
      </c>
      <c r="C5473" t="inlineStr">
        <is>
          <t>direction</t>
        </is>
      </c>
      <c r="D5473">
        <f>HYPERLINK("https://www.youtube.com/watch?v=sf1z-m4DJ8A&amp;t=309s", "Go to time")</f>
        <v/>
      </c>
    </row>
    <row r="5474">
      <c r="A5474">
        <f>HYPERLINK("https://www.youtube.com/watch?v=sf1z-m4DJ8A", "Video")</f>
        <v/>
      </c>
      <c r="B5474" t="inlineStr">
        <is>
          <t>49:06</t>
        </is>
      </c>
      <c r="C5474" t="inlineStr">
        <is>
          <t>directory I'm about</t>
        </is>
      </c>
      <c r="D5474">
        <f>HYPERLINK("https://www.youtube.com/watch?v=sf1z-m4DJ8A&amp;t=2946s", "Go to time")</f>
        <v/>
      </c>
    </row>
    <row r="5475">
      <c r="A5475">
        <f>HYPERLINK("https://www.youtube.com/watch?v=Db1NdYbQhAA", "Video")</f>
        <v/>
      </c>
      <c r="B5475" t="inlineStr">
        <is>
          <t>5:02</t>
        </is>
      </c>
      <c r="C5475" t="inlineStr">
        <is>
          <t>the indirect object which is the the</t>
        </is>
      </c>
      <c r="D5475">
        <f>HYPERLINK("https://www.youtube.com/watch?v=Db1NdYbQhAA&amp;t=302s", "Go to time")</f>
        <v/>
      </c>
    </row>
    <row r="5476">
      <c r="A5476">
        <f>HYPERLINK("https://www.youtube.com/watch?v=Db1NdYbQhAA", "Video")</f>
        <v/>
      </c>
      <c r="B5476" t="inlineStr">
        <is>
          <t>6:21</t>
        </is>
      </c>
      <c r="C5476" t="inlineStr">
        <is>
          <t>that's a misdirection</t>
        </is>
      </c>
      <c r="D5476">
        <f>HYPERLINK("https://www.youtube.com/watch?v=Db1NdYbQhAA&amp;t=381s", "Go to time")</f>
        <v/>
      </c>
    </row>
    <row r="5477">
      <c r="A5477">
        <f>HYPERLINK("https://www.youtube.com/watch?v=NW1m6LLRwaw", "Video")</f>
        <v/>
      </c>
      <c r="B5477" t="inlineStr">
        <is>
          <t>4:02</t>
        </is>
      </c>
      <c r="C5477" t="inlineStr">
        <is>
          <t>no it's going in a different direction</t>
        </is>
      </c>
      <c r="D5477">
        <f>HYPERLINK("https://www.youtube.com/watch?v=NW1m6LLRwaw&amp;t=242s", "Go to time")</f>
        <v/>
      </c>
    </row>
    <row r="5478">
      <c r="A5478">
        <f>HYPERLINK("https://www.youtube.com/watch?v=T1pNqRmQx00", "Video")</f>
        <v/>
      </c>
      <c r="B5478" t="inlineStr">
        <is>
          <t>0:13</t>
        </is>
      </c>
      <c r="C5478" t="inlineStr">
        <is>
          <t>you were directly under her the entire</t>
        </is>
      </c>
      <c r="D5478">
        <f>HYPERLINK("https://www.youtube.com/watch?v=T1pNqRmQx00&amp;t=13s", "Go to time")</f>
        <v/>
      </c>
    </row>
    <row r="5479">
      <c r="A5479">
        <f>HYPERLINK("https://www.youtube.com/watch?v=T1pNqRmQx00", "Video")</f>
        <v/>
      </c>
      <c r="B5479" t="inlineStr">
        <is>
          <t>0:20</t>
        </is>
      </c>
      <c r="C5479" t="inlineStr">
        <is>
          <t>she was your direct superior what why</t>
        </is>
      </c>
      <c r="D5479">
        <f>HYPERLINK("https://www.youtube.com/watch?v=T1pNqRmQx00&amp;t=20s", "Go to time")</f>
        <v/>
      </c>
    </row>
    <row r="5480">
      <c r="A5480">
        <f>HYPERLINK("https://www.youtube.com/watch?v=T1pNqRmQx00", "Video")</f>
        <v/>
      </c>
      <c r="B5480" t="inlineStr">
        <is>
          <t>0:28</t>
        </is>
      </c>
      <c r="C5480" t="inlineStr">
        <is>
          <t>Schneider and you were directly under</t>
        </is>
      </c>
      <c r="D5480">
        <f>HYPERLINK("https://www.youtube.com/watch?v=T1pNqRmQx00&amp;t=28s", "Go to time")</f>
        <v/>
      </c>
    </row>
    <row r="5481">
      <c r="A5481">
        <f>HYPERLINK("https://www.youtube.com/watch?v=erITaXtFrjY", "Video")</f>
        <v/>
      </c>
      <c r="B5481" t="inlineStr">
        <is>
          <t>1:29</t>
        </is>
      </c>
      <c r="C5481" t="inlineStr">
        <is>
          <t>moving in the wrong Direction I don't</t>
        </is>
      </c>
      <c r="D5481">
        <f>HYPERLINK("https://www.youtube.com/watch?v=erITaXtFrjY&amp;t=89s", "Go to time")</f>
        <v/>
      </c>
    </row>
    <row r="5482">
      <c r="A5482">
        <f>HYPERLINK("https://www.youtube.com/watch?v=o_E8m7pkHJ8", "Video")</f>
        <v/>
      </c>
      <c r="B5482" t="inlineStr">
        <is>
          <t>0:38</t>
        </is>
      </c>
      <c r="C5482" t="inlineStr">
        <is>
          <t>directions and he was holding a map and</t>
        </is>
      </c>
      <c r="D5482">
        <f>HYPERLINK("https://www.youtube.com/watch?v=o_E8m7pkHJ8&amp;t=38s", "Go to time")</f>
        <v/>
      </c>
    </row>
    <row r="5483">
      <c r="A5483">
        <f>HYPERLINK("https://www.youtube.com/watch?v=1acLf1MG-hY", "Video")</f>
        <v/>
      </c>
      <c r="B5483" t="inlineStr">
        <is>
          <t>6:45</t>
        </is>
      </c>
      <c r="C5483" t="inlineStr">
        <is>
          <t>Schneider and you were directly under</t>
        </is>
      </c>
      <c r="D5483">
        <f>HYPERLINK("https://www.youtube.com/watch?v=1acLf1MG-hY&amp;t=405s", "Go to time")</f>
        <v/>
      </c>
    </row>
    <row r="5484">
      <c r="A5484">
        <f>HYPERLINK("https://www.youtube.com/watch?v=1baVt4UrP3k", "Video")</f>
        <v/>
      </c>
      <c r="B5484" t="inlineStr">
        <is>
          <t>3:13</t>
        </is>
      </c>
      <c r="C5484" t="inlineStr">
        <is>
          <t>no it's going in a different direction</t>
        </is>
      </c>
      <c r="D5484">
        <f>HYPERLINK("https://www.youtube.com/watch?v=1baVt4UrP3k&amp;t=193s", "Go to time")</f>
        <v/>
      </c>
    </row>
    <row r="5485">
      <c r="A5485">
        <f>HYPERLINK("https://www.youtube.com/watch?v=1baVt4UrP3k", "Video")</f>
        <v/>
      </c>
      <c r="B5485" t="inlineStr">
        <is>
          <t>12:59</t>
        </is>
      </c>
      <c r="C5485" t="inlineStr">
        <is>
          <t>that can ring directly to a Salesman or</t>
        </is>
      </c>
      <c r="D5485">
        <f>HYPERLINK("https://www.youtube.com/watch?v=1baVt4UrP3k&amp;t=779s", "Go to time")</f>
        <v/>
      </c>
    </row>
    <row r="5486">
      <c r="A5486">
        <f>HYPERLINK("https://www.youtube.com/watch?v=1baVt4UrP3k", "Video")</f>
        <v/>
      </c>
      <c r="B5486" t="inlineStr">
        <is>
          <t>29:01</t>
        </is>
      </c>
      <c r="C5486" t="inlineStr">
        <is>
          <t>to be working directly beneath you I</t>
        </is>
      </c>
      <c r="D5486">
        <f>HYPERLINK("https://www.youtube.com/watch?v=1baVt4UrP3k&amp;t=1741s", "Go to time")</f>
        <v/>
      </c>
    </row>
    <row r="5487">
      <c r="A5487">
        <f>HYPERLINK("https://www.youtube.com/watch?v=1baVt4UrP3k", "Video")</f>
        <v/>
      </c>
      <c r="B5487" t="inlineStr">
        <is>
          <t>43:16</t>
        </is>
      </c>
      <c r="C5487" t="inlineStr">
        <is>
          <t>Nigeria emails you directly asking for</t>
        </is>
      </c>
      <c r="D5487">
        <f>HYPERLINK("https://www.youtube.com/watch?v=1baVt4UrP3k&amp;t=2596s", "Go to time")</f>
        <v/>
      </c>
    </row>
    <row r="5488">
      <c r="A5488">
        <f>HYPERLINK("https://www.youtube.com/watch?v=OU1vo8xQSm8", "Video")</f>
        <v/>
      </c>
      <c r="B5488" t="inlineStr">
        <is>
          <t>2:26</t>
        </is>
      </c>
      <c r="C5488" t="inlineStr">
        <is>
          <t>it's going in a different direction than</t>
        </is>
      </c>
      <c r="D5488">
        <f>HYPERLINK("https://www.youtube.com/watch?v=OU1vo8xQSm8&amp;t=146s", "Go to time")</f>
        <v/>
      </c>
    </row>
    <row r="5489">
      <c r="A5489">
        <f>HYPERLINK("https://www.youtube.com/watch?v=duq5w7tEn84", "Video")</f>
        <v/>
      </c>
      <c r="B5489" t="inlineStr">
        <is>
          <t>1:01</t>
        </is>
      </c>
      <c r="C5489" t="inlineStr">
        <is>
          <t>commercial the Michael Scott director's</t>
        </is>
      </c>
      <c r="D5489">
        <f>HYPERLINK("https://www.youtube.com/watch?v=duq5w7tEn84&amp;t=61s", "Go to time")</f>
        <v/>
      </c>
    </row>
    <row r="5490">
      <c r="A5490">
        <f>HYPERLINK("https://www.youtube.com/watch?v=oWTsz8Yit64", "Video")</f>
        <v/>
      </c>
      <c r="B5490" t="inlineStr">
        <is>
          <t>3:27</t>
        </is>
      </c>
      <c r="C5490" t="inlineStr">
        <is>
          <t>it had to move in a different direction</t>
        </is>
      </c>
      <c r="D5490">
        <f>HYPERLINK("https://www.youtube.com/watch?v=oWTsz8Yit64&amp;t=207s", "Go to time")</f>
        <v/>
      </c>
    </row>
    <row r="5491">
      <c r="A5491">
        <f>HYPERLINK("https://www.youtube.com/watch?v=oWTsz8Yit64", "Video")</f>
        <v/>
      </c>
      <c r="B5491" t="inlineStr">
        <is>
          <t>6:05</t>
        </is>
      </c>
      <c r="C5491" t="inlineStr">
        <is>
          <t>in the right direction you can make a</t>
        </is>
      </c>
      <c r="D5491">
        <f>HYPERLINK("https://www.youtube.com/watch?v=oWTsz8Yit64&amp;t=365s", "Go to time")</f>
        <v/>
      </c>
    </row>
    <row r="5492">
      <c r="A5492">
        <f>HYPERLINK("https://www.youtube.com/watch?v=oWTsz8Yit64", "Video")</f>
        <v/>
      </c>
      <c r="B5492" t="inlineStr">
        <is>
          <t>6:18</t>
        </is>
      </c>
      <c r="C5492" t="inlineStr">
        <is>
          <t>direction</t>
        </is>
      </c>
      <c r="D5492">
        <f>HYPERLINK("https://www.youtube.com/watch?v=oWTsz8Yit64&amp;t=378s", "Go to time")</f>
        <v/>
      </c>
    </row>
    <row r="5493">
      <c r="A5493">
        <f>HYPERLINK("https://www.youtube.com/watch?v=oWTsz8Yit64", "Video")</f>
        <v/>
      </c>
      <c r="B5493" t="inlineStr">
        <is>
          <t>9:40</t>
        </is>
      </c>
      <c r="C5493" t="inlineStr">
        <is>
          <t>one of our directors dave rogers said it</t>
        </is>
      </c>
      <c r="D5493">
        <f>HYPERLINK("https://www.youtube.com/watch?v=oWTsz8Yit64&amp;t=580s", "Go to time")</f>
        <v/>
      </c>
    </row>
    <row r="5494">
      <c r="A5494">
        <f>HYPERLINK("https://www.youtube.com/watch?v=DtcUaVuvZgo", "Video")</f>
        <v/>
      </c>
      <c r="B5494" t="inlineStr">
        <is>
          <t>11:21</t>
        </is>
      </c>
      <c r="C5494" t="inlineStr">
        <is>
          <t>no it's going in a different direction</t>
        </is>
      </c>
      <c r="D5494">
        <f>HYPERLINK("https://www.youtube.com/watch?v=DtcUaVuvZgo&amp;t=681s", "Go to time")</f>
        <v/>
      </c>
    </row>
    <row r="5495">
      <c r="A5495">
        <f>HYPERLINK("https://www.youtube.com/watch?v=b7s-yuluVaU", "Video")</f>
        <v/>
      </c>
      <c r="B5495" t="inlineStr">
        <is>
          <t>6:55</t>
        </is>
      </c>
      <c r="C5495" t="inlineStr">
        <is>
          <t>it's going in a different direction than</t>
        </is>
      </c>
      <c r="D5495">
        <f>HYPERLINK("https://www.youtube.com/watch?v=b7s-yuluVaU&amp;t=415s", "Go to time")</f>
        <v/>
      </c>
    </row>
    <row r="5496">
      <c r="A5496">
        <f>HYPERLINK("https://www.youtube.com/watch?v=O8VeZMx4O2M", "Video")</f>
        <v/>
      </c>
      <c r="B5496" t="inlineStr">
        <is>
          <t>12:52</t>
        </is>
      </c>
      <c r="C5496" t="inlineStr">
        <is>
          <t>corporate directory and well I was</t>
        </is>
      </c>
      <c r="D5496">
        <f>HYPERLINK("https://www.youtube.com/watch?v=O8VeZMx4O2M&amp;t=772s", "Go to time")</f>
        <v/>
      </c>
    </row>
    <row r="5497">
      <c r="A5497">
        <f>HYPERLINK("https://www.youtube.com/watch?v=O8VeZMx4O2M", "Video")</f>
        <v/>
      </c>
      <c r="B5497" t="inlineStr">
        <is>
          <t>13:04</t>
        </is>
      </c>
      <c r="C5497" t="inlineStr">
        <is>
          <t>directory um or just check your email CU</t>
        </is>
      </c>
      <c r="D5497">
        <f>HYPERLINK("https://www.youtube.com/watch?v=O8VeZMx4O2M&amp;t=784s", "Go to time")</f>
        <v/>
      </c>
    </row>
    <row r="5498">
      <c r="A5498">
        <f>HYPERLINK("https://www.youtube.com/watch?v=6clWCvx63Ao", "Video")</f>
        <v/>
      </c>
      <c r="B5498" t="inlineStr">
        <is>
          <t>0:00</t>
        </is>
      </c>
      <c r="C5498" t="inlineStr">
        <is>
          <t>so you have the directions yeah you have</t>
        </is>
      </c>
      <c r="D5498">
        <f>HYPERLINK("https://www.youtube.com/watch?v=6clWCvx63Ao&amp;t=0s", "Go to time")</f>
        <v/>
      </c>
    </row>
    <row r="5499">
      <c r="A5499">
        <f>HYPERLINK("https://www.youtube.com/watch?v=IzE98BkAO8o", "Video")</f>
        <v/>
      </c>
      <c r="B5499" t="inlineStr">
        <is>
          <t>0:16</t>
        </is>
      </c>
      <c r="C5499" t="inlineStr">
        <is>
          <t>systems now that can ring directly to a</t>
        </is>
      </c>
      <c r="D5499">
        <f>HYPERLINK("https://www.youtube.com/watch?v=IzE98BkAO8o&amp;t=16s", "Go to time")</f>
        <v/>
      </c>
    </row>
    <row r="5500">
      <c r="A5500">
        <f>HYPERLINK("https://www.youtube.com/watch?v=IzE98BkAO8o", "Video")</f>
        <v/>
      </c>
      <c r="B5500" t="inlineStr">
        <is>
          <t>1:57</t>
        </is>
      </c>
      <c r="C5500" t="inlineStr">
        <is>
          <t>driver's been gone and it's not indirect</t>
        </is>
      </c>
      <c r="D5500">
        <f>HYPERLINK("https://www.youtube.com/watch?v=IzE98BkAO8o&amp;t=117s", "Go to time")</f>
        <v/>
      </c>
    </row>
    <row r="5501">
      <c r="A5501">
        <f>HYPERLINK("https://www.youtube.com/watch?v=t_h3n5_ONww", "Video")</f>
        <v/>
      </c>
      <c r="B5501" t="inlineStr">
        <is>
          <t>2:16</t>
        </is>
      </c>
      <c r="C5501" t="inlineStr">
        <is>
          <t>not directly but through the money um i</t>
        </is>
      </c>
      <c r="D5501">
        <f>HYPERLINK("https://www.youtube.com/watch?v=t_h3n5_ONww&amp;t=136s", "Go to time")</f>
        <v/>
      </c>
    </row>
    <row r="5502">
      <c r="A5502">
        <f>HYPERLINK("https://www.youtube.com/watch?v=bqgVB6Vl-lI", "Video")</f>
        <v/>
      </c>
      <c r="B5502" t="inlineStr">
        <is>
          <t>5:10</t>
        </is>
      </c>
      <c r="C5502" t="inlineStr">
        <is>
          <t>going in a different direction than the</t>
        </is>
      </c>
      <c r="D5502">
        <f>HYPERLINK("https://www.youtube.com/watch?v=bqgVB6Vl-lI&amp;t=310s", "Go to time")</f>
        <v/>
      </c>
    </row>
    <row r="5503">
      <c r="A5503">
        <f>HYPERLINK("https://www.youtube.com/watch?v=Qc35afiM2f4", "Video")</f>
        <v/>
      </c>
      <c r="B5503" t="inlineStr">
        <is>
          <t>1:30</t>
        </is>
      </c>
      <c r="C5503" t="inlineStr">
        <is>
          <t>to compete directly
with big box chains.</t>
        </is>
      </c>
      <c r="D5503">
        <f>HYPERLINK("https://www.youtube.com/watch?v=Qc35afiM2f4&amp;t=90s", "Go to time")</f>
        <v/>
      </c>
    </row>
    <row r="5504">
      <c r="A5504">
        <f>HYPERLINK("https://www.youtube.com/watch?v=EvsFBWUMrCw", "Video")</f>
        <v/>
      </c>
      <c r="B5504" t="inlineStr">
        <is>
          <t>0:28</t>
        </is>
      </c>
      <c r="C5504" t="inlineStr">
        <is>
          <t>you're moving in the wrong direction i</t>
        </is>
      </c>
      <c r="D5504">
        <f>HYPERLINK("https://www.youtube.com/watch?v=EvsFBWUMrCw&amp;t=28s", "Go to time")</f>
        <v/>
      </c>
    </row>
    <row r="5505">
      <c r="A5505">
        <f>HYPERLINK("https://www.youtube.com/watch?v=EA7ngQfs47M", "Video")</f>
        <v/>
      </c>
      <c r="B5505" t="inlineStr">
        <is>
          <t>9:10</t>
        </is>
      </c>
      <c r="C5505" t="inlineStr">
        <is>
          <t>mustache hey and you were directly under</t>
        </is>
      </c>
      <c r="D5505">
        <f>HYPERLINK("https://www.youtube.com/watch?v=EA7ngQfs47M&amp;t=550s", "Go to time")</f>
        <v/>
      </c>
    </row>
    <row r="5506">
      <c r="A5506">
        <f>HYPERLINK("https://www.youtube.com/watch?v=EA7ngQfs47M", "Video")</f>
        <v/>
      </c>
      <c r="B5506" t="inlineStr">
        <is>
          <t>9:19</t>
        </is>
      </c>
      <c r="C5506" t="inlineStr">
        <is>
          <t>direct</t>
        </is>
      </c>
      <c r="D5506">
        <f>HYPERLINK("https://www.youtube.com/watch?v=EA7ngQfs47M&amp;t=559s", "Go to time")</f>
        <v/>
      </c>
    </row>
    <row r="5507">
      <c r="A5507">
        <f>HYPERLINK("https://www.youtube.com/watch?v=lsEA9tGMFQQ", "Video")</f>
        <v/>
      </c>
      <c r="B5507" t="inlineStr">
        <is>
          <t>2:36</t>
        </is>
      </c>
      <c r="C5507" t="inlineStr">
        <is>
          <t>directions. As you can see Tornado Alley
has that in abundance. The air coming</t>
        </is>
      </c>
      <c r="D5507">
        <f>HYPERLINK("https://www.youtube.com/watch?v=lsEA9tGMFQQ&amp;t=156s", "Go to time")</f>
        <v/>
      </c>
    </row>
    <row r="5508">
      <c r="A5508">
        <f>HYPERLINK("https://www.youtube.com/watch?v=lsEA9tGMFQQ", "Video")</f>
        <v/>
      </c>
      <c r="B5508" t="inlineStr">
        <is>
          <t>2:49</t>
        </is>
      </c>
      <c r="C5508" t="inlineStr">
        <is>
          <t>Because the jet stream is flowing faster
and in a different direction it causes</t>
        </is>
      </c>
      <c r="D5508">
        <f>HYPERLINK("https://www.youtube.com/watch?v=lsEA9tGMFQQ&amp;t=169s", "Go to time")</f>
        <v/>
      </c>
    </row>
    <row r="5509">
      <c r="A5509">
        <f>HYPERLINK("https://www.youtube.com/watch?v=oYfl4UCGBwk", "Video")</f>
        <v/>
      </c>
      <c r="B5509" t="inlineStr">
        <is>
          <t>6:13</t>
        </is>
      </c>
      <c r="C5509" t="inlineStr">
        <is>
          <t>So it’s a step in the right direction, and for now</t>
        </is>
      </c>
      <c r="D5509">
        <f>HYPERLINK("https://www.youtube.com/watch?v=oYfl4UCGBwk&amp;t=373s", "Go to time")</f>
        <v/>
      </c>
    </row>
    <row r="5510">
      <c r="A5510">
        <f>HYPERLINK("https://www.youtube.com/watch?v=h42QVfrUVFw", "Video")</f>
        <v/>
      </c>
      <c r="B5510" t="inlineStr">
        <is>
          <t>10:23</t>
        </is>
      </c>
      <c r="C5510" t="inlineStr">
        <is>
          <t>feeding these streams that flowed down the
mountain in every direction…</t>
        </is>
      </c>
      <c r="D5510">
        <f>HYPERLINK("https://www.youtube.com/watch?v=h42QVfrUVFw&amp;t=623s", "Go to time")</f>
        <v/>
      </c>
    </row>
    <row r="5511">
      <c r="A5511">
        <f>HYPERLINK("https://www.youtube.com/watch?v=9maR-JiL5jY", "Video")</f>
        <v/>
      </c>
      <c r="B5511" t="inlineStr">
        <is>
          <t>0:31</t>
        </is>
      </c>
      <c r="C5511" t="inlineStr">
        <is>
          <t>directly affects what shows up on our</t>
        </is>
      </c>
      <c r="D5511">
        <f>HYPERLINK("https://www.youtube.com/watch?v=9maR-JiL5jY&amp;t=31s", "Go to time")</f>
        <v/>
      </c>
    </row>
    <row r="5512">
      <c r="A5512">
        <f>HYPERLINK("https://www.youtube.com/watch?v=9maR-JiL5jY", "Video")</f>
        <v/>
      </c>
      <c r="B5512" t="inlineStr">
        <is>
          <t>3:28</t>
        </is>
      </c>
      <c r="C5512" t="inlineStr">
        <is>
          <t>directly dictates how resilient they'll</t>
        </is>
      </c>
      <c r="D5512">
        <f>HYPERLINK("https://www.youtube.com/watch?v=9maR-JiL5jY&amp;t=208s", "Go to time")</f>
        <v/>
      </c>
    </row>
    <row r="5513">
      <c r="A5513">
        <f>HYPERLINK("https://www.youtube.com/watch?v=pu2sKNJMH-k", "Video")</f>
        <v/>
      </c>
      <c r="B5513" t="inlineStr">
        <is>
          <t>20:03</t>
        </is>
      </c>
      <c r="C5513" t="inlineStr">
        <is>
          <t>and that had a direct impact
 on my chances in life.</t>
        </is>
      </c>
      <c r="D5513">
        <f>HYPERLINK("https://www.youtube.com/watch?v=pu2sKNJMH-k&amp;t=1203s", "Go to time")</f>
        <v/>
      </c>
    </row>
    <row r="5514">
      <c r="A5514">
        <f>HYPERLINK("https://www.youtube.com/watch?v=pu2sKNJMH-k", "Video")</f>
        <v/>
      </c>
      <c r="B5514" t="inlineStr">
        <is>
          <t>21:00</t>
        </is>
      </c>
      <c r="C5514" t="inlineStr">
        <is>
          <t>And this is connected directly
to this legacy of redlining</t>
        </is>
      </c>
      <c r="D5514">
        <f>HYPERLINK("https://www.youtube.com/watch?v=pu2sKNJMH-k&amp;t=1260s", "Go to time")</f>
        <v/>
      </c>
    </row>
    <row r="5515">
      <c r="A5515">
        <f>HYPERLINK("https://www.youtube.com/watch?v=xTQTcfk5Bmw", "Video")</f>
        <v/>
      </c>
      <c r="B5515" t="inlineStr">
        <is>
          <t>6:42</t>
        </is>
      </c>
      <c r="C5515" t="inlineStr">
        <is>
          <t>the trailer responded directly to calls for
increased police accountability.</t>
        </is>
      </c>
      <c r="D5515">
        <f>HYPERLINK("https://www.youtube.com/watch?v=xTQTcfk5Bmw&amp;t=402s", "Go to time")</f>
        <v/>
      </c>
    </row>
    <row r="5516">
      <c r="A5516">
        <f>HYPERLINK("https://www.youtube.com/watch?v=bVzvZxW5n2Q", "Video")</f>
        <v/>
      </c>
      <c r="B5516" t="inlineStr">
        <is>
          <t>3:35</t>
        </is>
      </c>
      <c r="C5516" t="inlineStr">
        <is>
          <t>directing the smoke towards Delhi.</t>
        </is>
      </c>
      <c r="D5516">
        <f>HYPERLINK("https://www.youtube.com/watch?v=bVzvZxW5n2Q&amp;t=215s", "Go to time")</f>
        <v/>
      </c>
    </row>
    <row r="5517">
      <c r="A5517">
        <f>HYPERLINK("https://www.youtube.com/watch?v=Ml-ZP-_e_o4", "Video")</f>
        <v/>
      </c>
      <c r="B5517" t="inlineStr">
        <is>
          <t>4:27</t>
        </is>
      </c>
      <c r="C5517" t="inlineStr">
        <is>
          <t>I'm the associate director of the 
Pennsylvania Housing Research Center.</t>
        </is>
      </c>
      <c r="D5517">
        <f>HYPERLINK("https://www.youtube.com/watch?v=Ml-ZP-_e_o4&amp;t=267s", "Go to time")</f>
        <v/>
      </c>
    </row>
    <row r="5518">
      <c r="A5518">
        <f>HYPERLINK("https://www.youtube.com/watch?v=6IJwwjNpzZ8", "Video")</f>
        <v/>
      </c>
      <c r="B5518" t="inlineStr">
        <is>
          <t>2:36</t>
        </is>
      </c>
      <c r="C5518" t="inlineStr">
        <is>
          <t>I am the elections director for the</t>
        </is>
      </c>
      <c r="D5518">
        <f>HYPERLINK("https://www.youtube.com/watch?v=6IJwwjNpzZ8&amp;t=156s", "Go to time")</f>
        <v/>
      </c>
    </row>
    <row r="5519">
      <c r="A5519">
        <f>HYPERLINK("https://www.youtube.com/watch?v=2CM6kgzRxyc", "Video")</f>
        <v/>
      </c>
      <c r="B5519" t="inlineStr">
        <is>
          <t>4:42</t>
        </is>
      </c>
      <c r="C5519" t="inlineStr">
        <is>
          <t>Walden is the executive director of the</t>
        </is>
      </c>
      <c r="D5519">
        <f>HYPERLINK("https://www.youtube.com/watch?v=2CM6kgzRxyc&amp;t=282s", "Go to time")</f>
        <v/>
      </c>
    </row>
    <row r="5520">
      <c r="A5520">
        <f>HYPERLINK("https://www.youtube.com/watch?v=hvAigEXWSYM", "Video")</f>
        <v/>
      </c>
      <c r="B5520" t="inlineStr">
        <is>
          <t>6:26</t>
        </is>
      </c>
      <c r="C5520" t="inlineStr">
        <is>
          <t>details going through staff directories</t>
        </is>
      </c>
      <c r="D5520">
        <f>HYPERLINK("https://www.youtube.com/watch?v=hvAigEXWSYM&amp;t=386s", "Go to time")</f>
        <v/>
      </c>
    </row>
    <row r="5521">
      <c r="A5521">
        <f>HYPERLINK("https://www.youtube.com/watch?v=JTyPQFHB3KM", "Video")</f>
        <v/>
      </c>
      <c r="B5521" t="inlineStr">
        <is>
          <t>5:06</t>
        </is>
      </c>
      <c r="C5521" t="inlineStr">
        <is>
          <t>she wears the Westerosi version of a graphic tee, Stark direwolf front and center.</t>
        </is>
      </c>
      <c r="D5521">
        <f>HYPERLINK("https://www.youtube.com/watch?v=JTyPQFHB3KM&amp;t=306s", "Go to time")</f>
        <v/>
      </c>
    </row>
    <row r="5522">
      <c r="A5522">
        <f>HYPERLINK("https://www.youtube.com/watch?v=JTyPQFHB3KM", "Video")</f>
        <v/>
      </c>
      <c r="B5522" t="inlineStr">
        <is>
          <t>7:40</t>
        </is>
      </c>
      <c r="C5522" t="inlineStr">
        <is>
          <t>Skillshare doesn't directly impact our editorial, but their support makes videos like these possible.</t>
        </is>
      </c>
      <c r="D5522">
        <f>HYPERLINK("https://www.youtube.com/watch?v=JTyPQFHB3KM&amp;t=460s", "Go to time")</f>
        <v/>
      </c>
    </row>
    <row r="5523">
      <c r="A5523">
        <f>HYPERLINK("https://www.youtube.com/watch?v=PRdS13Q9ExQ", "Video")</f>
        <v/>
      </c>
      <c r="B5523" t="inlineStr">
        <is>
          <t>34:57</t>
        </is>
      </c>
      <c r="C5523" t="inlineStr">
        <is>
          <t>direction or another. But our</t>
        </is>
      </c>
      <c r="D5523">
        <f>HYPERLINK("https://www.youtube.com/watch?v=PRdS13Q9ExQ&amp;t=2097s", "Go to time")</f>
        <v/>
      </c>
    </row>
    <row r="5524">
      <c r="A5524">
        <f>HYPERLINK("https://www.youtube.com/watch?v=cUBg6Qp_N98", "Video")</f>
        <v/>
      </c>
      <c r="B5524" t="inlineStr">
        <is>
          <t>4:03</t>
        </is>
      </c>
      <c r="C5524" t="inlineStr">
        <is>
          <t>directly into the conflict</t>
        </is>
      </c>
      <c r="D5524">
        <f>HYPERLINK("https://www.youtube.com/watch?v=cUBg6Qp_N98&amp;t=243s", "Go to time")</f>
        <v/>
      </c>
    </row>
    <row r="5525">
      <c r="A5525">
        <f>HYPERLINK("https://www.youtube.com/watch?v=cUBg6Qp_N98", "Video")</f>
        <v/>
      </c>
      <c r="B5525" t="inlineStr">
        <is>
          <t>8:54</t>
        </is>
      </c>
      <c r="C5525" t="inlineStr">
        <is>
          <t>but without the direct diplomatic</t>
        </is>
      </c>
      <c r="D5525">
        <f>HYPERLINK("https://www.youtube.com/watch?v=cUBg6Qp_N98&amp;t=534s", "Go to time")</f>
        <v/>
      </c>
    </row>
    <row r="5526">
      <c r="A5526">
        <f>HYPERLINK("https://www.youtube.com/watch?v=SZ8HlNGMolw", "Video")</f>
        <v/>
      </c>
      <c r="B5526" t="inlineStr">
        <is>
          <t>2:58</t>
        </is>
      </c>
      <c r="C5526" t="inlineStr">
        <is>
          <t>hospitals local vendors or directly to</t>
        </is>
      </c>
      <c r="D5526">
        <f>HYPERLINK("https://www.youtube.com/watch?v=SZ8HlNGMolw&amp;t=178s", "Go to time")</f>
        <v/>
      </c>
    </row>
    <row r="5527">
      <c r="A5527">
        <f>HYPERLINK("https://www.youtube.com/watch?v=SZ8HlNGMolw", "Video")</f>
        <v/>
      </c>
      <c r="B5527" t="inlineStr">
        <is>
          <t>9:11</t>
        </is>
      </c>
      <c r="C5527" t="inlineStr">
        <is>
          <t>oxygen nearly all industries redirected</t>
        </is>
      </c>
      <c r="D5527">
        <f>HYPERLINK("https://www.youtube.com/watch?v=SZ8HlNGMolw&amp;t=551s", "Go to time")</f>
        <v/>
      </c>
    </row>
    <row r="5528">
      <c r="A5528">
        <f>HYPERLINK("https://www.youtube.com/watch?v=9Em0FSsI_VU", "Video")</f>
        <v/>
      </c>
      <c r="B5528" t="inlineStr">
        <is>
          <t>2:40</t>
        </is>
      </c>
      <c r="C5528" t="inlineStr">
        <is>
          <t>Those droplets didn't go to you directly.</t>
        </is>
      </c>
      <c r="D5528">
        <f>HYPERLINK("https://www.youtube.com/watch?v=9Em0FSsI_VU&amp;t=160s", "Go to time")</f>
        <v/>
      </c>
    </row>
    <row r="5529">
      <c r="A5529">
        <f>HYPERLINK("https://www.youtube.com/watch?v=gMaKhXkihGQ", "Video")</f>
        <v/>
      </c>
      <c r="B5529" t="inlineStr">
        <is>
          <t>4:48</t>
        </is>
      </c>
      <c r="C5529" t="inlineStr">
        <is>
          <t>And so they say hey, maybe you should look
in this direction.</t>
        </is>
      </c>
      <c r="D5529">
        <f>HYPERLINK("https://www.youtube.com/watch?v=gMaKhXkihGQ&amp;t=288s", "Go to time")</f>
        <v/>
      </c>
    </row>
    <row r="5530">
      <c r="A5530">
        <f>HYPERLINK("https://www.youtube.com/watch?v=gMaKhXkihGQ", "Video")</f>
        <v/>
      </c>
      <c r="B5530" t="inlineStr">
        <is>
          <t>7:31</t>
        </is>
      </c>
      <c r="C5530" t="inlineStr">
        <is>
          <t>Our laser is going to come in from this direction...</t>
        </is>
      </c>
      <c r="D5530">
        <f>HYPERLINK("https://www.youtube.com/watch?v=gMaKhXkihGQ&amp;t=451s", "Go to time")</f>
        <v/>
      </c>
    </row>
    <row r="5531">
      <c r="A5531">
        <f>HYPERLINK("https://www.youtube.com/watch?v=R2karaKGgkk", "Video")</f>
        <v/>
      </c>
      <c r="B5531" t="inlineStr">
        <is>
          <t>2:36</t>
        </is>
      </c>
      <c r="C5531" t="inlineStr">
        <is>
          <t>And was director of planning on 
the Soul City Project.</t>
        </is>
      </c>
      <c r="D5531">
        <f>HYPERLINK("https://www.youtube.com/watch?v=R2karaKGgkk&amp;t=156s", "Go to time")</f>
        <v/>
      </c>
    </row>
    <row r="5532">
      <c r="A5532">
        <f>HYPERLINK("https://www.youtube.com/watch?v=pZz3tfXEFmU", "Video")</f>
        <v/>
      </c>
      <c r="B5532" t="inlineStr">
        <is>
          <t>10:03</t>
        </is>
      </c>
      <c r="C5532" t="inlineStr">
        <is>
          <t>And Barbie is the only one 
solely directed by a woman.</t>
        </is>
      </c>
      <c r="D5532">
        <f>HYPERLINK("https://www.youtube.com/watch?v=pZz3tfXEFmU&amp;t=603s", "Go to time")</f>
        <v/>
      </c>
    </row>
    <row r="5533">
      <c r="A5533">
        <f>HYPERLINK("https://www.youtube.com/watch?v=TJAklSh_rjk", "Video")</f>
        <v/>
      </c>
      <c r="B5533" t="inlineStr">
        <is>
          <t>17:22</t>
        </is>
      </c>
      <c r="C5533" t="inlineStr">
        <is>
          <t>and whether it undermines those 
very directly.</t>
        </is>
      </c>
      <c r="D5533">
        <f>HYPERLINK("https://www.youtube.com/watch?v=TJAklSh_rjk&amp;t=1042s", "Go to time")</f>
        <v/>
      </c>
    </row>
    <row r="5534">
      <c r="A5534">
        <f>HYPERLINK("https://www.youtube.com/watch?v=mQDegCqiVnU", "Video")</f>
        <v/>
      </c>
      <c r="B5534" t="inlineStr">
        <is>
          <t>9:13</t>
        </is>
      </c>
      <c r="C5534" t="inlineStr">
        <is>
          <t>the other direction and and got an e-bike.</t>
        </is>
      </c>
      <c r="D5534">
        <f>HYPERLINK("https://www.youtube.com/watch?v=mQDegCqiVnU&amp;t=553s", "Go to time")</f>
        <v/>
      </c>
    </row>
    <row r="5535">
      <c r="A5535">
        <f>HYPERLINK("https://www.youtube.com/watch?v=7DlYBJzAo6k", "Video")</f>
        <v/>
      </c>
      <c r="B5535" t="inlineStr">
        <is>
          <t>0:38</t>
        </is>
      </c>
      <c r="C5535" t="inlineStr">
        <is>
          <t>I'm a second unit director 
and stunt coordinator.</t>
        </is>
      </c>
      <c r="D5535">
        <f>HYPERLINK("https://www.youtube.com/watch?v=7DlYBJzAo6k&amp;t=38s", "Go to time")</f>
        <v/>
      </c>
    </row>
    <row r="5536">
      <c r="A5536">
        <f>HYPERLINK("https://www.youtube.com/watch?v=_cndkF7bX3M", "Video")</f>
        <v/>
      </c>
      <c r="B5536" t="inlineStr">
        <is>
          <t>7:54</t>
        </is>
      </c>
      <c r="C5536" t="inlineStr">
        <is>
          <t>Hundreds of trucks full of logs going one direction,</t>
        </is>
      </c>
      <c r="D5536">
        <f>HYPERLINK("https://www.youtube.com/watch?v=_cndkF7bX3M&amp;t=474s", "Go to time")</f>
        <v/>
      </c>
    </row>
    <row r="5537">
      <c r="A5537">
        <f>HYPERLINK("https://www.youtube.com/watch?v=_cndkF7bX3M", "Video")</f>
        <v/>
      </c>
      <c r="B5537" t="inlineStr">
        <is>
          <t>7:58</t>
        </is>
      </c>
      <c r="C5537" t="inlineStr">
        <is>
          <t>empty trucks going the other direction.</t>
        </is>
      </c>
      <c r="D5537">
        <f>HYPERLINK("https://www.youtube.com/watch?v=_cndkF7bX3M&amp;t=478s", "Go to time")</f>
        <v/>
      </c>
    </row>
    <row r="5538">
      <c r="A5538">
        <f>HYPERLINK("https://www.youtube.com/watch?v=_cndkF7bX3M", "Video")</f>
        <v/>
      </c>
      <c r="B5538" t="inlineStr">
        <is>
          <t>20:56</t>
        </is>
      </c>
      <c r="C5538" t="inlineStr">
        <is>
          <t>is going to go directly through.</t>
        </is>
      </c>
      <c r="D5538">
        <f>HYPERLINK("https://www.youtube.com/watch?v=_cndkF7bX3M&amp;t=1256s", "Go to time")</f>
        <v/>
      </c>
    </row>
    <row r="5539">
      <c r="A5539">
        <f>HYPERLINK("https://www.youtube.com/watch?v=QfAXbGInwno", "Video")</f>
        <v/>
      </c>
      <c r="B5539" t="inlineStr">
        <is>
          <t>2:37</t>
        </is>
      </c>
      <c r="C5539" t="inlineStr">
        <is>
          <t>moving the opposite direction and expect</t>
        </is>
      </c>
      <c r="D5539">
        <f>HYPERLINK("https://www.youtube.com/watch?v=QfAXbGInwno&amp;t=157s", "Go to time")</f>
        <v/>
      </c>
    </row>
    <row r="5540">
      <c r="A5540">
        <f>HYPERLINK("https://www.youtube.com/watch?v=QfAXbGInwno", "Video")</f>
        <v/>
      </c>
      <c r="B5540" t="inlineStr">
        <is>
          <t>4:57</t>
        </is>
      </c>
      <c r="C5540" t="inlineStr">
        <is>
          <t>versus being used directly to power</t>
        </is>
      </c>
      <c r="D5540">
        <f>HYPERLINK("https://www.youtube.com/watch?v=QfAXbGInwno&amp;t=297s", "Go to time")</f>
        <v/>
      </c>
    </row>
    <row r="5541">
      <c r="A5541">
        <f>HYPERLINK("https://www.youtube.com/watch?v=QfAXbGInwno", "Video")</f>
        <v/>
      </c>
      <c r="B5541" t="inlineStr">
        <is>
          <t>6:40</t>
        </is>
      </c>
      <c r="C5541" t="inlineStr">
        <is>
          <t>draw their energy directly from fossil</t>
        </is>
      </c>
      <c r="D5541">
        <f>HYPERLINK("https://www.youtube.com/watch?v=QfAXbGInwno&amp;t=400s", "Go to time")</f>
        <v/>
      </c>
    </row>
    <row r="5542">
      <c r="A5542">
        <f>HYPERLINK("https://www.youtube.com/watch?v=QfAXbGInwno", "Video")</f>
        <v/>
      </c>
      <c r="B5542" t="inlineStr">
        <is>
          <t>8:29</t>
        </is>
      </c>
      <c r="C5542" t="inlineStr">
        <is>
          <t>to carbon taxes to a much more direct</t>
        </is>
      </c>
      <c r="D5542">
        <f>HYPERLINK("https://www.youtube.com/watch?v=QfAXbGInwno&amp;t=509s", "Go to time")</f>
        <v/>
      </c>
    </row>
    <row r="5543">
      <c r="A5543">
        <f>HYPERLINK("https://www.youtube.com/watch?v=7tuRJIkDcXg", "Video")</f>
        <v/>
      </c>
      <c r="B5543" t="inlineStr">
        <is>
          <t>0:02</t>
        </is>
      </c>
      <c r="C5543" t="inlineStr">
        <is>
          <t>you might think of their directors 
like Spielberg, Hitchcock, Peele</t>
        </is>
      </c>
      <c r="D5543">
        <f>HYPERLINK("https://www.youtube.com/watch?v=7tuRJIkDcXg&amp;t=2s", "Go to time")</f>
        <v/>
      </c>
    </row>
    <row r="5544">
      <c r="A5544">
        <f>HYPERLINK("https://www.youtube.com/watch?v=7tuRJIkDcXg", "Video")</f>
        <v/>
      </c>
      <c r="B5544" t="inlineStr">
        <is>
          <t>1:03</t>
        </is>
      </c>
      <c r="C5544" t="inlineStr">
        <is>
          <t>The first was that they were going 
to give directors</t>
        </is>
      </c>
      <c r="D5544">
        <f>HYPERLINK("https://www.youtube.com/watch?v=7tuRJIkDcXg&amp;t=63s", "Go to time")</f>
        <v/>
      </c>
    </row>
    <row r="5545">
      <c r="A5545">
        <f>HYPERLINK("https://www.youtube.com/watch?v=7tuRJIkDcXg", "Video")</f>
        <v/>
      </c>
      <c r="B5545" t="inlineStr">
        <is>
          <t>2:53</t>
        </is>
      </c>
      <c r="C5545" t="inlineStr">
        <is>
          <t>artistic vision from director 
Harmony Korine...</t>
        </is>
      </c>
      <c r="D5545">
        <f>HYPERLINK("https://www.youtube.com/watch?v=7tuRJIkDcXg&amp;t=173s", "Go to time")</f>
        <v/>
      </c>
    </row>
    <row r="5546">
      <c r="A5546">
        <f>HYPERLINK("https://www.youtube.com/watch?v=7tuRJIkDcXg", "Video")</f>
        <v/>
      </c>
      <c r="B5546" t="inlineStr">
        <is>
          <t>5:16</t>
        </is>
      </c>
      <c r="C5546" t="inlineStr">
        <is>
          <t>And afforded directorial debuts</t>
        </is>
      </c>
      <c r="D5546">
        <f>HYPERLINK("https://www.youtube.com/watch?v=7tuRJIkDcXg&amp;t=316s", "Go to time")</f>
        <v/>
      </c>
    </row>
    <row r="5547">
      <c r="A5547">
        <f>HYPERLINK("https://www.youtube.com/watch?v=7tuRJIkDcXg", "Video")</f>
        <v/>
      </c>
      <c r="B5547" t="inlineStr">
        <is>
          <t>5:21</t>
        </is>
      </c>
      <c r="C5547" t="inlineStr">
        <is>
          <t>They would find these up and coming 
directors and be like</t>
        </is>
      </c>
      <c r="D5547">
        <f>HYPERLINK("https://www.youtube.com/watch?v=7tuRJIkDcXg&amp;t=321s", "Go to time")</f>
        <v/>
      </c>
    </row>
    <row r="5548">
      <c r="A5548">
        <f>HYPERLINK("https://www.youtube.com/watch?v=7tuRJIkDcXg", "Video")</f>
        <v/>
      </c>
      <c r="B5548" t="inlineStr">
        <is>
          <t>8:17</t>
        </is>
      </c>
      <c r="C5548" t="inlineStr">
        <is>
          <t>They had a deal with DirecTV.</t>
        </is>
      </c>
      <c r="D5548">
        <f>HYPERLINK("https://www.youtube.com/watch?v=7tuRJIkDcXg&amp;t=497s", "Go to time")</f>
        <v/>
      </c>
    </row>
    <row r="5549">
      <c r="A5549">
        <f>HYPERLINK("https://www.youtube.com/watch?v=7tuRJIkDcXg", "Video")</f>
        <v/>
      </c>
      <c r="B5549" t="inlineStr">
        <is>
          <t>8:32</t>
        </is>
      </c>
      <c r="C5549" t="inlineStr">
        <is>
          <t>be quietly shuffled off to, 
you know, DirectTV.</t>
        </is>
      </c>
      <c r="D5549">
        <f>HYPERLINK("https://www.youtube.com/watch?v=7tuRJIkDcXg&amp;t=512s", "Go to time")</f>
        <v/>
      </c>
    </row>
    <row r="5550">
      <c r="A5550">
        <f>HYPERLINK("https://www.youtube.com/watch?v=SVcsDDABEkM", "Video")</f>
        <v/>
      </c>
      <c r="B5550" t="inlineStr">
        <is>
          <t>12:19</t>
        </is>
      </c>
      <c r="C5550" t="inlineStr">
        <is>
          <t>us to direct the machine to 
imagine what we want it to see.</t>
        </is>
      </c>
      <c r="D5550">
        <f>HYPERLINK("https://www.youtube.com/watch?v=SVcsDDABEkM&amp;t=739s", "Go to time")</f>
        <v/>
      </c>
    </row>
    <row r="5551">
      <c r="A5551">
        <f>HYPERLINK("https://www.youtube.com/watch?v=Ia3abCiYX3w", "Video")</f>
        <v/>
      </c>
      <c r="B5551" t="inlineStr">
        <is>
          <t>12:02</t>
        </is>
      </c>
      <c r="C5551" t="inlineStr">
        <is>
          <t>The director of public relations was there
to receive the petitions.</t>
        </is>
      </c>
      <c r="D5551">
        <f>HYPERLINK("https://www.youtube.com/watch?v=Ia3abCiYX3w&amp;t=722s", "Go to time")</f>
        <v/>
      </c>
    </row>
    <row r="5552">
      <c r="A5552">
        <f>HYPERLINK("https://www.youtube.com/watch?v=QYXT8hEI8tM", "Video")</f>
        <v/>
      </c>
      <c r="B5552" t="inlineStr">
        <is>
          <t>7:17</t>
        </is>
      </c>
      <c r="C5552" t="inlineStr">
        <is>
          <t>would be flown directly to the lunar</t>
        </is>
      </c>
      <c r="D5552">
        <f>HYPERLINK("https://www.youtube.com/watch?v=QYXT8hEI8tM&amp;t=437s", "Go to time")</f>
        <v/>
      </c>
    </row>
    <row r="5553">
      <c r="A5553">
        <f>HYPERLINK("https://www.youtube.com/watch?v=QYXT8hEI8tM", "Video")</f>
        <v/>
      </c>
      <c r="B5553" t="inlineStr">
        <is>
          <t>10:36</t>
        </is>
      </c>
      <c r="C5553" t="inlineStr">
        <is>
          <t>period afterwards as directed by NASA</t>
        </is>
      </c>
      <c r="D5553">
        <f>HYPERLINK("https://www.youtube.com/watch?v=QYXT8hEI8tM&amp;t=636s", "Go to time")</f>
        <v/>
      </c>
    </row>
    <row r="5554">
      <c r="A5554">
        <f>HYPERLINK("https://www.youtube.com/watch?v=nf-Yy3EuZi0", "Video")</f>
        <v/>
      </c>
      <c r="B5554" t="inlineStr">
        <is>
          <t>2:11</t>
        </is>
      </c>
      <c r="C5554" t="inlineStr">
        <is>
          <t>that directly put some species in danger...</t>
        </is>
      </c>
      <c r="D5554">
        <f>HYPERLINK("https://www.youtube.com/watch?v=nf-Yy3EuZi0&amp;t=131s", "Go to time")</f>
        <v/>
      </c>
    </row>
    <row r="5555">
      <c r="A5555">
        <f>HYPERLINK("https://www.youtube.com/watch?v=y3mazk5j8Sg", "Video")</f>
        <v/>
      </c>
      <c r="B5555" t="inlineStr">
        <is>
          <t>7:19</t>
        </is>
      </c>
      <c r="C5555" t="inlineStr">
        <is>
          <t>MOORE: The moose population is declining directly as
a consequence of climate change.</t>
        </is>
      </c>
      <c r="D5555">
        <f>HYPERLINK("https://www.youtube.com/watch?v=y3mazk5j8Sg&amp;t=439s", "Go to time")</f>
        <v/>
      </c>
    </row>
    <row r="5556">
      <c r="A5556">
        <f>HYPERLINK("https://www.youtube.com/watch?v=bEJ0_TVXh-I", "Video")</f>
        <v/>
      </c>
      <c r="B5556" t="inlineStr">
        <is>
          <t>12:55</t>
        </is>
      </c>
      <c r="C5556" t="inlineStr">
        <is>
          <t>They weren't given much direction.</t>
        </is>
      </c>
      <c r="D5556">
        <f>HYPERLINK("https://www.youtube.com/watch?v=bEJ0_TVXh-I&amp;t=775s", "Go to time")</f>
        <v/>
      </c>
    </row>
    <row r="5557">
      <c r="A5557">
        <f>HYPERLINK("https://www.youtube.com/watch?v=bEJ0_TVXh-I", "Video")</f>
        <v/>
      </c>
      <c r="B5557" t="inlineStr">
        <is>
          <t>16:25</t>
        </is>
      </c>
      <c r="C5557" t="inlineStr">
        <is>
          <t>offering you turn by turn directions instead.</t>
        </is>
      </c>
      <c r="D5557">
        <f>HYPERLINK("https://www.youtube.com/watch?v=bEJ0_TVXh-I&amp;t=985s", "Go to time")</f>
        <v/>
      </c>
    </row>
    <row r="5558">
      <c r="A5558">
        <f>HYPERLINK("https://www.youtube.com/watch?v=kHgI6um1BMc", "Video")</f>
        <v/>
      </c>
      <c r="B5558" t="inlineStr">
        <is>
          <t>9:34</t>
        </is>
      </c>
      <c r="C5558" t="inlineStr">
        <is>
          <t>While detained, his team released another
video, this one attacking Putin directly.</t>
        </is>
      </c>
      <c r="D5558">
        <f>HYPERLINK("https://www.youtube.com/watch?v=kHgI6um1BMc&amp;t=574s", "Go to time")</f>
        <v/>
      </c>
    </row>
    <row r="5559">
      <c r="A5559">
        <f>HYPERLINK("https://www.youtube.com/watch?v=S1m-KgEpoow", "Video")</f>
        <v/>
      </c>
      <c r="B5559" t="inlineStr">
        <is>
          <t>5:55</t>
        </is>
      </c>
      <c r="C5559" t="inlineStr">
        <is>
          <t>and then how directly that virality correlates
with streaming increase</t>
        </is>
      </c>
      <c r="D5559">
        <f>HYPERLINK("https://www.youtube.com/watch?v=S1m-KgEpoow&amp;t=355s", "Go to time")</f>
        <v/>
      </c>
    </row>
    <row r="5560">
      <c r="A5560">
        <f>HYPERLINK("https://www.youtube.com/watch?v=S1m-KgEpoow", "Video")</f>
        <v/>
      </c>
      <c r="B5560" t="inlineStr">
        <is>
          <t>14:19</t>
        </is>
      </c>
      <c r="C5560" t="inlineStr">
        <is>
          <t>For one, they have direct relationships with
streaming services like Spotify</t>
        </is>
      </c>
      <c r="D5560">
        <f>HYPERLINK("https://www.youtube.com/watch?v=S1m-KgEpoow&amp;t=859s", "Go to time")</f>
        <v/>
      </c>
    </row>
    <row r="5561">
      <c r="A5561">
        <f>HYPERLINK("https://www.youtube.com/watch?v=ltwCjFp9B8s", "Video")</f>
        <v/>
      </c>
      <c r="B5561" t="inlineStr">
        <is>
          <t>2:22</t>
        </is>
      </c>
      <c r="C5561" t="inlineStr">
        <is>
          <t>But direct attacks are another story.</t>
        </is>
      </c>
      <c r="D5561">
        <f>HYPERLINK("https://www.youtube.com/watch?v=ltwCjFp9B8s&amp;t=142s", "Go to time")</f>
        <v/>
      </c>
    </row>
    <row r="5562">
      <c r="A5562">
        <f>HYPERLINK("https://www.youtube.com/watch?v=ltwCjFp9B8s", "Video")</f>
        <v/>
      </c>
      <c r="B5562" t="inlineStr">
        <is>
          <t>2:55</t>
        </is>
      </c>
      <c r="C5562" t="inlineStr">
        <is>
          <t>Dr. Bassett is the Director of the Cultural Heritage Monitoring Lab.</t>
        </is>
      </c>
      <c r="D5562">
        <f>HYPERLINK("https://www.youtube.com/watch?v=ltwCjFp9B8s&amp;t=175s", "Go to time")</f>
        <v/>
      </c>
    </row>
    <row r="5563">
      <c r="A5563">
        <f>HYPERLINK("https://www.youtube.com/watch?v=ltwCjFp9B8s", "Video")</f>
        <v/>
      </c>
      <c r="B5563" t="inlineStr">
        <is>
          <t>7:19</t>
        </is>
      </c>
      <c r="C5563" t="inlineStr">
        <is>
          <t>And for some of Ukraine’s immovable treasures,
history is repeating itself more directly.</t>
        </is>
      </c>
      <c r="D5563">
        <f>HYPERLINK("https://www.youtube.com/watch?v=ltwCjFp9B8s&amp;t=439s", "Go to time")</f>
        <v/>
      </c>
    </row>
    <row r="5564">
      <c r="A5564">
        <f>HYPERLINK("https://www.youtube.com/watch?v=EKPFZPyQurA", "Video")</f>
        <v/>
      </c>
      <c r="B5564" t="inlineStr">
        <is>
          <t>2:11</t>
        </is>
      </c>
      <c r="C5564" t="inlineStr">
        <is>
          <t>is that we're currently on 
a pretty dire path.</t>
        </is>
      </c>
      <c r="D5564">
        <f>HYPERLINK("https://www.youtube.com/watch?v=EKPFZPyQurA&amp;t=131s", "Go to time")</f>
        <v/>
      </c>
    </row>
    <row r="5565">
      <c r="A5565">
        <f>HYPERLINK("https://www.youtube.com/watch?v=0cjSEWZ8LM8", "Video")</f>
        <v/>
      </c>
      <c r="B5565" t="inlineStr">
        <is>
          <t>5:38</t>
        </is>
      </c>
      <c r="C5565" t="inlineStr">
        <is>
          <t>to extremely dangerous levels
 of direct sunlight.</t>
        </is>
      </c>
      <c r="D5565">
        <f>HYPERLINK("https://www.youtube.com/watch?v=0cjSEWZ8LM8&amp;t=338s", "Go to time")</f>
        <v/>
      </c>
    </row>
    <row r="5566">
      <c r="A5566">
        <f>HYPERLINK("https://www.youtube.com/watch?v=AYEWsLdLmcc", "Video")</f>
        <v/>
      </c>
      <c r="B5566" t="inlineStr">
        <is>
          <t>0:31</t>
        </is>
      </c>
      <c r="C5566" t="inlineStr">
        <is>
          <t>As the games’ co-director put it on Twitter:
“f--k doors”</t>
        </is>
      </c>
      <c r="D5566">
        <f>HYPERLINK("https://www.youtube.com/watch?v=AYEWsLdLmcc&amp;t=31s", "Go to time")</f>
        <v/>
      </c>
    </row>
    <row r="5567">
      <c r="A5567">
        <f>HYPERLINK("https://www.youtube.com/watch?v=AYEWsLdLmcc", "Video")</f>
        <v/>
      </c>
      <c r="B5567" t="inlineStr">
        <is>
          <t>2:38</t>
        </is>
      </c>
      <c r="C5567" t="inlineStr">
        <is>
          <t>SINGH: It's very uncommon in the real world to have
a door that opens in both directions.</t>
        </is>
      </c>
      <c r="D5567">
        <f>HYPERLINK("https://www.youtube.com/watch?v=AYEWsLdLmcc&amp;t=158s", "Go to time")</f>
        <v/>
      </c>
    </row>
    <row r="5568">
      <c r="A5568">
        <f>HYPERLINK("https://www.youtube.com/watch?v=AYEWsLdLmcc", "Video")</f>
        <v/>
      </c>
      <c r="B5568" t="inlineStr">
        <is>
          <t>7:27</t>
        </is>
      </c>
      <c r="C5568" t="inlineStr">
        <is>
          <t>an audio engineer has to come in and make
it sound like it's coming from the direction</t>
        </is>
      </c>
      <c r="D5568">
        <f>HYPERLINK("https://www.youtube.com/watch?v=AYEWsLdLmcc&amp;t=447s", "Go to time")</f>
        <v/>
      </c>
    </row>
    <row r="5569">
      <c r="A5569">
        <f>HYPERLINK("https://www.youtube.com/watch?v=88Cd5H3kmXQ", "Video")</f>
        <v/>
      </c>
      <c r="B5569" t="inlineStr">
        <is>
          <t>20:22</t>
        </is>
      </c>
      <c r="C5569" t="inlineStr">
        <is>
          <t>Try to look
 for more direct flights,</t>
        </is>
      </c>
      <c r="D5569">
        <f>HYPERLINK("https://www.youtube.com/watch?v=88Cd5H3kmXQ&amp;t=1222s", "Go to time")</f>
        <v/>
      </c>
    </row>
    <row r="5570">
      <c r="A5570">
        <f>HYPERLINK("https://www.youtube.com/watch?v=5v13wrVEQ2M", "Video")</f>
        <v/>
      </c>
      <c r="B5570" t="inlineStr">
        <is>
          <t>3:25</t>
        </is>
      </c>
      <c r="C5570" t="inlineStr">
        <is>
          <t>And US prison studies from the late ‘90s
found that this style of direct contact resulted</t>
        </is>
      </c>
      <c r="D5570">
        <f>HYPERLINK("https://www.youtube.com/watch?v=5v13wrVEQ2M&amp;t=205s", "Go to time")</f>
        <v/>
      </c>
    </row>
    <row r="5571">
      <c r="A5571">
        <f>HYPERLINK("https://www.youtube.com/watch?v=DiheSWIxydk", "Video")</f>
        <v/>
      </c>
      <c r="B5571" t="inlineStr">
        <is>
          <t>3:04</t>
        </is>
      </c>
      <c r="C5571" t="inlineStr">
        <is>
          <t>Our art director makes sure that 
the visuals are on point.</t>
        </is>
      </c>
      <c r="D5571">
        <f>HYPERLINK("https://www.youtube.com/watch?v=DiheSWIxydk&amp;t=184s", "Go to time")</f>
        <v/>
      </c>
    </row>
    <row r="5572">
      <c r="A5572">
        <f>HYPERLINK("https://www.youtube.com/watch?v=YHKFK6_pepo", "Video")</f>
        <v/>
      </c>
      <c r="B5572" t="inlineStr">
        <is>
          <t>2:23</t>
        </is>
      </c>
      <c r="C5572" t="inlineStr">
        <is>
          <t>should MANET painted Olympia as a direct</t>
        </is>
      </c>
      <c r="D5572">
        <f>HYPERLINK("https://www.youtube.com/watch?v=YHKFK6_pepo&amp;t=143s", "Go to time")</f>
        <v/>
      </c>
    </row>
    <row r="5573">
      <c r="A5573">
        <f>HYPERLINK("https://www.youtube.com/watch?v=v3MtBE37wHY", "Video")</f>
        <v/>
      </c>
      <c r="B5573" t="inlineStr">
        <is>
          <t>9:28</t>
        </is>
      </c>
      <c r="C5573" t="inlineStr">
        <is>
          <t>Raycon doesn’t directly impact our editorial,
but their support helps make videos like this</t>
        </is>
      </c>
      <c r="D5573">
        <f>HYPERLINK("https://www.youtube.com/watch?v=v3MtBE37wHY&amp;t=568s", "Go to time")</f>
        <v/>
      </c>
    </row>
    <row r="5574">
      <c r="A5574">
        <f>HYPERLINK("https://www.youtube.com/watch?v=6fbBjRnZ0j0", "Video")</f>
        <v/>
      </c>
      <c r="B5574" t="inlineStr">
        <is>
          <t>6:45</t>
        </is>
      </c>
      <c r="C5574" t="inlineStr">
        <is>
          <t>He’s the director of the opera and he’s
the Juggling Master.</t>
        </is>
      </c>
      <c r="D5574">
        <f>HYPERLINK("https://www.youtube.com/watch?v=6fbBjRnZ0j0&amp;t=405s", "Go to time")</f>
        <v/>
      </c>
    </row>
    <row r="5575">
      <c r="A5575">
        <f>HYPERLINK("https://www.youtube.com/watch?v=twAP3buj9Og", "Video")</f>
        <v/>
      </c>
      <c r="B5575" t="inlineStr">
        <is>
          <t>16:08</t>
        </is>
      </c>
      <c r="C5575" t="inlineStr">
        <is>
          <t>We're going roughly in the right direction.</t>
        </is>
      </c>
      <c r="D5575">
        <f>HYPERLINK("https://www.youtube.com/watch?v=twAP3buj9Og&amp;t=968s", "Go to time")</f>
        <v/>
      </c>
    </row>
    <row r="5576">
      <c r="A5576">
        <f>HYPERLINK("https://www.youtube.com/watch?v=Gt4jHLteXag", "Video")</f>
        <v/>
      </c>
      <c r="B5576" t="inlineStr">
        <is>
          <t>3:15</t>
        </is>
      </c>
      <c r="C5576" t="inlineStr">
        <is>
          <t>He skips the debate -- and goes directly to
a vote to see if there's a supermajority to</t>
        </is>
      </c>
      <c r="D5576">
        <f>HYPERLINK("https://www.youtube.com/watch?v=Gt4jHLteXag&amp;t=195s", "Go to time")</f>
        <v/>
      </c>
    </row>
    <row r="5577">
      <c r="A5577">
        <f>HYPERLINK("https://www.youtube.com/watch?v=uhx1sdX2bow", "Video")</f>
        <v/>
      </c>
      <c r="B5577" t="inlineStr">
        <is>
          <t>28:12</t>
        </is>
      </c>
      <c r="C5577" t="inlineStr">
        <is>
          <t>even begin to imagine the direction that</t>
        </is>
      </c>
      <c r="D5577">
        <f>HYPERLINK("https://www.youtube.com/watch?v=uhx1sdX2bow&amp;t=1692s", "Go to time")</f>
        <v/>
      </c>
    </row>
    <row r="5578">
      <c r="A5578">
        <f>HYPERLINK("https://www.youtube.com/watch?v=CoBeQzc4vQc", "Video")</f>
        <v/>
      </c>
      <c r="B5578" t="inlineStr">
        <is>
          <t>3:48</t>
        </is>
      </c>
      <c r="C5578" t="inlineStr">
        <is>
          <t>Director James Wan said that 
one of the things he wanted to do</t>
        </is>
      </c>
      <c r="D5578">
        <f>HYPERLINK("https://www.youtube.com/watch?v=CoBeQzc4vQc&amp;t=228s", "Go to time")</f>
        <v/>
      </c>
    </row>
    <row r="5579">
      <c r="A5579">
        <f>HYPERLINK("https://www.youtube.com/watch?v=CoBeQzc4vQc", "Video")</f>
        <v/>
      </c>
      <c r="B5579" t="inlineStr">
        <is>
          <t>5:33</t>
        </is>
      </c>
      <c r="C5579" t="inlineStr">
        <is>
          <t>Director James Wan even said 
that it occurred to them early on.</t>
        </is>
      </c>
      <c r="D5579">
        <f>HYPERLINK("https://www.youtube.com/watch?v=CoBeQzc4vQc&amp;t=333s",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2025-05-29T19:08:19Z</dcterms:created>
  <dcterms:modified xsi:type="dcterms:W3CDTF">2025-05-29T19:08:20Z</dcterms:modified>
</cp:coreProperties>
</file>